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e_psev\Desktop\"/>
    </mc:Choice>
  </mc:AlternateContent>
  <xr:revisionPtr revIDLastSave="0" documentId="8_{8B0F4D57-8ACA-4B67-A1AB-3BB452237E30}" xr6:coauthVersionLast="47" xr6:coauthVersionMax="47" xr10:uidLastSave="{00000000-0000-0000-0000-000000000000}"/>
  <bookViews>
    <workbookView xWindow="-120" yWindow="-120" windowWidth="20730" windowHeight="11040" xr2:uid="{00000000-000D-0000-FFFF-FFFF00000000}"/>
  </bookViews>
  <sheets>
    <sheet name="Cover" sheetId="1" r:id="rId1"/>
    <sheet name="General Assumptions" sheetId="2" r:id="rId2"/>
    <sheet name="BU Assumptions" sheetId="3" r:id="rId3"/>
    <sheet name="Operational Data" sheetId="4" r:id="rId4"/>
    <sheet name="Financials - IFRS" sheetId="5" r:id="rId5"/>
    <sheet name="Financials - IFRS (ex-Indirect " sheetId="11" r:id="rId6"/>
    <sheet name="Financials - OSV JV" sheetId="12" r:id="rId7"/>
  </sheets>
  <definedNames>
    <definedName name="Z_2B0C102D_EAAD_407D_BA59_06DE98E7FBBB_.wvu.FilterData" localSheetId="6" hidden="1">'Financials - OSV JV'!$A$1:$AA$22</definedName>
    <definedName name="Z_A5103CAC_9054_4618_A0D3_E5439BB7DDD4_.wvu.FilterData" localSheetId="6" hidden="1">'Financials - OSV JV'!$A$1:$AA$22</definedName>
  </definedNames>
  <calcPr calcId="191029"/>
  <customWorkbookViews>
    <customWorkbookView name="Filter 1" guid="{A5103CAC-9054-4618-A0D3-E5439BB7DDD4}" maximized="1" windowWidth="0" windowHeight="0" activeSheetId="0"/>
    <customWorkbookView name="Filter 2" guid="{2B0C102D-EAAD-407D-BA59-06DE98E7FBBB}" maximized="1" windowWidth="0" windowHeight="0" activeSheetId="0"/>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5" i="12" l="1"/>
  <c r="AD65" i="12"/>
  <c r="AC65" i="12"/>
  <c r="AA65" i="12"/>
  <c r="Z65" i="12"/>
  <c r="Y65" i="12"/>
  <c r="X65" i="12"/>
  <c r="V65" i="12"/>
  <c r="U65" i="12"/>
  <c r="Q65" i="12"/>
  <c r="P65" i="12"/>
  <c r="L65" i="12"/>
  <c r="K65" i="12"/>
  <c r="J65" i="12"/>
  <c r="I65" i="12"/>
  <c r="AB64" i="12"/>
  <c r="W64" i="12"/>
  <c r="M64" i="12"/>
  <c r="M65" i="12" s="1"/>
  <c r="H64" i="12"/>
  <c r="AA63" i="12"/>
  <c r="Z63" i="12"/>
  <c r="Y63" i="12"/>
  <c r="X63" i="12"/>
  <c r="V63" i="12"/>
  <c r="U63" i="12"/>
  <c r="T63" i="12"/>
  <c r="S63" i="12"/>
  <c r="R63" i="12"/>
  <c r="Q63" i="12"/>
  <c r="P63" i="12"/>
  <c r="O63" i="12"/>
  <c r="N63" i="12"/>
  <c r="M63" i="12"/>
  <c r="L63" i="12"/>
  <c r="K63" i="12"/>
  <c r="J63" i="12"/>
  <c r="I63" i="12"/>
  <c r="AA62" i="12"/>
  <c r="Z62" i="12"/>
  <c r="Y62" i="12"/>
  <c r="X62" i="12"/>
  <c r="V62" i="12"/>
  <c r="U62" i="12"/>
  <c r="T62" i="12"/>
  <c r="S62" i="12"/>
  <c r="R62" i="12"/>
  <c r="Q62" i="12"/>
  <c r="P62" i="12"/>
  <c r="O62" i="12"/>
  <c r="N62" i="12"/>
  <c r="M62" i="12"/>
  <c r="L62" i="12"/>
  <c r="K62" i="12"/>
  <c r="J62" i="12"/>
  <c r="I62" i="12"/>
  <c r="H62" i="12"/>
  <c r="G62" i="12"/>
  <c r="F62" i="12"/>
  <c r="E62" i="12"/>
  <c r="D62" i="12"/>
  <c r="AE61" i="12"/>
  <c r="AE62" i="12" s="1"/>
  <c r="AD61" i="12"/>
  <c r="AD62" i="12" s="1"/>
  <c r="AC61" i="12"/>
  <c r="AC63" i="12" s="1"/>
  <c r="AB61" i="12"/>
  <c r="AB62" i="12" s="1"/>
  <c r="W61" i="12"/>
  <c r="W62" i="12" s="1"/>
  <c r="AD59" i="12"/>
  <c r="AA59" i="12"/>
  <c r="Z59" i="12"/>
  <c r="Y59" i="12"/>
  <c r="X59" i="12"/>
  <c r="V59" i="12"/>
  <c r="U59" i="12"/>
  <c r="T59" i="12"/>
  <c r="S59" i="12"/>
  <c r="R59" i="12"/>
  <c r="Q59" i="12"/>
  <c r="P59" i="12"/>
  <c r="O59" i="12"/>
  <c r="N59" i="12"/>
  <c r="M59" i="12"/>
  <c r="L59" i="12"/>
  <c r="K59" i="12"/>
  <c r="J59" i="12"/>
  <c r="I59" i="12"/>
  <c r="Z58" i="12"/>
  <c r="Y58" i="12"/>
  <c r="X58" i="12"/>
  <c r="R58" i="12"/>
  <c r="Q58" i="12"/>
  <c r="P58" i="12"/>
  <c r="O58" i="12"/>
  <c r="N58" i="12"/>
  <c r="M58" i="12"/>
  <c r="L58" i="12"/>
  <c r="K58" i="12"/>
  <c r="J58" i="12"/>
  <c r="I58" i="12"/>
  <c r="H58" i="12"/>
  <c r="G58" i="12"/>
  <c r="F58" i="12"/>
  <c r="E58" i="12"/>
  <c r="D58" i="12"/>
  <c r="AE57" i="12"/>
  <c r="AE58" i="12" s="1"/>
  <c r="AD57" i="12"/>
  <c r="AD58" i="12" s="1"/>
  <c r="AC57" i="12"/>
  <c r="AC59" i="12" s="1"/>
  <c r="AA57" i="12"/>
  <c r="AB57" i="12" s="1"/>
  <c r="W57" i="12"/>
  <c r="W49" i="12" s="1"/>
  <c r="AD55" i="12"/>
  <c r="AA55" i="12"/>
  <c r="Z55" i="12"/>
  <c r="Y55" i="12"/>
  <c r="X55" i="12"/>
  <c r="W55" i="12"/>
  <c r="V55" i="12"/>
  <c r="U55" i="12"/>
  <c r="T55" i="12"/>
  <c r="S55" i="12"/>
  <c r="R55" i="12"/>
  <c r="Q55" i="12"/>
  <c r="P55" i="12"/>
  <c r="O55" i="12"/>
  <c r="N55" i="12"/>
  <c r="M55" i="12"/>
  <c r="L55" i="12"/>
  <c r="K55" i="12"/>
  <c r="J55" i="12"/>
  <c r="I55" i="12"/>
  <c r="AE54" i="12"/>
  <c r="AE55" i="12" s="1"/>
  <c r="AD54" i="12"/>
  <c r="AC54" i="12"/>
  <c r="AC55" i="12" s="1"/>
  <c r="AB54" i="12"/>
  <c r="AB55" i="12" s="1"/>
  <c r="W54" i="12"/>
  <c r="AE53" i="12"/>
  <c r="AD53" i="12"/>
  <c r="AC53" i="12"/>
  <c r="AA53" i="12"/>
  <c r="Z53" i="12"/>
  <c r="AE50" i="12"/>
  <c r="T50" i="12"/>
  <c r="O50" i="12"/>
  <c r="L50" i="12"/>
  <c r="AE49" i="12"/>
  <c r="AE51" i="12" s="1"/>
  <c r="AD49" i="12"/>
  <c r="AD51" i="12" s="1"/>
  <c r="AA49" i="12"/>
  <c r="AA51" i="12" s="1"/>
  <c r="Z49" i="12"/>
  <c r="Y49" i="12"/>
  <c r="Y51" i="12" s="1"/>
  <c r="X49" i="12"/>
  <c r="V49" i="12"/>
  <c r="U49" i="12"/>
  <c r="T49" i="12"/>
  <c r="T51" i="12" s="1"/>
  <c r="S49" i="12"/>
  <c r="S51" i="12" s="1"/>
  <c r="R49" i="12"/>
  <c r="Q49" i="12"/>
  <c r="P49" i="12"/>
  <c r="P51" i="12" s="1"/>
  <c r="O49" i="12"/>
  <c r="O51" i="12" s="1"/>
  <c r="N49" i="12"/>
  <c r="M49" i="12"/>
  <c r="L49" i="12"/>
  <c r="L51" i="12" s="1"/>
  <c r="K49" i="12"/>
  <c r="K51" i="12" s="1"/>
  <c r="J49" i="12"/>
  <c r="J51" i="12" s="1"/>
  <c r="I49" i="12"/>
  <c r="H49" i="12"/>
  <c r="H51" i="12" s="1"/>
  <c r="G49" i="12"/>
  <c r="F49" i="12"/>
  <c r="E49" i="12"/>
  <c r="D49" i="12"/>
  <c r="C49" i="12"/>
  <c r="AE47" i="12"/>
  <c r="AD47" i="12"/>
  <c r="AD50" i="12" s="1"/>
  <c r="AC47" i="12"/>
  <c r="AA47" i="12"/>
  <c r="AA50" i="12" s="1"/>
  <c r="Z47" i="12"/>
  <c r="Z50" i="12" s="1"/>
  <c r="Y47" i="12"/>
  <c r="Y50" i="12" s="1"/>
  <c r="X47" i="12"/>
  <c r="AB47" i="12" s="1"/>
  <c r="V47" i="12"/>
  <c r="V50" i="12" s="1"/>
  <c r="U47" i="12"/>
  <c r="U50" i="12" s="1"/>
  <c r="T47" i="12"/>
  <c r="S47" i="12"/>
  <c r="S50" i="12" s="1"/>
  <c r="Q47" i="12"/>
  <c r="Q50" i="12" s="1"/>
  <c r="P47" i="12"/>
  <c r="P50" i="12" s="1"/>
  <c r="O47" i="12"/>
  <c r="N47" i="12"/>
  <c r="N50" i="12" s="1"/>
  <c r="M47" i="12"/>
  <c r="M50" i="12" s="1"/>
  <c r="L47" i="12"/>
  <c r="K47" i="12"/>
  <c r="K50" i="12" s="1"/>
  <c r="J47" i="12"/>
  <c r="J50" i="12" s="1"/>
  <c r="I47" i="12"/>
  <c r="I50" i="12" s="1"/>
  <c r="H47" i="12"/>
  <c r="H50" i="12" s="1"/>
  <c r="AE46" i="12"/>
  <c r="AD46" i="12"/>
  <c r="AC46" i="12"/>
  <c r="AA46" i="12"/>
  <c r="Z46" i="12"/>
  <c r="AD44" i="12"/>
  <c r="AA44" i="12"/>
  <c r="Y44" i="12"/>
  <c r="V44" i="12"/>
  <c r="U44" i="12"/>
  <c r="T44" i="12"/>
  <c r="S44" i="12"/>
  <c r="Q44" i="12"/>
  <c r="K44" i="12"/>
  <c r="I44" i="12"/>
  <c r="F44" i="12"/>
  <c r="AB42" i="12"/>
  <c r="AB40" i="12" s="1"/>
  <c r="AB44" i="12" s="1"/>
  <c r="W42" i="12"/>
  <c r="R42" i="12"/>
  <c r="N42" i="12"/>
  <c r="O42" i="12" s="1"/>
  <c r="M42" i="12"/>
  <c r="H42" i="12"/>
  <c r="H40" i="12" s="1"/>
  <c r="H44" i="12" s="1"/>
  <c r="AB41" i="12"/>
  <c r="W41" i="12"/>
  <c r="R41" i="12"/>
  <c r="N41" i="12"/>
  <c r="O41" i="12" s="1"/>
  <c r="P41" i="12" s="1"/>
  <c r="M41" i="12"/>
  <c r="H41" i="12"/>
  <c r="AE40" i="12"/>
  <c r="AE44" i="12" s="1"/>
  <c r="AD40" i="12"/>
  <c r="AC40" i="12"/>
  <c r="AC44" i="12" s="1"/>
  <c r="AA40" i="12"/>
  <c r="Z40" i="12"/>
  <c r="Z44" i="12" s="1"/>
  <c r="Y40" i="12"/>
  <c r="X40" i="12"/>
  <c r="X44" i="12" s="1"/>
  <c r="W40" i="12"/>
  <c r="W44" i="12" s="1"/>
  <c r="V40" i="12"/>
  <c r="R40" i="12"/>
  <c r="R44" i="12" s="1"/>
  <c r="Q40" i="12"/>
  <c r="M40" i="12"/>
  <c r="M44" i="12" s="1"/>
  <c r="L40" i="12"/>
  <c r="L44" i="12" s="1"/>
  <c r="K40" i="12"/>
  <c r="J40" i="12"/>
  <c r="J44" i="12" s="1"/>
  <c r="I40" i="12"/>
  <c r="G40" i="12"/>
  <c r="G44" i="12" s="1"/>
  <c r="F40" i="12"/>
  <c r="E40" i="12"/>
  <c r="E44" i="12" s="1"/>
  <c r="D40" i="12"/>
  <c r="D44" i="12" s="1"/>
  <c r="AE39" i="12"/>
  <c r="AD39" i="12"/>
  <c r="AC39" i="12"/>
  <c r="AA39" i="12"/>
  <c r="Z39" i="12"/>
  <c r="AE37" i="12"/>
  <c r="AD37" i="12"/>
  <c r="AC37" i="12"/>
  <c r="AA37" i="12"/>
  <c r="Z37" i="12"/>
  <c r="Y37" i="12"/>
  <c r="X37" i="12"/>
  <c r="V37" i="12"/>
  <c r="U37" i="12"/>
  <c r="T37" i="12"/>
  <c r="S37" i="12"/>
  <c r="R37" i="12"/>
  <c r="Q37" i="12"/>
  <c r="P37" i="12"/>
  <c r="O37" i="12"/>
  <c r="N37" i="12"/>
  <c r="M37" i="12"/>
  <c r="L37" i="12"/>
  <c r="K37" i="12"/>
  <c r="J37" i="12"/>
  <c r="I37" i="12"/>
  <c r="H37" i="12"/>
  <c r="G37" i="12"/>
  <c r="F37" i="12"/>
  <c r="E37" i="12"/>
  <c r="D37" i="12"/>
  <c r="AE36" i="12"/>
  <c r="AD36" i="12"/>
  <c r="AC36" i="12"/>
  <c r="AA36" i="12"/>
  <c r="Z36" i="12"/>
  <c r="Y36" i="12"/>
  <c r="X36" i="12"/>
  <c r="AE35" i="12"/>
  <c r="AD35" i="12"/>
  <c r="AC35" i="12"/>
  <c r="AE34" i="12"/>
  <c r="AD34" i="12"/>
  <c r="AC34" i="12"/>
  <c r="AA34" i="12"/>
  <c r="Z34" i="12"/>
  <c r="Y34" i="12"/>
  <c r="X34" i="12"/>
  <c r="V34" i="12"/>
  <c r="U34" i="12"/>
  <c r="T34" i="12"/>
  <c r="S34" i="12"/>
  <c r="R34" i="12"/>
  <c r="Q34" i="12"/>
  <c r="P34" i="12"/>
  <c r="O34" i="12"/>
  <c r="N34" i="12"/>
  <c r="M34" i="12"/>
  <c r="L34" i="12"/>
  <c r="K34" i="12"/>
  <c r="J34" i="12"/>
  <c r="I34" i="12"/>
  <c r="AE33" i="12"/>
  <c r="AD33" i="12"/>
  <c r="AC33" i="12"/>
  <c r="AA33" i="12"/>
  <c r="Z33" i="12"/>
  <c r="Y33" i="12"/>
  <c r="X33" i="12"/>
  <c r="V33" i="12"/>
  <c r="U33" i="12"/>
  <c r="T33" i="12"/>
  <c r="S33" i="12"/>
  <c r="R33" i="12"/>
  <c r="Q33" i="12"/>
  <c r="P33" i="12"/>
  <c r="O33" i="12"/>
  <c r="N33" i="12"/>
  <c r="M33" i="12"/>
  <c r="L33" i="12"/>
  <c r="K33" i="12"/>
  <c r="J33" i="12"/>
  <c r="I33" i="12"/>
  <c r="H33" i="12"/>
  <c r="G33" i="12"/>
  <c r="F33" i="12"/>
  <c r="E33" i="12"/>
  <c r="D33" i="12"/>
  <c r="AE32" i="12"/>
  <c r="AD32" i="12"/>
  <c r="AC32" i="12"/>
  <c r="AA32" i="12"/>
  <c r="Z32" i="12"/>
  <c r="Y32" i="12"/>
  <c r="X32" i="12"/>
  <c r="V32" i="12"/>
  <c r="U32" i="12"/>
  <c r="T32" i="12"/>
  <c r="S32" i="12"/>
  <c r="R32" i="12"/>
  <c r="Q32" i="12"/>
  <c r="P32" i="12"/>
  <c r="O32" i="12"/>
  <c r="N32" i="12"/>
  <c r="M32" i="12"/>
  <c r="L32" i="12"/>
  <c r="K32" i="12"/>
  <c r="J32" i="12"/>
  <c r="I32" i="12"/>
  <c r="AE31" i="12"/>
  <c r="AD31" i="12"/>
  <c r="AC31" i="12"/>
  <c r="AA31" i="12"/>
  <c r="Z31" i="12"/>
  <c r="Y31" i="12"/>
  <c r="X31" i="12"/>
  <c r="V31" i="12"/>
  <c r="U31" i="12"/>
  <c r="T31" i="12"/>
  <c r="S31" i="12"/>
  <c r="R31" i="12"/>
  <c r="Q31" i="12"/>
  <c r="P31" i="12"/>
  <c r="O31" i="12"/>
  <c r="N31" i="12"/>
  <c r="M31" i="12"/>
  <c r="L31" i="12"/>
  <c r="K31" i="12"/>
  <c r="J31" i="12"/>
  <c r="I31" i="12"/>
  <c r="AE30" i="12"/>
  <c r="AD30" i="12"/>
  <c r="AC30" i="12"/>
  <c r="AA30" i="12"/>
  <c r="Z30" i="12"/>
  <c r="AE28" i="12"/>
  <c r="AD28" i="12"/>
  <c r="AC28" i="12"/>
  <c r="AA28" i="12"/>
  <c r="Z28" i="12"/>
  <c r="Y28" i="12"/>
  <c r="X28" i="12"/>
  <c r="V28" i="12"/>
  <c r="U28" i="12"/>
  <c r="T28" i="12"/>
  <c r="S28" i="12"/>
  <c r="AE27" i="12"/>
  <c r="AE26" i="12" s="1"/>
  <c r="AD27" i="12"/>
  <c r="AC27" i="12"/>
  <c r="AA27" i="12"/>
  <c r="Z27" i="12"/>
  <c r="Z26" i="12" s="1"/>
  <c r="Y27" i="12"/>
  <c r="Y26" i="12" s="1"/>
  <c r="X27" i="12"/>
  <c r="W27" i="12"/>
  <c r="R27" i="12"/>
  <c r="M27" i="12"/>
  <c r="H27" i="12"/>
  <c r="AD26" i="12"/>
  <c r="AC26" i="12"/>
  <c r="AA26" i="12"/>
  <c r="X26" i="12"/>
  <c r="V26" i="12"/>
  <c r="U26" i="12"/>
  <c r="T26" i="12"/>
  <c r="S26" i="12"/>
  <c r="R26" i="12"/>
  <c r="Q26" i="12"/>
  <c r="P26" i="12"/>
  <c r="O26" i="12"/>
  <c r="N26" i="12"/>
  <c r="M26" i="12"/>
  <c r="L26" i="12"/>
  <c r="K26" i="12"/>
  <c r="J26" i="12"/>
  <c r="I26" i="12"/>
  <c r="H26" i="12"/>
  <c r="G26" i="12"/>
  <c r="F26" i="12"/>
  <c r="E26" i="12"/>
  <c r="D26" i="12"/>
  <c r="AE25" i="12"/>
  <c r="AD25" i="12"/>
  <c r="AC25" i="12"/>
  <c r="AA25" i="12"/>
  <c r="Z25" i="12"/>
  <c r="Y25" i="12"/>
  <c r="X25" i="12"/>
  <c r="W25" i="12"/>
  <c r="V25" i="12"/>
  <c r="U25" i="12"/>
  <c r="T25" i="12"/>
  <c r="S25" i="12"/>
  <c r="O25" i="12"/>
  <c r="AE24" i="12"/>
  <c r="AD24" i="12"/>
  <c r="AC24" i="12"/>
  <c r="AA24" i="12"/>
  <c r="Z24" i="12"/>
  <c r="Y24" i="12"/>
  <c r="X24" i="12"/>
  <c r="V24" i="12"/>
  <c r="U24" i="12"/>
  <c r="T24" i="12"/>
  <c r="S24" i="12"/>
  <c r="R24" i="12"/>
  <c r="Q24" i="12"/>
  <c r="P24" i="12"/>
  <c r="O24" i="12"/>
  <c r="N24" i="12"/>
  <c r="M24" i="12"/>
  <c r="L24" i="12"/>
  <c r="K24" i="12"/>
  <c r="J24" i="12"/>
  <c r="I24" i="12"/>
  <c r="H24" i="12"/>
  <c r="G24" i="12"/>
  <c r="F24" i="12"/>
  <c r="E24" i="12"/>
  <c r="D24"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23" i="12"/>
  <c r="AE21" i="12"/>
  <c r="AD21" i="12"/>
  <c r="AC21" i="12"/>
  <c r="AA21" i="12"/>
  <c r="Z21" i="12"/>
  <c r="Y21" i="12"/>
  <c r="X21" i="12"/>
  <c r="V21" i="12"/>
  <c r="U21" i="12"/>
  <c r="T21" i="12"/>
  <c r="S21" i="12"/>
  <c r="K21" i="12"/>
  <c r="AB20" i="12"/>
  <c r="W20" i="12"/>
  <c r="R20" i="12"/>
  <c r="M20" i="12"/>
  <c r="H20" i="12"/>
  <c r="AB19" i="12"/>
  <c r="AB36" i="12" s="1"/>
  <c r="W19" i="12"/>
  <c r="N19" i="12"/>
  <c r="K19" i="12"/>
  <c r="K36" i="12" s="1"/>
  <c r="F19" i="12"/>
  <c r="P18" i="12"/>
  <c r="O18" i="12"/>
  <c r="O28" i="12" s="1"/>
  <c r="N18" i="12"/>
  <c r="N28" i="12" s="1"/>
  <c r="K18" i="12"/>
  <c r="K28" i="12" s="1"/>
  <c r="J18" i="12"/>
  <c r="J28" i="12" s="1"/>
  <c r="I18" i="12"/>
  <c r="I28" i="12" s="1"/>
  <c r="F18" i="12"/>
  <c r="F28" i="12" s="1"/>
  <c r="E18" i="12"/>
  <c r="D18" i="12"/>
  <c r="D28" i="12" s="1"/>
  <c r="V17" i="12"/>
  <c r="U17" i="12"/>
  <c r="U35" i="12" s="1"/>
  <c r="T17" i="12"/>
  <c r="S17" i="12"/>
  <c r="S35" i="12" s="1"/>
  <c r="Q17" i="12"/>
  <c r="P17" i="12"/>
  <c r="P19" i="12" s="1"/>
  <c r="P21" i="12" s="1"/>
  <c r="O17" i="12"/>
  <c r="O19" i="12" s="1"/>
  <c r="N17" i="12"/>
  <c r="K17" i="12"/>
  <c r="K35" i="12" s="1"/>
  <c r="J17" i="12"/>
  <c r="J35" i="12" s="1"/>
  <c r="I17" i="12"/>
  <c r="F17" i="12"/>
  <c r="E17" i="12"/>
  <c r="E19" i="12" s="1"/>
  <c r="D17" i="12"/>
  <c r="AB16" i="12"/>
  <c r="W16" i="12"/>
  <c r="P16" i="12"/>
  <c r="O16" i="12"/>
  <c r="Q16" i="12" s="1"/>
  <c r="R16" i="12" s="1"/>
  <c r="N16" i="12"/>
  <c r="K16" i="12"/>
  <c r="J16" i="12"/>
  <c r="L16" i="12" s="1"/>
  <c r="I16" i="12"/>
  <c r="F16" i="12"/>
  <c r="E16" i="12"/>
  <c r="D16" i="12"/>
  <c r="AB15" i="12"/>
  <c r="W15" i="12"/>
  <c r="Q15" i="12"/>
  <c r="P15" i="12"/>
  <c r="O15" i="12"/>
  <c r="N15" i="12"/>
  <c r="R15" i="12" s="1"/>
  <c r="L15" i="12"/>
  <c r="K15" i="12"/>
  <c r="J15" i="12"/>
  <c r="I15" i="12"/>
  <c r="F15" i="12"/>
  <c r="E15" i="12"/>
  <c r="D15" i="12"/>
  <c r="AB14" i="12"/>
  <c r="W14" i="12"/>
  <c r="P14" i="12"/>
  <c r="O14" i="12"/>
  <c r="N14" i="12"/>
  <c r="L14" i="12"/>
  <c r="K14" i="12"/>
  <c r="J14" i="12"/>
  <c r="I14" i="12"/>
  <c r="M14" i="12" s="1"/>
  <c r="G14" i="12"/>
  <c r="F14" i="12"/>
  <c r="E14" i="12"/>
  <c r="D14" i="12"/>
  <c r="AB13" i="12"/>
  <c r="AB34" i="12" s="1"/>
  <c r="W13" i="12"/>
  <c r="W12" i="12" s="1"/>
  <c r="AB12" i="12"/>
  <c r="Y12" i="12"/>
  <c r="X12" i="12"/>
  <c r="V12" i="12"/>
  <c r="U12" i="12"/>
  <c r="T12" i="12"/>
  <c r="S12" i="12"/>
  <c r="R12" i="12"/>
  <c r="Q12" i="12"/>
  <c r="P12" i="12"/>
  <c r="O12" i="12"/>
  <c r="N12" i="12"/>
  <c r="M12" i="12"/>
  <c r="L12" i="12"/>
  <c r="K12" i="12"/>
  <c r="J12" i="12"/>
  <c r="I12" i="12"/>
  <c r="H12" i="12"/>
  <c r="G12" i="12"/>
  <c r="F12" i="12"/>
  <c r="E12" i="12"/>
  <c r="D12" i="12"/>
  <c r="AB11" i="12"/>
  <c r="W11" i="12"/>
  <c r="W32" i="12" s="1"/>
  <c r="AB10" i="12"/>
  <c r="W10" i="12"/>
  <c r="K10" i="12"/>
  <c r="J10" i="12"/>
  <c r="H10" i="12"/>
  <c r="G10" i="12"/>
  <c r="E10" i="12"/>
  <c r="AB9" i="12"/>
  <c r="W9" i="12"/>
  <c r="P9" i="12"/>
  <c r="O9" i="12"/>
  <c r="N9" i="12"/>
  <c r="K9" i="12"/>
  <c r="J9" i="12"/>
  <c r="I9" i="12"/>
  <c r="G9" i="12"/>
  <c r="F9" i="12"/>
  <c r="E9" i="12"/>
  <c r="D9" i="12"/>
  <c r="H9" i="12" s="1"/>
  <c r="AB8" i="12"/>
  <c r="W8" i="12"/>
  <c r="P8" i="12"/>
  <c r="O8" i="12"/>
  <c r="N8" i="12"/>
  <c r="K8" i="12"/>
  <c r="J8" i="12"/>
  <c r="L8" i="12" s="1"/>
  <c r="I8" i="12"/>
  <c r="F8" i="12"/>
  <c r="E8" i="12"/>
  <c r="G8" i="12" s="1"/>
  <c r="H8" i="12" s="1"/>
  <c r="D8" i="12"/>
  <c r="AB7" i="12"/>
  <c r="W7" i="12"/>
  <c r="Q7" i="12"/>
  <c r="P7" i="12"/>
  <c r="O7" i="12"/>
  <c r="N7" i="12"/>
  <c r="K7" i="12"/>
  <c r="J7" i="12"/>
  <c r="I7" i="12"/>
  <c r="F7" i="12"/>
  <c r="E7" i="12"/>
  <c r="D7" i="12"/>
  <c r="AC6" i="12"/>
  <c r="AA6" i="12"/>
  <c r="Z6" i="12"/>
  <c r="Y6" i="12"/>
  <c r="X6" i="12"/>
  <c r="V6" i="12"/>
  <c r="U6" i="12"/>
  <c r="T6" i="12"/>
  <c r="S6" i="12"/>
  <c r="R6" i="12"/>
  <c r="Q6" i="12"/>
  <c r="P6" i="12"/>
  <c r="O6" i="12"/>
  <c r="N6" i="12"/>
  <c r="M6" i="12"/>
  <c r="L6" i="12"/>
  <c r="K6" i="12"/>
  <c r="J6" i="12"/>
  <c r="I6" i="12"/>
  <c r="H6" i="12"/>
  <c r="G6" i="12"/>
  <c r="F6" i="12"/>
  <c r="E6" i="12"/>
  <c r="D6" i="12"/>
  <c r="AB5" i="12"/>
  <c r="AB25" i="12" s="1"/>
  <c r="W5" i="12"/>
  <c r="W31" i="12" s="1"/>
  <c r="T465" i="11"/>
  <c r="R465" i="11"/>
  <c r="O465" i="11"/>
  <c r="L465" i="11"/>
  <c r="G465" i="11"/>
  <c r="D465" i="11"/>
  <c r="X464" i="11"/>
  <c r="U464" i="11"/>
  <c r="P464" i="11"/>
  <c r="M464" i="11"/>
  <c r="K464" i="11"/>
  <c r="H464" i="11"/>
  <c r="E464" i="11"/>
  <c r="Y463" i="11"/>
  <c r="V463" i="11"/>
  <c r="T463" i="11"/>
  <c r="Q463" i="11"/>
  <c r="N463" i="11"/>
  <c r="I463" i="11"/>
  <c r="F463" i="11"/>
  <c r="D463" i="11"/>
  <c r="Z462" i="11"/>
  <c r="R462" i="11"/>
  <c r="O462" i="11"/>
  <c r="M462" i="11"/>
  <c r="J462" i="11"/>
  <c r="G462" i="11"/>
  <c r="AA461" i="11"/>
  <c r="Z461" i="11"/>
  <c r="Y461" i="11"/>
  <c r="X461" i="11"/>
  <c r="V461" i="11"/>
  <c r="U461" i="11"/>
  <c r="T461" i="11"/>
  <c r="S461" i="11"/>
  <c r="Q461" i="11"/>
  <c r="P461" i="11"/>
  <c r="O461" i="11"/>
  <c r="N461" i="11"/>
  <c r="L461" i="11"/>
  <c r="K461" i="11"/>
  <c r="J461" i="11"/>
  <c r="I461" i="11"/>
  <c r="G461" i="11"/>
  <c r="F461" i="11"/>
  <c r="E461" i="11"/>
  <c r="Y460" i="11"/>
  <c r="T460" i="11"/>
  <c r="Q460" i="11"/>
  <c r="O460" i="11"/>
  <c r="L460" i="11"/>
  <c r="I460" i="11"/>
  <c r="G460" i="11"/>
  <c r="D460" i="11"/>
  <c r="Z456" i="11"/>
  <c r="J456" i="11"/>
  <c r="W455" i="11"/>
  <c r="R455" i="11"/>
  <c r="M455" i="11"/>
  <c r="H455" i="11"/>
  <c r="D455" i="11"/>
  <c r="AA454" i="11"/>
  <c r="Z454" i="11"/>
  <c r="Y454" i="11"/>
  <c r="X454" i="11"/>
  <c r="V454" i="11"/>
  <c r="U454" i="11"/>
  <c r="T454" i="11"/>
  <c r="S454" i="11"/>
  <c r="R454" i="11"/>
  <c r="Q454" i="11"/>
  <c r="P454" i="11"/>
  <c r="O454" i="11"/>
  <c r="N454" i="11"/>
  <c r="M454" i="11"/>
  <c r="L454" i="11"/>
  <c r="K454" i="11"/>
  <c r="J454" i="11"/>
  <c r="I454" i="11"/>
  <c r="H454" i="11"/>
  <c r="G454" i="11"/>
  <c r="F454" i="11"/>
  <c r="E454" i="11"/>
  <c r="D454" i="11"/>
  <c r="AA453" i="11"/>
  <c r="AA465" i="11" s="1"/>
  <c r="Z453" i="11"/>
  <c r="Z465" i="11" s="1"/>
  <c r="Y453" i="11"/>
  <c r="Y465" i="11" s="1"/>
  <c r="X453" i="11"/>
  <c r="X465" i="11" s="1"/>
  <c r="V453" i="11"/>
  <c r="V465" i="11" s="1"/>
  <c r="U453" i="11"/>
  <c r="U465" i="11" s="1"/>
  <c r="T453" i="11"/>
  <c r="S453" i="11"/>
  <c r="S465" i="11" s="1"/>
  <c r="R453" i="11"/>
  <c r="Q453" i="11"/>
  <c r="Q465" i="11" s="1"/>
  <c r="P453" i="11"/>
  <c r="P465" i="11" s="1"/>
  <c r="O453" i="11"/>
  <c r="N453" i="11"/>
  <c r="N465" i="11" s="1"/>
  <c r="M453" i="11"/>
  <c r="M465" i="11" s="1"/>
  <c r="L453" i="11"/>
  <c r="K453" i="11"/>
  <c r="K465" i="11" s="1"/>
  <c r="J453" i="11"/>
  <c r="J465" i="11" s="1"/>
  <c r="I453" i="11"/>
  <c r="I465" i="11" s="1"/>
  <c r="H453" i="11"/>
  <c r="H465" i="11" s="1"/>
  <c r="G453" i="11"/>
  <c r="F453" i="11"/>
  <c r="F465" i="11" s="1"/>
  <c r="E453" i="11"/>
  <c r="E465" i="11" s="1"/>
  <c r="D453" i="11"/>
  <c r="AA452" i="11"/>
  <c r="AA464" i="11" s="1"/>
  <c r="Z452" i="11"/>
  <c r="Z464" i="11" s="1"/>
  <c r="Y452" i="11"/>
  <c r="Y464" i="11" s="1"/>
  <c r="X452" i="11"/>
  <c r="V452" i="11"/>
  <c r="V464" i="11" s="1"/>
  <c r="U452" i="11"/>
  <c r="T452" i="11"/>
  <c r="T464" i="11" s="1"/>
  <c r="S452" i="11"/>
  <c r="S464" i="11" s="1"/>
  <c r="R452" i="11"/>
  <c r="R464" i="11" s="1"/>
  <c r="Q452" i="11"/>
  <c r="Q464" i="11" s="1"/>
  <c r="P452" i="11"/>
  <c r="O452" i="11"/>
  <c r="O464" i="11" s="1"/>
  <c r="N452" i="11"/>
  <c r="N464" i="11" s="1"/>
  <c r="M452" i="11"/>
  <c r="L452" i="11"/>
  <c r="L464" i="11" s="1"/>
  <c r="K452" i="11"/>
  <c r="J452" i="11"/>
  <c r="J464" i="11" s="1"/>
  <c r="I452" i="11"/>
  <c r="I464" i="11" s="1"/>
  <c r="H452" i="11"/>
  <c r="G452" i="11"/>
  <c r="G464" i="11" s="1"/>
  <c r="F452" i="11"/>
  <c r="F464" i="11" s="1"/>
  <c r="E452" i="11"/>
  <c r="D452" i="11"/>
  <c r="D464" i="11" s="1"/>
  <c r="AA451" i="11"/>
  <c r="AA463" i="11" s="1"/>
  <c r="Z451" i="11"/>
  <c r="Z463" i="11" s="1"/>
  <c r="Y451" i="11"/>
  <c r="X451" i="11"/>
  <c r="X463" i="11" s="1"/>
  <c r="V451" i="11"/>
  <c r="U451" i="11"/>
  <c r="U463" i="11" s="1"/>
  <c r="T451" i="11"/>
  <c r="S451" i="11"/>
  <c r="S463" i="11" s="1"/>
  <c r="R451" i="11"/>
  <c r="R463" i="11" s="1"/>
  <c r="Q451" i="11"/>
  <c r="P451" i="11"/>
  <c r="P463" i="11" s="1"/>
  <c r="O451" i="11"/>
  <c r="O463" i="11" s="1"/>
  <c r="N451" i="11"/>
  <c r="M451" i="11"/>
  <c r="M463" i="11" s="1"/>
  <c r="L451" i="11"/>
  <c r="L463" i="11" s="1"/>
  <c r="K451" i="11"/>
  <c r="K463" i="11" s="1"/>
  <c r="J451" i="11"/>
  <c r="J463" i="11" s="1"/>
  <c r="I451" i="11"/>
  <c r="H451" i="11"/>
  <c r="H463" i="11" s="1"/>
  <c r="G451" i="11"/>
  <c r="G463" i="11" s="1"/>
  <c r="F451" i="11"/>
  <c r="E451" i="11"/>
  <c r="E463" i="11" s="1"/>
  <c r="D451" i="11"/>
  <c r="AA450" i="11"/>
  <c r="AA462" i="11" s="1"/>
  <c r="Z450" i="11"/>
  <c r="Y450" i="11"/>
  <c r="Y462" i="11" s="1"/>
  <c r="X450" i="11"/>
  <c r="X462" i="11" s="1"/>
  <c r="V450" i="11"/>
  <c r="V462" i="11" s="1"/>
  <c r="U450" i="11"/>
  <c r="U462" i="11" s="1"/>
  <c r="T450" i="11"/>
  <c r="T462" i="11" s="1"/>
  <c r="S450" i="11"/>
  <c r="S462" i="11" s="1"/>
  <c r="R450" i="11"/>
  <c r="Q450" i="11"/>
  <c r="Q462" i="11" s="1"/>
  <c r="P450" i="11"/>
  <c r="P462" i="11" s="1"/>
  <c r="O450" i="11"/>
  <c r="N450" i="11"/>
  <c r="N462" i="11" s="1"/>
  <c r="M450" i="11"/>
  <c r="L450" i="11"/>
  <c r="L462" i="11" s="1"/>
  <c r="K450" i="11"/>
  <c r="K462" i="11" s="1"/>
  <c r="J450" i="11"/>
  <c r="I450" i="11"/>
  <c r="I462" i="11" s="1"/>
  <c r="H450" i="11"/>
  <c r="H462" i="11" s="1"/>
  <c r="G450" i="11"/>
  <c r="F450" i="11"/>
  <c r="F462" i="11" s="1"/>
  <c r="E450" i="11"/>
  <c r="E462" i="11" s="1"/>
  <c r="D450" i="11"/>
  <c r="D462" i="11" s="1"/>
  <c r="AA449" i="11"/>
  <c r="W449" i="11"/>
  <c r="R449" i="11"/>
  <c r="M449" i="11"/>
  <c r="M461" i="11" s="1"/>
  <c r="D449" i="11"/>
  <c r="AA448" i="11"/>
  <c r="Z448" i="11"/>
  <c r="Z460" i="11" s="1"/>
  <c r="Y448" i="11"/>
  <c r="X448" i="11"/>
  <c r="V448" i="11"/>
  <c r="V460" i="11" s="1"/>
  <c r="U448" i="11"/>
  <c r="T448" i="11"/>
  <c r="S448" i="11"/>
  <c r="R448" i="11"/>
  <c r="R460" i="11" s="1"/>
  <c r="Q448" i="11"/>
  <c r="P448" i="11"/>
  <c r="P460" i="11" s="1"/>
  <c r="O448" i="11"/>
  <c r="O456" i="11" s="1"/>
  <c r="N448" i="11"/>
  <c r="N460" i="11" s="1"/>
  <c r="M448" i="11"/>
  <c r="L448" i="11"/>
  <c r="K448" i="11"/>
  <c r="J448" i="11"/>
  <c r="J460" i="11" s="1"/>
  <c r="I448" i="11"/>
  <c r="H448" i="11"/>
  <c r="H460" i="11" s="1"/>
  <c r="G448" i="11"/>
  <c r="G456" i="11" s="1"/>
  <c r="F448" i="11"/>
  <c r="F460" i="11" s="1"/>
  <c r="E448" i="11"/>
  <c r="D448" i="11"/>
  <c r="Q445" i="11"/>
  <c r="S443" i="11"/>
  <c r="Q443" i="11"/>
  <c r="N443" i="11"/>
  <c r="AA442" i="11"/>
  <c r="Z442" i="11"/>
  <c r="Z443" i="11" s="1"/>
  <c r="Y442" i="11"/>
  <c r="X442" i="11"/>
  <c r="W442" i="11"/>
  <c r="V442" i="11"/>
  <c r="U442" i="11"/>
  <c r="T442" i="11"/>
  <c r="S442" i="11"/>
  <c r="R442" i="11"/>
  <c r="R443" i="11" s="1"/>
  <c r="Q442" i="11"/>
  <c r="P442" i="11"/>
  <c r="O442" i="11"/>
  <c r="N442" i="11"/>
  <c r="M442" i="11"/>
  <c r="L442" i="11"/>
  <c r="K442" i="11"/>
  <c r="J442" i="11"/>
  <c r="J443" i="11" s="1"/>
  <c r="I442" i="11"/>
  <c r="H442" i="11"/>
  <c r="G442" i="11"/>
  <c r="F442" i="11"/>
  <c r="E442" i="11"/>
  <c r="D442" i="11"/>
  <c r="AA437" i="11"/>
  <c r="Z437" i="11"/>
  <c r="Z445" i="11" s="1"/>
  <c r="Y437" i="11"/>
  <c r="Y445" i="11" s="1"/>
  <c r="X437" i="11"/>
  <c r="X445" i="11" s="1"/>
  <c r="V437" i="11"/>
  <c r="U437" i="11"/>
  <c r="T437" i="11"/>
  <c r="S437" i="11"/>
  <c r="R437" i="11"/>
  <c r="R445" i="11" s="1"/>
  <c r="Q437" i="11"/>
  <c r="P437" i="11"/>
  <c r="P445" i="11" s="1"/>
  <c r="O437" i="11"/>
  <c r="O445" i="11" s="1"/>
  <c r="N437" i="11"/>
  <c r="N445" i="11" s="1"/>
  <c r="M437" i="11"/>
  <c r="L437" i="11"/>
  <c r="K437" i="11"/>
  <c r="J437" i="11"/>
  <c r="J445" i="11" s="1"/>
  <c r="I437" i="11"/>
  <c r="I445" i="11" s="1"/>
  <c r="H437" i="11"/>
  <c r="G437" i="11"/>
  <c r="L445" i="11" s="1"/>
  <c r="F437" i="11"/>
  <c r="F443" i="11" s="1"/>
  <c r="E437" i="11"/>
  <c r="D437" i="11"/>
  <c r="AA436" i="11"/>
  <c r="Z436" i="11"/>
  <c r="AA434" i="11"/>
  <c r="AA432" i="11" s="1"/>
  <c r="Z434" i="11"/>
  <c r="Z432" i="11" s="1"/>
  <c r="Y434" i="11"/>
  <c r="Y432" i="11"/>
  <c r="X432" i="11"/>
  <c r="U432" i="11"/>
  <c r="T432" i="11"/>
  <c r="S432" i="11"/>
  <c r="I432" i="11"/>
  <c r="AB430" i="11"/>
  <c r="W430" i="11"/>
  <c r="R430" i="11"/>
  <c r="M430" i="11"/>
  <c r="H430" i="11"/>
  <c r="AB429" i="11"/>
  <c r="W429" i="11"/>
  <c r="R429" i="11"/>
  <c r="M429" i="11"/>
  <c r="H429" i="11"/>
  <c r="AB428" i="11"/>
  <c r="W428" i="11"/>
  <c r="R428" i="11"/>
  <c r="M428" i="11"/>
  <c r="H428" i="11"/>
  <c r="AB427" i="11"/>
  <c r="W427" i="11"/>
  <c r="R427" i="11"/>
  <c r="M427" i="11"/>
  <c r="H427" i="11"/>
  <c r="AB426" i="11"/>
  <c r="W426" i="11"/>
  <c r="R426" i="11"/>
  <c r="M426" i="11"/>
  <c r="H426" i="11"/>
  <c r="AB425" i="11"/>
  <c r="R425" i="11"/>
  <c r="M425" i="11"/>
  <c r="AB424" i="11"/>
  <c r="W424" i="11"/>
  <c r="R424" i="11"/>
  <c r="M424" i="11"/>
  <c r="H424" i="11"/>
  <c r="AB423" i="11"/>
  <c r="W423" i="11"/>
  <c r="R423" i="11"/>
  <c r="M423" i="11"/>
  <c r="M420" i="11" s="1"/>
  <c r="H423" i="11"/>
  <c r="AB422" i="11"/>
  <c r="W422" i="11"/>
  <c r="R422" i="11"/>
  <c r="M422" i="11"/>
  <c r="H422" i="11"/>
  <c r="AB421" i="11"/>
  <c r="W421" i="11"/>
  <c r="W420" i="11" s="1"/>
  <c r="R421" i="11"/>
  <c r="M421" i="11"/>
  <c r="H421" i="11"/>
  <c r="AA420" i="11"/>
  <c r="Z420" i="11"/>
  <c r="Y420" i="11"/>
  <c r="X420" i="11"/>
  <c r="V420" i="11"/>
  <c r="Q420" i="11"/>
  <c r="P420" i="11"/>
  <c r="O420" i="11"/>
  <c r="N420" i="11"/>
  <c r="L420" i="11"/>
  <c r="K420" i="11"/>
  <c r="J420" i="11"/>
  <c r="I420" i="11"/>
  <c r="G420" i="11"/>
  <c r="H420" i="11" s="1"/>
  <c r="F420" i="11"/>
  <c r="E420" i="11"/>
  <c r="D420" i="11"/>
  <c r="X418" i="11"/>
  <c r="V418" i="11"/>
  <c r="L418" i="11"/>
  <c r="K418" i="11"/>
  <c r="E418" i="11"/>
  <c r="AB416" i="11"/>
  <c r="W416" i="11"/>
  <c r="R416" i="11"/>
  <c r="M416" i="11"/>
  <c r="H416" i="11"/>
  <c r="AB415" i="11"/>
  <c r="W415" i="11"/>
  <c r="R415" i="11"/>
  <c r="M415" i="11"/>
  <c r="H415" i="11"/>
  <c r="AB414" i="11"/>
  <c r="W414" i="11"/>
  <c r="R414" i="11"/>
  <c r="M414" i="11"/>
  <c r="H414" i="11"/>
  <c r="AB413" i="11"/>
  <c r="W413" i="11"/>
  <c r="W409" i="11" s="1"/>
  <c r="R413" i="11"/>
  <c r="M413" i="11"/>
  <c r="H413" i="11"/>
  <c r="AB412" i="11"/>
  <c r="W412" i="11"/>
  <c r="R412" i="11"/>
  <c r="M412" i="11"/>
  <c r="M409" i="11" s="1"/>
  <c r="H412" i="11"/>
  <c r="AB411" i="11"/>
  <c r="W411" i="11"/>
  <c r="R411" i="11"/>
  <c r="M411" i="11"/>
  <c r="H411" i="11"/>
  <c r="AB410" i="11"/>
  <c r="W410" i="11"/>
  <c r="R410" i="11"/>
  <c r="R409" i="11" s="1"/>
  <c r="M410" i="11"/>
  <c r="H410" i="11"/>
  <c r="AA409" i="11"/>
  <c r="AA418" i="11" s="1"/>
  <c r="Z409" i="11"/>
  <c r="Y409" i="11"/>
  <c r="Y418" i="11" s="1"/>
  <c r="X409" i="11"/>
  <c r="V409" i="11"/>
  <c r="Q409" i="11"/>
  <c r="P409" i="11"/>
  <c r="O409" i="11"/>
  <c r="N409" i="11"/>
  <c r="L409" i="11"/>
  <c r="K409" i="11"/>
  <c r="J409" i="11"/>
  <c r="J418" i="11" s="1"/>
  <c r="I409" i="11"/>
  <c r="H409" i="11"/>
  <c r="G409" i="11"/>
  <c r="F409" i="11"/>
  <c r="E409" i="11"/>
  <c r="D409" i="11"/>
  <c r="D418" i="11" s="1"/>
  <c r="AB407" i="11"/>
  <c r="W407" i="11"/>
  <c r="R407" i="11"/>
  <c r="M407" i="11"/>
  <c r="H407" i="11"/>
  <c r="AB406" i="11"/>
  <c r="W406" i="11"/>
  <c r="R406" i="11"/>
  <c r="M406" i="11"/>
  <c r="H406" i="11"/>
  <c r="AB405" i="11"/>
  <c r="W405" i="11"/>
  <c r="R405" i="11"/>
  <c r="M405" i="11"/>
  <c r="H405" i="11"/>
  <c r="AB404" i="11"/>
  <c r="W404" i="11"/>
  <c r="R404" i="11"/>
  <c r="M404" i="11"/>
  <c r="H404" i="11"/>
  <c r="AB403" i="11"/>
  <c r="W403" i="11"/>
  <c r="R403" i="11"/>
  <c r="M403" i="11"/>
  <c r="H403" i="11"/>
  <c r="AB402" i="11"/>
  <c r="W402" i="11"/>
  <c r="R402" i="11"/>
  <c r="M402" i="11"/>
  <c r="H402" i="11"/>
  <c r="AB401" i="11"/>
  <c r="W401" i="11"/>
  <c r="R401" i="11"/>
  <c r="M401" i="11"/>
  <c r="H401" i="11"/>
  <c r="AB400" i="11"/>
  <c r="W400" i="11"/>
  <c r="R400" i="11"/>
  <c r="M400" i="11"/>
  <c r="H400" i="11"/>
  <c r="AB399" i="11"/>
  <c r="W399" i="11"/>
  <c r="R399" i="11"/>
  <c r="M399" i="11"/>
  <c r="H399" i="11"/>
  <c r="AB398" i="11"/>
  <c r="AA398" i="11"/>
  <c r="Z398" i="11"/>
  <c r="Z418" i="11" s="1"/>
  <c r="Y398" i="11"/>
  <c r="X398" i="11"/>
  <c r="X434" i="11" s="1"/>
  <c r="V398" i="11"/>
  <c r="V434" i="11" s="1"/>
  <c r="V432" i="11" s="1"/>
  <c r="Q398" i="11"/>
  <c r="Q434" i="11" s="1"/>
  <c r="Q432" i="11" s="1"/>
  <c r="P398" i="11"/>
  <c r="P434" i="11" s="1"/>
  <c r="P432" i="11" s="1"/>
  <c r="O398" i="11"/>
  <c r="N398" i="11"/>
  <c r="L398" i="11"/>
  <c r="L434" i="11" s="1"/>
  <c r="L432" i="11" s="1"/>
  <c r="K398" i="11"/>
  <c r="K434" i="11" s="1"/>
  <c r="K432" i="11" s="1"/>
  <c r="J398" i="11"/>
  <c r="J434" i="11" s="1"/>
  <c r="J432" i="11" s="1"/>
  <c r="I398" i="11"/>
  <c r="I434" i="11" s="1"/>
  <c r="G398" i="11"/>
  <c r="F398" i="11"/>
  <c r="E398" i="11"/>
  <c r="E434" i="11" s="1"/>
  <c r="D398" i="11"/>
  <c r="D434" i="11" s="1"/>
  <c r="D432" i="11" s="1"/>
  <c r="Z396" i="11"/>
  <c r="Y396" i="11"/>
  <c r="X396" i="11"/>
  <c r="Q396" i="11"/>
  <c r="P396" i="11"/>
  <c r="J396" i="11"/>
  <c r="I396" i="11"/>
  <c r="AB394" i="11"/>
  <c r="W394" i="11"/>
  <c r="R394" i="11"/>
  <c r="M394" i="11"/>
  <c r="H394" i="11"/>
  <c r="AB393" i="11"/>
  <c r="W393" i="11"/>
  <c r="R393" i="11"/>
  <c r="M393" i="11"/>
  <c r="H393" i="11"/>
  <c r="AB392" i="11"/>
  <c r="W392" i="11"/>
  <c r="R392" i="11"/>
  <c r="M392" i="11"/>
  <c r="H392" i="11"/>
  <c r="AB391" i="11"/>
  <c r="W391" i="11"/>
  <c r="R391" i="11"/>
  <c r="M391" i="11"/>
  <c r="H391" i="11"/>
  <c r="AB390" i="11"/>
  <c r="W390" i="11"/>
  <c r="R390" i="11"/>
  <c r="M390" i="11"/>
  <c r="H390" i="11"/>
  <c r="AB389" i="11"/>
  <c r="W389" i="11"/>
  <c r="R389" i="11"/>
  <c r="M389" i="11"/>
  <c r="H389" i="11"/>
  <c r="AB388" i="11"/>
  <c r="W388" i="11"/>
  <c r="R388" i="11"/>
  <c r="M388" i="11"/>
  <c r="H388" i="11"/>
  <c r="AB387" i="11"/>
  <c r="W387" i="11"/>
  <c r="R387" i="11"/>
  <c r="M387" i="11"/>
  <c r="H387" i="11"/>
  <c r="AB386" i="11"/>
  <c r="W386" i="11"/>
  <c r="R386" i="11"/>
  <c r="M386" i="11"/>
  <c r="H386" i="11"/>
  <c r="AB385" i="11"/>
  <c r="W385" i="11"/>
  <c r="R385" i="11"/>
  <c r="M385" i="11"/>
  <c r="H385" i="11"/>
  <c r="AB384" i="11"/>
  <c r="W384" i="11"/>
  <c r="W382" i="11" s="1"/>
  <c r="R384" i="11"/>
  <c r="M384" i="11"/>
  <c r="H384" i="11"/>
  <c r="AB383" i="11"/>
  <c r="W383" i="11"/>
  <c r="R383" i="11"/>
  <c r="M383" i="11"/>
  <c r="M382" i="11" s="1"/>
  <c r="H383" i="11"/>
  <c r="AA382" i="11"/>
  <c r="Z382" i="11"/>
  <c r="Y382" i="11"/>
  <c r="X382" i="11"/>
  <c r="V382" i="11"/>
  <c r="U382" i="11"/>
  <c r="T382" i="11"/>
  <c r="S382" i="11"/>
  <c r="Q382" i="11"/>
  <c r="P382" i="11"/>
  <c r="O382" i="11"/>
  <c r="N382" i="11"/>
  <c r="L382" i="11"/>
  <c r="K382" i="11"/>
  <c r="J382" i="11"/>
  <c r="I382" i="11"/>
  <c r="G382" i="11"/>
  <c r="F382" i="11"/>
  <c r="F396" i="11" s="1"/>
  <c r="E382" i="11"/>
  <c r="D382" i="11"/>
  <c r="AB380" i="11"/>
  <c r="W380" i="11"/>
  <c r="R380" i="11"/>
  <c r="M380" i="11"/>
  <c r="H380" i="11"/>
  <c r="AB379" i="11"/>
  <c r="W379" i="11"/>
  <c r="R379" i="11"/>
  <c r="M379" i="11"/>
  <c r="H379" i="11"/>
  <c r="AB378" i="11"/>
  <c r="W378" i="11"/>
  <c r="R378" i="11"/>
  <c r="M378" i="11"/>
  <c r="AB377" i="11"/>
  <c r="W377" i="11"/>
  <c r="R377" i="11"/>
  <c r="M377" i="11"/>
  <c r="H377" i="11"/>
  <c r="AB376" i="11"/>
  <c r="W376" i="11"/>
  <c r="W347" i="11" s="1"/>
  <c r="W340" i="11" s="1"/>
  <c r="R376" i="11"/>
  <c r="M376" i="11"/>
  <c r="H376" i="11"/>
  <c r="AB375" i="11"/>
  <c r="W375" i="11"/>
  <c r="R375" i="11"/>
  <c r="M375" i="11"/>
  <c r="H375" i="11"/>
  <c r="H344" i="11" s="1"/>
  <c r="H345" i="11" s="1"/>
  <c r="AB374" i="11"/>
  <c r="W374" i="11"/>
  <c r="W372" i="11" s="1"/>
  <c r="R374" i="11"/>
  <c r="M374" i="11"/>
  <c r="H374" i="11"/>
  <c r="AB373" i="11"/>
  <c r="AB372" i="11" s="1"/>
  <c r="W373" i="11"/>
  <c r="R373" i="11"/>
  <c r="R372" i="11" s="1"/>
  <c r="M373" i="11"/>
  <c r="H373" i="11"/>
  <c r="H372" i="11" s="1"/>
  <c r="AA372" i="11"/>
  <c r="AA396" i="11" s="1"/>
  <c r="Z372" i="11"/>
  <c r="Y372" i="11"/>
  <c r="X372" i="11"/>
  <c r="V372" i="11"/>
  <c r="V396" i="11" s="1"/>
  <c r="U372" i="11"/>
  <c r="T372" i="11"/>
  <c r="T396" i="11" s="1"/>
  <c r="S372" i="11"/>
  <c r="S396" i="11" s="1"/>
  <c r="Q372" i="11"/>
  <c r="P372" i="11"/>
  <c r="O372" i="11"/>
  <c r="O396" i="11" s="1"/>
  <c r="N372" i="11"/>
  <c r="L372" i="11"/>
  <c r="L396" i="11" s="1"/>
  <c r="K372" i="11"/>
  <c r="K396" i="11" s="1"/>
  <c r="J372" i="11"/>
  <c r="I372" i="11"/>
  <c r="G372" i="11"/>
  <c r="G396" i="11" s="1"/>
  <c r="E372" i="11"/>
  <c r="E396" i="11" s="1"/>
  <c r="D372" i="11"/>
  <c r="D396" i="11" s="1"/>
  <c r="H366" i="11"/>
  <c r="G366" i="11"/>
  <c r="F366" i="11"/>
  <c r="E366" i="11"/>
  <c r="D366" i="11"/>
  <c r="AA364" i="11"/>
  <c r="X364" i="11"/>
  <c r="W364" i="11"/>
  <c r="V364" i="11"/>
  <c r="U364" i="11"/>
  <c r="T364" i="11"/>
  <c r="S364" i="11"/>
  <c r="R364" i="11"/>
  <c r="Q364" i="11"/>
  <c r="P364" i="11"/>
  <c r="O364" i="11"/>
  <c r="N364" i="11"/>
  <c r="M364" i="11"/>
  <c r="L364" i="11"/>
  <c r="K364" i="11"/>
  <c r="J364" i="11"/>
  <c r="I364" i="11"/>
  <c r="H364" i="11"/>
  <c r="G364" i="11"/>
  <c r="F364" i="11"/>
  <c r="E364" i="11"/>
  <c r="D364" i="11"/>
  <c r="AA359" i="11"/>
  <c r="Z359" i="11"/>
  <c r="Y359" i="11"/>
  <c r="X359" i="11"/>
  <c r="AB359" i="11" s="1"/>
  <c r="D359" i="11"/>
  <c r="AA357" i="11"/>
  <c r="Z357" i="11"/>
  <c r="Z364" i="11" s="1"/>
  <c r="Y357" i="11"/>
  <c r="AA354" i="11"/>
  <c r="Z354" i="11"/>
  <c r="V351" i="11"/>
  <c r="U351" i="11"/>
  <c r="Q351" i="11"/>
  <c r="O351" i="11"/>
  <c r="N351" i="11"/>
  <c r="M351" i="11"/>
  <c r="I351" i="11"/>
  <c r="E351" i="11"/>
  <c r="AB350" i="11"/>
  <c r="AA350" i="11"/>
  <c r="AB351" i="11" s="1"/>
  <c r="Z350" i="11"/>
  <c r="AA351" i="11" s="1"/>
  <c r="Y350" i="11"/>
  <c r="Z351" i="11" s="1"/>
  <c r="X350" i="11"/>
  <c r="W350" i="11"/>
  <c r="X351" i="11" s="1"/>
  <c r="V350" i="11"/>
  <c r="W351" i="11" s="1"/>
  <c r="U350" i="11"/>
  <c r="T350" i="11"/>
  <c r="S350" i="11"/>
  <c r="T351" i="11" s="1"/>
  <c r="R350" i="11"/>
  <c r="R351" i="11" s="1"/>
  <c r="Q350" i="11"/>
  <c r="P350" i="11"/>
  <c r="P351" i="11" s="1"/>
  <c r="O350" i="11"/>
  <c r="N350" i="11"/>
  <c r="M350" i="11"/>
  <c r="L350" i="11"/>
  <c r="L351" i="11" s="1"/>
  <c r="K350" i="11"/>
  <c r="K351" i="11" s="1"/>
  <c r="J350" i="11"/>
  <c r="J351" i="11" s="1"/>
  <c r="I350" i="11"/>
  <c r="H350" i="11"/>
  <c r="G350" i="11"/>
  <c r="G351" i="11" s="1"/>
  <c r="F350" i="11"/>
  <c r="F351" i="11" s="1"/>
  <c r="E350" i="11"/>
  <c r="D350" i="11"/>
  <c r="D351" i="11" s="1"/>
  <c r="AA348" i="11"/>
  <c r="Y348" i="11"/>
  <c r="X348" i="11"/>
  <c r="W348" i="11"/>
  <c r="S348" i="11"/>
  <c r="Q348" i="11"/>
  <c r="O348" i="11"/>
  <c r="K348" i="11"/>
  <c r="I348" i="11"/>
  <c r="H348" i="11"/>
  <c r="G348" i="11"/>
  <c r="AB347" i="11"/>
  <c r="AA347" i="11"/>
  <c r="AB348" i="11" s="1"/>
  <c r="Z347" i="11"/>
  <c r="Y347" i="11"/>
  <c r="X347" i="11"/>
  <c r="V347" i="11"/>
  <c r="U347" i="11"/>
  <c r="V348" i="11" s="1"/>
  <c r="T347" i="11"/>
  <c r="U348" i="11" s="1"/>
  <c r="S347" i="11"/>
  <c r="T348" i="11" s="1"/>
  <c r="R347" i="11"/>
  <c r="R348" i="11" s="1"/>
  <c r="Q347" i="11"/>
  <c r="P347" i="11"/>
  <c r="O347" i="11"/>
  <c r="N347" i="11"/>
  <c r="N348" i="11" s="1"/>
  <c r="L347" i="11"/>
  <c r="L348" i="11" s="1"/>
  <c r="K347" i="11"/>
  <c r="J347" i="11"/>
  <c r="J348" i="11" s="1"/>
  <c r="I347" i="11"/>
  <c r="H347" i="11"/>
  <c r="G347" i="11"/>
  <c r="F347" i="11"/>
  <c r="F348" i="11" s="1"/>
  <c r="E347" i="11"/>
  <c r="E348" i="11" s="1"/>
  <c r="D347" i="11"/>
  <c r="D348" i="11" s="1"/>
  <c r="AA345" i="11"/>
  <c r="Y345" i="11"/>
  <c r="U345" i="11"/>
  <c r="S345" i="11"/>
  <c r="Q345" i="11"/>
  <c r="M345" i="11"/>
  <c r="K345" i="11"/>
  <c r="I345" i="11"/>
  <c r="E345" i="11"/>
  <c r="AB344" i="11"/>
  <c r="AA344" i="11"/>
  <c r="AA340" i="11" s="1"/>
  <c r="Z344" i="11"/>
  <c r="Z345" i="11" s="1"/>
  <c r="Y344" i="11"/>
  <c r="X344" i="11"/>
  <c r="X345" i="11" s="1"/>
  <c r="W344" i="11"/>
  <c r="W345" i="11" s="1"/>
  <c r="V344" i="11"/>
  <c r="V345" i="11" s="1"/>
  <c r="U344" i="11"/>
  <c r="T344" i="11"/>
  <c r="S344" i="11"/>
  <c r="R344" i="11"/>
  <c r="Q344" i="11"/>
  <c r="P344" i="11"/>
  <c r="P345" i="11" s="1"/>
  <c r="O344" i="11"/>
  <c r="O345" i="11" s="1"/>
  <c r="N344" i="11"/>
  <c r="N345" i="11" s="1"/>
  <c r="M344" i="11"/>
  <c r="L344" i="11"/>
  <c r="K344" i="11"/>
  <c r="J344" i="11"/>
  <c r="I344" i="11"/>
  <c r="G344" i="11"/>
  <c r="G345" i="11" s="1"/>
  <c r="F344" i="11"/>
  <c r="F345" i="11" s="1"/>
  <c r="E344" i="11"/>
  <c r="D344" i="11"/>
  <c r="D345" i="11" s="1"/>
  <c r="W342" i="11"/>
  <c r="O341" i="11"/>
  <c r="O366" i="11" s="1"/>
  <c r="Z340" i="11"/>
  <c r="Z342" i="11" s="1"/>
  <c r="V340" i="11"/>
  <c r="U340" i="11"/>
  <c r="S340" i="11"/>
  <c r="Q340" i="11"/>
  <c r="Q342" i="11" s="1"/>
  <c r="O340" i="11"/>
  <c r="O342" i="11" s="1"/>
  <c r="N340" i="11"/>
  <c r="K340" i="11"/>
  <c r="K342" i="11" s="1"/>
  <c r="I340" i="11"/>
  <c r="G340" i="11"/>
  <c r="F340" i="11"/>
  <c r="E340" i="11"/>
  <c r="AA339" i="11"/>
  <c r="Z339" i="11"/>
  <c r="L334" i="11"/>
  <c r="L331" i="11"/>
  <c r="AA330" i="11"/>
  <c r="Z330" i="11"/>
  <c r="AA328" i="11"/>
  <c r="Z328" i="11"/>
  <c r="Y328" i="11"/>
  <c r="X328" i="11"/>
  <c r="W328" i="11"/>
  <c r="V328" i="11"/>
  <c r="U328" i="11"/>
  <c r="T328" i="11"/>
  <c r="S328" i="11"/>
  <c r="R328" i="11"/>
  <c r="Q328" i="11"/>
  <c r="P328" i="11"/>
  <c r="O328" i="11"/>
  <c r="N328" i="11"/>
  <c r="M328" i="11"/>
  <c r="L328" i="11"/>
  <c r="K328" i="11"/>
  <c r="J328" i="11"/>
  <c r="I328" i="11"/>
  <c r="H328" i="11"/>
  <c r="G328" i="11"/>
  <c r="F328" i="11"/>
  <c r="E328" i="11"/>
  <c r="D328" i="11"/>
  <c r="V327" i="11"/>
  <c r="V337" i="11" s="1"/>
  <c r="R327" i="11"/>
  <c r="R337" i="11" s="1"/>
  <c r="P327" i="11"/>
  <c r="P337" i="11" s="1"/>
  <c r="N327" i="11"/>
  <c r="N337" i="11" s="1"/>
  <c r="F327" i="11"/>
  <c r="F337" i="11" s="1"/>
  <c r="U326" i="11"/>
  <c r="U336" i="11" s="1"/>
  <c r="Q326" i="11"/>
  <c r="Q336" i="11" s="1"/>
  <c r="O326" i="11"/>
  <c r="O336" i="11" s="1"/>
  <c r="M326" i="11"/>
  <c r="M336" i="11" s="1"/>
  <c r="E326" i="11"/>
  <c r="E336" i="11" s="1"/>
  <c r="Z323" i="11"/>
  <c r="Z333" i="11" s="1"/>
  <c r="X322" i="11"/>
  <c r="X332" i="11" s="1"/>
  <c r="O322" i="11"/>
  <c r="O332" i="11" s="1"/>
  <c r="L321" i="11"/>
  <c r="AA320" i="11"/>
  <c r="Z320" i="11"/>
  <c r="X317" i="11"/>
  <c r="U316" i="11"/>
  <c r="T316" i="11"/>
  <c r="Q316" i="11"/>
  <c r="L316" i="11"/>
  <c r="I316" i="11"/>
  <c r="Z315" i="11"/>
  <c r="U315" i="11"/>
  <c r="S315" i="11"/>
  <c r="R315" i="11"/>
  <c r="I315" i="11"/>
  <c r="L314" i="11"/>
  <c r="K314" i="11"/>
  <c r="K313" i="11"/>
  <c r="X312" i="11"/>
  <c r="K312" i="11"/>
  <c r="Z311" i="11"/>
  <c r="Y311" i="11"/>
  <c r="AA310" i="11"/>
  <c r="Z310" i="11"/>
  <c r="N302" i="11"/>
  <c r="AA301" i="11"/>
  <c r="Z301" i="11"/>
  <c r="N299" i="11"/>
  <c r="K299" i="11"/>
  <c r="AA298" i="11"/>
  <c r="AA317" i="11" s="1"/>
  <c r="Z298" i="11"/>
  <c r="Y298" i="11"/>
  <c r="Y317" i="11" s="1"/>
  <c r="X298" i="11"/>
  <c r="V298" i="11"/>
  <c r="V317" i="11" s="1"/>
  <c r="U298" i="11"/>
  <c r="U317" i="11" s="1"/>
  <c r="T298" i="11"/>
  <c r="S298" i="11"/>
  <c r="S317" i="11" s="1"/>
  <c r="Q298" i="11"/>
  <c r="P298" i="11"/>
  <c r="P317" i="11" s="1"/>
  <c r="O298" i="11"/>
  <c r="N298" i="11"/>
  <c r="N317" i="11" s="1"/>
  <c r="M298" i="11"/>
  <c r="L298" i="11"/>
  <c r="K298" i="11"/>
  <c r="K317" i="11" s="1"/>
  <c r="J298" i="11"/>
  <c r="I298" i="11"/>
  <c r="I317" i="11" s="1"/>
  <c r="G298" i="11"/>
  <c r="F298" i="11"/>
  <c r="E298" i="11"/>
  <c r="D298" i="11"/>
  <c r="AA297" i="11"/>
  <c r="Z297" i="11"/>
  <c r="Y297" i="11"/>
  <c r="Y316" i="11" s="1"/>
  <c r="X297" i="11"/>
  <c r="V297" i="11"/>
  <c r="U297" i="11"/>
  <c r="T297" i="11"/>
  <c r="S297" i="11"/>
  <c r="Q297" i="11"/>
  <c r="P297" i="11"/>
  <c r="O297" i="11"/>
  <c r="N297" i="11"/>
  <c r="N316" i="11" s="1"/>
  <c r="L297" i="11"/>
  <c r="K297" i="11"/>
  <c r="J297" i="11"/>
  <c r="I297" i="11"/>
  <c r="G297" i="11"/>
  <c r="F297" i="11"/>
  <c r="E297" i="11"/>
  <c r="D297" i="11"/>
  <c r="AB296" i="11"/>
  <c r="AA296" i="11"/>
  <c r="AA315" i="11" s="1"/>
  <c r="Z296" i="11"/>
  <c r="Y296" i="11"/>
  <c r="X296" i="11"/>
  <c r="V296" i="11"/>
  <c r="U296" i="11"/>
  <c r="T296" i="11"/>
  <c r="S296" i="11"/>
  <c r="Q296" i="11"/>
  <c r="P296" i="11"/>
  <c r="O296" i="11"/>
  <c r="O315" i="11" s="1"/>
  <c r="N296" i="11"/>
  <c r="L296" i="11"/>
  <c r="K296" i="11"/>
  <c r="J296" i="11"/>
  <c r="I296" i="11"/>
  <c r="G296" i="11"/>
  <c r="F296" i="11"/>
  <c r="E296" i="11"/>
  <c r="J315" i="11" s="1"/>
  <c r="D296" i="11"/>
  <c r="AA295" i="11"/>
  <c r="Z295" i="11"/>
  <c r="Y295" i="11"/>
  <c r="X295" i="11"/>
  <c r="V295" i="11"/>
  <c r="V314" i="11" s="1"/>
  <c r="U295" i="11"/>
  <c r="T295" i="11"/>
  <c r="Y314" i="11" s="1"/>
  <c r="S295" i="11"/>
  <c r="Q295" i="11"/>
  <c r="P295" i="11"/>
  <c r="O295" i="11"/>
  <c r="N295" i="11"/>
  <c r="L295" i="11"/>
  <c r="Q314" i="11" s="1"/>
  <c r="K295" i="11"/>
  <c r="J295" i="11"/>
  <c r="I295" i="11"/>
  <c r="H295" i="11"/>
  <c r="G295" i="11"/>
  <c r="F295" i="11"/>
  <c r="E295" i="11"/>
  <c r="D295" i="11"/>
  <c r="I314" i="11" s="1"/>
  <c r="AA294" i="11"/>
  <c r="Z294" i="11"/>
  <c r="Y294" i="11"/>
  <c r="X294" i="11"/>
  <c r="V294" i="11"/>
  <c r="U294" i="11"/>
  <c r="T294" i="11"/>
  <c r="T313" i="11" s="1"/>
  <c r="S294" i="11"/>
  <c r="S313" i="11" s="1"/>
  <c r="Q294" i="11"/>
  <c r="P294" i="11"/>
  <c r="O294" i="11"/>
  <c r="O313" i="11" s="1"/>
  <c r="N294" i="11"/>
  <c r="L294" i="11"/>
  <c r="L313" i="11" s="1"/>
  <c r="K294" i="11"/>
  <c r="J294" i="11"/>
  <c r="I294" i="11"/>
  <c r="G294" i="11"/>
  <c r="F294" i="11"/>
  <c r="E294" i="11"/>
  <c r="D294" i="11"/>
  <c r="AA293" i="11"/>
  <c r="Z293" i="11"/>
  <c r="Y293" i="11"/>
  <c r="X293" i="11"/>
  <c r="V293" i="11"/>
  <c r="AA312" i="11" s="1"/>
  <c r="U293" i="11"/>
  <c r="T293" i="11"/>
  <c r="S293" i="11"/>
  <c r="Q293" i="11"/>
  <c r="P293" i="11"/>
  <c r="O293" i="11"/>
  <c r="O312" i="11" s="1"/>
  <c r="N293" i="11"/>
  <c r="N312" i="11" s="1"/>
  <c r="L293" i="11"/>
  <c r="K293" i="11"/>
  <c r="J293" i="11"/>
  <c r="I293" i="11"/>
  <c r="H293" i="11"/>
  <c r="G293" i="11"/>
  <c r="F293" i="11"/>
  <c r="E293" i="11"/>
  <c r="D293" i="11"/>
  <c r="AA292" i="11"/>
  <c r="Z292" i="11"/>
  <c r="Y292" i="11"/>
  <c r="X292" i="11"/>
  <c r="V292" i="11"/>
  <c r="U292" i="11"/>
  <c r="T292" i="11"/>
  <c r="S292" i="11"/>
  <c r="Q292" i="11"/>
  <c r="P292" i="11"/>
  <c r="O292" i="11"/>
  <c r="N292" i="11"/>
  <c r="L292" i="11"/>
  <c r="K292" i="11"/>
  <c r="K311" i="11" s="1"/>
  <c r="J292" i="11"/>
  <c r="I292" i="11"/>
  <c r="H292" i="11"/>
  <c r="G292" i="11"/>
  <c r="F292" i="11"/>
  <c r="F299" i="11" s="1"/>
  <c r="E292" i="11"/>
  <c r="D292" i="11"/>
  <c r="AA291" i="11"/>
  <c r="Z291" i="11"/>
  <c r="AB288" i="11"/>
  <c r="AB298" i="11" s="1"/>
  <c r="W288" i="11"/>
  <c r="W298" i="11" s="1"/>
  <c r="R288" i="11"/>
  <c r="R298" i="11" s="1"/>
  <c r="M288" i="11"/>
  <c r="H288" i="11"/>
  <c r="H298" i="11" s="1"/>
  <c r="AA287" i="11"/>
  <c r="Z287" i="11"/>
  <c r="Y287" i="11"/>
  <c r="X287" i="11"/>
  <c r="V287" i="11"/>
  <c r="U287" i="11"/>
  <c r="T287" i="11"/>
  <c r="S287" i="11"/>
  <c r="R287" i="11"/>
  <c r="Q287" i="11"/>
  <c r="P287" i="11"/>
  <c r="O287" i="11"/>
  <c r="N287" i="11"/>
  <c r="M287" i="11"/>
  <c r="L287" i="11"/>
  <c r="K287" i="11"/>
  <c r="J287" i="11"/>
  <c r="I287" i="11"/>
  <c r="AB286" i="11"/>
  <c r="W286" i="11"/>
  <c r="AA284" i="11"/>
  <c r="X284" i="11"/>
  <c r="V284" i="11"/>
  <c r="T284" i="11"/>
  <c r="S284" i="11"/>
  <c r="K284" i="11"/>
  <c r="I284" i="11"/>
  <c r="AA283" i="11"/>
  <c r="AA327" i="11" s="1"/>
  <c r="AA337" i="11" s="1"/>
  <c r="Z283" i="11"/>
  <c r="Y283" i="11"/>
  <c r="Y327" i="11" s="1"/>
  <c r="Y337" i="11" s="1"/>
  <c r="X283" i="11"/>
  <c r="X327" i="11" s="1"/>
  <c r="X337" i="11" s="1"/>
  <c r="V283" i="11"/>
  <c r="U283" i="11"/>
  <c r="T283" i="11"/>
  <c r="T327" i="11" s="1"/>
  <c r="T337" i="11" s="1"/>
  <c r="S283" i="11"/>
  <c r="S327" i="11" s="1"/>
  <c r="S337" i="11" s="1"/>
  <c r="R283" i="11"/>
  <c r="Q283" i="11"/>
  <c r="Q327" i="11" s="1"/>
  <c r="Q337" i="11" s="1"/>
  <c r="P283" i="11"/>
  <c r="P284" i="11" s="1"/>
  <c r="O283" i="11"/>
  <c r="O327" i="11" s="1"/>
  <c r="O337" i="11" s="1"/>
  <c r="N283" i="11"/>
  <c r="M283" i="11"/>
  <c r="L283" i="11"/>
  <c r="L327" i="11" s="1"/>
  <c r="L337" i="11" s="1"/>
  <c r="K283" i="11"/>
  <c r="K327" i="11" s="1"/>
  <c r="K337" i="11" s="1"/>
  <c r="J283" i="11"/>
  <c r="I283" i="11"/>
  <c r="I327" i="11" s="1"/>
  <c r="I337" i="11" s="1"/>
  <c r="H283" i="11"/>
  <c r="H327" i="11" s="1"/>
  <c r="H337" i="11" s="1"/>
  <c r="G283" i="11"/>
  <c r="G327" i="11" s="1"/>
  <c r="G337" i="11" s="1"/>
  <c r="F283" i="11"/>
  <c r="E283" i="11"/>
  <c r="E327" i="11" s="1"/>
  <c r="E337" i="11" s="1"/>
  <c r="D283" i="11"/>
  <c r="D327" i="11" s="1"/>
  <c r="D337" i="11" s="1"/>
  <c r="AA281" i="11"/>
  <c r="Z281" i="11"/>
  <c r="Y281" i="11"/>
  <c r="X281" i="11"/>
  <c r="V281" i="11"/>
  <c r="U281" i="11"/>
  <c r="T281" i="11"/>
  <c r="S281" i="11"/>
  <c r="R281" i="11"/>
  <c r="Q281" i="11"/>
  <c r="P281" i="11"/>
  <c r="O281" i="11"/>
  <c r="N281" i="11"/>
  <c r="M281" i="11"/>
  <c r="L281" i="11"/>
  <c r="K281" i="11"/>
  <c r="J281" i="11"/>
  <c r="I281" i="11"/>
  <c r="AB280" i="11"/>
  <c r="AB281" i="11" s="1"/>
  <c r="W280" i="11"/>
  <c r="W281" i="11" s="1"/>
  <c r="AB278" i="11"/>
  <c r="W278" i="11"/>
  <c r="AA277" i="11"/>
  <c r="Z277" i="11"/>
  <c r="AA275" i="11"/>
  <c r="Z275" i="11"/>
  <c r="Y275" i="11"/>
  <c r="X275" i="11"/>
  <c r="W275" i="11"/>
  <c r="V275" i="11"/>
  <c r="U275" i="11"/>
  <c r="T275" i="11"/>
  <c r="S275" i="11"/>
  <c r="R275" i="11"/>
  <c r="Q275" i="11"/>
  <c r="P275" i="11"/>
  <c r="O275" i="11"/>
  <c r="N275" i="11"/>
  <c r="L275" i="11"/>
  <c r="K275" i="11"/>
  <c r="J275" i="11"/>
  <c r="I275" i="11"/>
  <c r="AB274" i="11"/>
  <c r="W274" i="11"/>
  <c r="W297" i="11" s="1"/>
  <c r="R274" i="11"/>
  <c r="R297" i="11" s="1"/>
  <c r="M274" i="11"/>
  <c r="M275" i="11" s="1"/>
  <c r="H274" i="11"/>
  <c r="H297" i="11" s="1"/>
  <c r="AA273" i="11"/>
  <c r="Z273" i="11"/>
  <c r="Y273" i="11"/>
  <c r="X273" i="11"/>
  <c r="W273" i="11"/>
  <c r="V273" i="11"/>
  <c r="U273" i="11"/>
  <c r="T273" i="11"/>
  <c r="S273" i="11"/>
  <c r="R273" i="11"/>
  <c r="Q273" i="11"/>
  <c r="P273" i="11"/>
  <c r="O273" i="11"/>
  <c r="N273" i="11"/>
  <c r="M273" i="11"/>
  <c r="L273" i="11"/>
  <c r="K273" i="11"/>
  <c r="J273" i="11"/>
  <c r="I273" i="11"/>
  <c r="AB272" i="11"/>
  <c r="AA272" i="11"/>
  <c r="Z272" i="11"/>
  <c r="Y272" i="11"/>
  <c r="X272" i="11"/>
  <c r="V272" i="11"/>
  <c r="U272" i="11"/>
  <c r="T272" i="11"/>
  <c r="S272" i="11"/>
  <c r="R272" i="11"/>
  <c r="Q272" i="11"/>
  <c r="P272" i="11"/>
  <c r="O272" i="11"/>
  <c r="N272" i="11"/>
  <c r="M272" i="11"/>
  <c r="L272" i="11"/>
  <c r="K272" i="11"/>
  <c r="J272" i="11"/>
  <c r="I272" i="11"/>
  <c r="H272" i="11"/>
  <c r="G272" i="11"/>
  <c r="F272" i="11"/>
  <c r="E272" i="11"/>
  <c r="D272" i="11"/>
  <c r="AB271" i="11"/>
  <c r="AB453" i="11" s="1"/>
  <c r="W271" i="11"/>
  <c r="W453" i="11" s="1"/>
  <c r="W269" i="11"/>
  <c r="S269" i="11"/>
  <c r="N269" i="11"/>
  <c r="M269" i="11"/>
  <c r="J269" i="11"/>
  <c r="AA268" i="11"/>
  <c r="AA269" i="11" s="1"/>
  <c r="Z268" i="11"/>
  <c r="Z326" i="11" s="1"/>
  <c r="Z336" i="11" s="1"/>
  <c r="Y268" i="11"/>
  <c r="X268" i="11"/>
  <c r="W268" i="11"/>
  <c r="W326" i="11" s="1"/>
  <c r="W336" i="11" s="1"/>
  <c r="V268" i="11"/>
  <c r="V326" i="11" s="1"/>
  <c r="V336" i="11" s="1"/>
  <c r="U268" i="11"/>
  <c r="T268" i="11"/>
  <c r="T326" i="11" s="1"/>
  <c r="T336" i="11" s="1"/>
  <c r="S268" i="11"/>
  <c r="S326" i="11" s="1"/>
  <c r="S336" i="11" s="1"/>
  <c r="R268" i="11"/>
  <c r="R326" i="11" s="1"/>
  <c r="R336" i="11" s="1"/>
  <c r="Q268" i="11"/>
  <c r="Q269" i="11" s="1"/>
  <c r="P268" i="11"/>
  <c r="O268" i="11"/>
  <c r="N268" i="11"/>
  <c r="N326" i="11" s="1"/>
  <c r="N336" i="11" s="1"/>
  <c r="M268" i="11"/>
  <c r="L268" i="11"/>
  <c r="L326" i="11" s="1"/>
  <c r="L336" i="11" s="1"/>
  <c r="K268" i="11"/>
  <c r="K326" i="11" s="1"/>
  <c r="K336" i="11" s="1"/>
  <c r="J268" i="11"/>
  <c r="J326" i="11" s="1"/>
  <c r="J336" i="11" s="1"/>
  <c r="I268" i="11"/>
  <c r="H268" i="11"/>
  <c r="H326" i="11" s="1"/>
  <c r="H336" i="11" s="1"/>
  <c r="G268" i="11"/>
  <c r="G326" i="11" s="1"/>
  <c r="G336" i="11" s="1"/>
  <c r="F268" i="11"/>
  <c r="F326" i="11" s="1"/>
  <c r="F336" i="11" s="1"/>
  <c r="E268" i="11"/>
  <c r="D268" i="11"/>
  <c r="D326" i="11" s="1"/>
  <c r="D336" i="11" s="1"/>
  <c r="AB266" i="11"/>
  <c r="AA266" i="11"/>
  <c r="Z266" i="11"/>
  <c r="Y266" i="11"/>
  <c r="X266" i="11"/>
  <c r="W266" i="11"/>
  <c r="V266" i="11"/>
  <c r="U266" i="11"/>
  <c r="T266" i="11"/>
  <c r="S266" i="11"/>
  <c r="R266" i="11"/>
  <c r="Q266" i="11"/>
  <c r="P266" i="11"/>
  <c r="O266" i="11"/>
  <c r="N266" i="11"/>
  <c r="M266" i="11"/>
  <c r="L266" i="11"/>
  <c r="K266" i="11"/>
  <c r="J266" i="11"/>
  <c r="I266" i="11"/>
  <c r="AA265" i="11"/>
  <c r="Z265" i="11"/>
  <c r="Y265" i="11"/>
  <c r="X265" i="11"/>
  <c r="W265" i="11"/>
  <c r="V265" i="11"/>
  <c r="U265" i="11"/>
  <c r="T265" i="11"/>
  <c r="S265" i="11"/>
  <c r="R265" i="11"/>
  <c r="Q265" i="11"/>
  <c r="P265" i="11"/>
  <c r="O265" i="11"/>
  <c r="N265" i="11"/>
  <c r="M265" i="11"/>
  <c r="L265" i="11"/>
  <c r="K265" i="11"/>
  <c r="J265" i="11"/>
  <c r="I265" i="11"/>
  <c r="H265" i="11"/>
  <c r="G265" i="11"/>
  <c r="F265" i="11"/>
  <c r="E265" i="11"/>
  <c r="D265" i="11"/>
  <c r="AB264" i="11"/>
  <c r="W264" i="11"/>
  <c r="AA263" i="11"/>
  <c r="Z263" i="11"/>
  <c r="Y263" i="11"/>
  <c r="X263" i="11"/>
  <c r="W263" i="11"/>
  <c r="V263" i="11"/>
  <c r="U263" i="11"/>
  <c r="T263" i="11"/>
  <c r="S263" i="11"/>
  <c r="R263" i="11"/>
  <c r="Q263" i="11"/>
  <c r="P263" i="11"/>
  <c r="O263" i="11"/>
  <c r="N263" i="11"/>
  <c r="M263" i="11"/>
  <c r="L263" i="11"/>
  <c r="K263" i="11"/>
  <c r="J263" i="11"/>
  <c r="I263" i="11"/>
  <c r="H263" i="11"/>
  <c r="G263" i="11"/>
  <c r="F263" i="11"/>
  <c r="E263" i="11"/>
  <c r="D263" i="11"/>
  <c r="AA261" i="11"/>
  <c r="Z261" i="11"/>
  <c r="Y261" i="11"/>
  <c r="X261" i="11"/>
  <c r="V261" i="11"/>
  <c r="U261" i="11"/>
  <c r="T261" i="11"/>
  <c r="S261" i="11"/>
  <c r="R261" i="11"/>
  <c r="Q261" i="11"/>
  <c r="P261" i="11"/>
  <c r="O261" i="11"/>
  <c r="N261" i="11"/>
  <c r="M261" i="11"/>
  <c r="L261" i="11"/>
  <c r="K261" i="11"/>
  <c r="J261" i="11"/>
  <c r="I261" i="11"/>
  <c r="AB260" i="11"/>
  <c r="AB265" i="11" s="1"/>
  <c r="W260" i="11"/>
  <c r="W261" i="11" s="1"/>
  <c r="AA259" i="11"/>
  <c r="Z259" i="11"/>
  <c r="AA257" i="11"/>
  <c r="Z257" i="11"/>
  <c r="Y257" i="11"/>
  <c r="X257" i="11"/>
  <c r="V257" i="11"/>
  <c r="U257" i="11"/>
  <c r="T257" i="11"/>
  <c r="S257" i="11"/>
  <c r="R257" i="11"/>
  <c r="Q257" i="11"/>
  <c r="P257" i="11"/>
  <c r="O257" i="11"/>
  <c r="N257" i="11"/>
  <c r="L257" i="11"/>
  <c r="K257" i="11"/>
  <c r="J257" i="11"/>
  <c r="I257" i="11"/>
  <c r="AB256" i="11"/>
  <c r="AB257" i="11" s="1"/>
  <c r="W256" i="11"/>
  <c r="W257" i="11" s="1"/>
  <c r="R256" i="11"/>
  <c r="R296" i="11" s="1"/>
  <c r="M256" i="11"/>
  <c r="M296" i="11" s="1"/>
  <c r="H256" i="11"/>
  <c r="H296" i="11" s="1"/>
  <c r="AA255" i="11"/>
  <c r="Z255" i="11"/>
  <c r="Y255" i="11"/>
  <c r="X255" i="11"/>
  <c r="W255" i="11"/>
  <c r="V255" i="11"/>
  <c r="U255" i="11"/>
  <c r="T255" i="11"/>
  <c r="S255" i="11"/>
  <c r="R255" i="11"/>
  <c r="Q255" i="11"/>
  <c r="P255" i="11"/>
  <c r="O255" i="11"/>
  <c r="N255" i="11"/>
  <c r="M255" i="11"/>
  <c r="L255" i="11"/>
  <c r="K255" i="11"/>
  <c r="J255" i="11"/>
  <c r="I255" i="11"/>
  <c r="AA254" i="11"/>
  <c r="Z254" i="11"/>
  <c r="Y254" i="11"/>
  <c r="X254" i="11"/>
  <c r="V254" i="11"/>
  <c r="U254" i="11"/>
  <c r="T254" i="11"/>
  <c r="S254" i="11"/>
  <c r="R254" i="11"/>
  <c r="Q254" i="11"/>
  <c r="P254" i="11"/>
  <c r="O254" i="11"/>
  <c r="N254" i="11"/>
  <c r="M254" i="11"/>
  <c r="L254" i="11"/>
  <c r="K254" i="11"/>
  <c r="J254" i="11"/>
  <c r="I254" i="11"/>
  <c r="H254" i="11"/>
  <c r="G254" i="11"/>
  <c r="F254" i="11"/>
  <c r="E254" i="11"/>
  <c r="D254" i="11"/>
  <c r="AB253" i="11"/>
  <c r="AB452" i="11" s="1"/>
  <c r="W253" i="11"/>
  <c r="W452" i="11" s="1"/>
  <c r="Y251" i="11"/>
  <c r="Q251" i="11"/>
  <c r="I251" i="11"/>
  <c r="AA250" i="11"/>
  <c r="AA325" i="11" s="1"/>
  <c r="AA335" i="11" s="1"/>
  <c r="Z250" i="11"/>
  <c r="Z325" i="11" s="1"/>
  <c r="Z335" i="11" s="1"/>
  <c r="Y250" i="11"/>
  <c r="Y325" i="11" s="1"/>
  <c r="Y335" i="11" s="1"/>
  <c r="X250" i="11"/>
  <c r="X325" i="11" s="1"/>
  <c r="X335" i="11" s="1"/>
  <c r="V250" i="11"/>
  <c r="U250" i="11"/>
  <c r="T250" i="11"/>
  <c r="T325" i="11" s="1"/>
  <c r="T335" i="11" s="1"/>
  <c r="S250" i="11"/>
  <c r="S325" i="11" s="1"/>
  <c r="S335" i="11" s="1"/>
  <c r="R250" i="11"/>
  <c r="R325" i="11" s="1"/>
  <c r="R335" i="11" s="1"/>
  <c r="Q250" i="11"/>
  <c r="Q325" i="11" s="1"/>
  <c r="Q335" i="11" s="1"/>
  <c r="P250" i="11"/>
  <c r="P251" i="11" s="1"/>
  <c r="O250" i="11"/>
  <c r="O325" i="11" s="1"/>
  <c r="O335" i="11" s="1"/>
  <c r="N250" i="11"/>
  <c r="M250" i="11"/>
  <c r="M251" i="11" s="1"/>
  <c r="L250" i="11"/>
  <c r="L325" i="11" s="1"/>
  <c r="L335" i="11" s="1"/>
  <c r="K250" i="11"/>
  <c r="K325" i="11" s="1"/>
  <c r="K335" i="11" s="1"/>
  <c r="J250" i="11"/>
  <c r="J325" i="11" s="1"/>
  <c r="J335" i="11" s="1"/>
  <c r="I250" i="11"/>
  <c r="I325" i="11" s="1"/>
  <c r="I335" i="11" s="1"/>
  <c r="H250" i="11"/>
  <c r="H325" i="11" s="1"/>
  <c r="H335" i="11" s="1"/>
  <c r="G250" i="11"/>
  <c r="G325" i="11" s="1"/>
  <c r="G335" i="11" s="1"/>
  <c r="F250" i="11"/>
  <c r="E250" i="11"/>
  <c r="E325" i="11" s="1"/>
  <c r="E335" i="11" s="1"/>
  <c r="D250" i="11"/>
  <c r="D325" i="11" s="1"/>
  <c r="D335" i="11" s="1"/>
  <c r="AA248" i="11"/>
  <c r="Z248" i="11"/>
  <c r="Y248" i="11"/>
  <c r="X248" i="11"/>
  <c r="V248" i="11"/>
  <c r="U248" i="11"/>
  <c r="T248" i="11"/>
  <c r="S248" i="11"/>
  <c r="R248" i="11"/>
  <c r="Q248" i="11"/>
  <c r="P248" i="11"/>
  <c r="O248" i="11"/>
  <c r="N248" i="11"/>
  <c r="M248" i="11"/>
  <c r="L248" i="11"/>
  <c r="K248" i="11"/>
  <c r="J248" i="11"/>
  <c r="I248" i="11"/>
  <c r="AA247" i="11"/>
  <c r="Z247" i="11"/>
  <c r="Y247" i="11"/>
  <c r="X247" i="11"/>
  <c r="V247" i="11"/>
  <c r="U247" i="11"/>
  <c r="T247" i="11"/>
  <c r="S247" i="11"/>
  <c r="R247" i="11"/>
  <c r="Q247" i="11"/>
  <c r="P247" i="11"/>
  <c r="O247" i="11"/>
  <c r="N247" i="11"/>
  <c r="M247" i="11"/>
  <c r="L247" i="11"/>
  <c r="K247" i="11"/>
  <c r="J247" i="11"/>
  <c r="I247" i="11"/>
  <c r="H247" i="11"/>
  <c r="G247" i="11"/>
  <c r="F247" i="11"/>
  <c r="E247" i="11"/>
  <c r="D247" i="11"/>
  <c r="AB246" i="11"/>
  <c r="W246" i="11"/>
  <c r="W248" i="11" s="1"/>
  <c r="AA245" i="11"/>
  <c r="Z245" i="11"/>
  <c r="Y245" i="11"/>
  <c r="X245" i="11"/>
  <c r="V245" i="11"/>
  <c r="U245" i="11"/>
  <c r="T245" i="11"/>
  <c r="S245" i="11"/>
  <c r="R245" i="11"/>
  <c r="Q245" i="11"/>
  <c r="P245" i="11"/>
  <c r="O245" i="11"/>
  <c r="N245" i="11"/>
  <c r="M245" i="11"/>
  <c r="L245" i="11"/>
  <c r="K245" i="11"/>
  <c r="J245" i="11"/>
  <c r="I245" i="11"/>
  <c r="H245" i="11"/>
  <c r="G245" i="11"/>
  <c r="F245" i="11"/>
  <c r="E245" i="11"/>
  <c r="D245" i="11"/>
  <c r="AA243" i="11"/>
  <c r="Z243" i="11"/>
  <c r="Y243" i="11"/>
  <c r="X243" i="11"/>
  <c r="V243" i="11"/>
  <c r="U243" i="11"/>
  <c r="T243" i="11"/>
  <c r="S243" i="11"/>
  <c r="R243" i="11"/>
  <c r="Q243" i="11"/>
  <c r="P243" i="11"/>
  <c r="O243" i="11"/>
  <c r="N243" i="11"/>
  <c r="M243" i="11"/>
  <c r="L243" i="11"/>
  <c r="K243" i="11"/>
  <c r="J243" i="11"/>
  <c r="I243" i="11"/>
  <c r="AB242" i="11"/>
  <c r="W242" i="11"/>
  <c r="AA241" i="11"/>
  <c r="Z241" i="11"/>
  <c r="AA239" i="11"/>
  <c r="Z239" i="11"/>
  <c r="Y239" i="11"/>
  <c r="X239" i="11"/>
  <c r="W239" i="11"/>
  <c r="V239" i="11"/>
  <c r="U239" i="11"/>
  <c r="T239" i="11"/>
  <c r="S239" i="11"/>
  <c r="Q239" i="11"/>
  <c r="P239" i="11"/>
  <c r="O239" i="11"/>
  <c r="N239" i="11"/>
  <c r="L239" i="11"/>
  <c r="K239" i="11"/>
  <c r="J239" i="11"/>
  <c r="I239" i="11"/>
  <c r="AB238" i="11"/>
  <c r="AB239" i="11" s="1"/>
  <c r="W238" i="11"/>
  <c r="W295" i="11" s="1"/>
  <c r="R238" i="11"/>
  <c r="M238" i="11"/>
  <c r="M239" i="11" s="1"/>
  <c r="H238" i="11"/>
  <c r="AA237" i="11"/>
  <c r="Z237" i="11"/>
  <c r="Y237" i="11"/>
  <c r="X237" i="11"/>
  <c r="W237" i="11"/>
  <c r="V237" i="11"/>
  <c r="U237" i="11"/>
  <c r="T237" i="11"/>
  <c r="S237" i="11"/>
  <c r="R237" i="11"/>
  <c r="Q237" i="11"/>
  <c r="P237" i="11"/>
  <c r="O237" i="11"/>
  <c r="N237" i="11"/>
  <c r="M237" i="11"/>
  <c r="L237" i="11"/>
  <c r="K237" i="11"/>
  <c r="J237" i="11"/>
  <c r="I237" i="11"/>
  <c r="AA236" i="11"/>
  <c r="Z236" i="11"/>
  <c r="Y236" i="11"/>
  <c r="X236" i="11"/>
  <c r="V236" i="11"/>
  <c r="U236" i="11"/>
  <c r="T236" i="11"/>
  <c r="S236" i="11"/>
  <c r="R236" i="11"/>
  <c r="Q236" i="11"/>
  <c r="P236" i="11"/>
  <c r="O236" i="11"/>
  <c r="N236" i="11"/>
  <c r="M236" i="11"/>
  <c r="L236" i="11"/>
  <c r="K236" i="11"/>
  <c r="J236" i="11"/>
  <c r="I236" i="11"/>
  <c r="H236" i="11"/>
  <c r="G236" i="11"/>
  <c r="F236" i="11"/>
  <c r="E236" i="11"/>
  <c r="D236" i="11"/>
  <c r="AB235" i="11"/>
  <c r="W235" i="11"/>
  <c r="W451" i="11" s="1"/>
  <c r="V233" i="11"/>
  <c r="U233" i="11"/>
  <c r="O233" i="11"/>
  <c r="N233" i="11"/>
  <c r="M233" i="11"/>
  <c r="AA232" i="11"/>
  <c r="Z232" i="11"/>
  <c r="Y232" i="11"/>
  <c r="Y324" i="11" s="1"/>
  <c r="Y334" i="11" s="1"/>
  <c r="X232" i="11"/>
  <c r="X324" i="11" s="1"/>
  <c r="X334" i="11" s="1"/>
  <c r="V232" i="11"/>
  <c r="V324" i="11" s="1"/>
  <c r="V334" i="11" s="1"/>
  <c r="U232" i="11"/>
  <c r="U324" i="11" s="1"/>
  <c r="U334" i="11" s="1"/>
  <c r="T232" i="11"/>
  <c r="T324" i="11" s="1"/>
  <c r="T334" i="11" s="1"/>
  <c r="S232" i="11"/>
  <c r="R232" i="11"/>
  <c r="Q232" i="11"/>
  <c r="Q324" i="11" s="1"/>
  <c r="Q334" i="11" s="1"/>
  <c r="P232" i="11"/>
  <c r="P324" i="11" s="1"/>
  <c r="P334" i="11" s="1"/>
  <c r="O232" i="11"/>
  <c r="O324" i="11" s="1"/>
  <c r="O334" i="11" s="1"/>
  <c r="N232" i="11"/>
  <c r="N324" i="11" s="1"/>
  <c r="N334" i="11" s="1"/>
  <c r="M232" i="11"/>
  <c r="M324" i="11" s="1"/>
  <c r="M334" i="11" s="1"/>
  <c r="L232" i="11"/>
  <c r="L324" i="11" s="1"/>
  <c r="K232" i="11"/>
  <c r="J232" i="11"/>
  <c r="I232" i="11"/>
  <c r="I324" i="11" s="1"/>
  <c r="I334" i="11" s="1"/>
  <c r="H232" i="11"/>
  <c r="H324" i="11" s="1"/>
  <c r="H334" i="11" s="1"/>
  <c r="G232" i="11"/>
  <c r="G324" i="11" s="1"/>
  <c r="G334" i="11" s="1"/>
  <c r="F232" i="11"/>
  <c r="F324" i="11" s="1"/>
  <c r="F334" i="11" s="1"/>
  <c r="E232" i="11"/>
  <c r="E324" i="11" s="1"/>
  <c r="E334" i="11" s="1"/>
  <c r="D232" i="11"/>
  <c r="D324" i="11" s="1"/>
  <c r="D334" i="11" s="1"/>
  <c r="AB230" i="11"/>
  <c r="AA230" i="11"/>
  <c r="Z230" i="11"/>
  <c r="Y230" i="11"/>
  <c r="X230" i="11"/>
  <c r="V230" i="11"/>
  <c r="U230" i="11"/>
  <c r="T230" i="11"/>
  <c r="S230" i="11"/>
  <c r="R230" i="11"/>
  <c r="Q230" i="11"/>
  <c r="P230" i="11"/>
  <c r="O230" i="11"/>
  <c r="N230" i="11"/>
  <c r="M230" i="11"/>
  <c r="L230" i="11"/>
  <c r="K230" i="11"/>
  <c r="J230" i="11"/>
  <c r="I230" i="11"/>
  <c r="AA229" i="11"/>
  <c r="Z229" i="11"/>
  <c r="Y229" i="11"/>
  <c r="X229" i="11"/>
  <c r="W229" i="11"/>
  <c r="V229" i="11"/>
  <c r="U229" i="11"/>
  <c r="T229" i="11"/>
  <c r="S229" i="11"/>
  <c r="R229" i="11"/>
  <c r="Q229" i="11"/>
  <c r="P229" i="11"/>
  <c r="O229" i="11"/>
  <c r="N229" i="11"/>
  <c r="M229" i="11"/>
  <c r="L229" i="11"/>
  <c r="K229" i="11"/>
  <c r="J229" i="11"/>
  <c r="I229" i="11"/>
  <c r="H229" i="11"/>
  <c r="G229" i="11"/>
  <c r="F229" i="11"/>
  <c r="E229" i="11"/>
  <c r="D229" i="11"/>
  <c r="AB228" i="11"/>
  <c r="AB229" i="11" s="1"/>
  <c r="W228" i="11"/>
  <c r="W232" i="11" s="1"/>
  <c r="W324" i="11" s="1"/>
  <c r="W334" i="11" s="1"/>
  <c r="AA227" i="11"/>
  <c r="Z227" i="11"/>
  <c r="Y227" i="11"/>
  <c r="X227" i="11"/>
  <c r="V227" i="11"/>
  <c r="U227" i="11"/>
  <c r="T227" i="11"/>
  <c r="S227" i="11"/>
  <c r="R227" i="11"/>
  <c r="Q227" i="11"/>
  <c r="P227" i="11"/>
  <c r="O227" i="11"/>
  <c r="N227" i="11"/>
  <c r="M227" i="11"/>
  <c r="L227" i="11"/>
  <c r="K227" i="11"/>
  <c r="J227" i="11"/>
  <c r="I227" i="11"/>
  <c r="H227" i="11"/>
  <c r="G227" i="11"/>
  <c r="F227" i="11"/>
  <c r="E227" i="11"/>
  <c r="D227" i="11"/>
  <c r="AB225" i="11"/>
  <c r="AA225" i="11"/>
  <c r="Z225" i="11"/>
  <c r="Y225" i="11"/>
  <c r="X225" i="11"/>
  <c r="V225" i="11"/>
  <c r="U225" i="11"/>
  <c r="T225" i="11"/>
  <c r="S225" i="11"/>
  <c r="R225" i="11"/>
  <c r="Q225" i="11"/>
  <c r="P225" i="11"/>
  <c r="O225" i="11"/>
  <c r="N225" i="11"/>
  <c r="M225" i="11"/>
  <c r="L225" i="11"/>
  <c r="K225" i="11"/>
  <c r="J225" i="11"/>
  <c r="I225" i="11"/>
  <c r="AB224" i="11"/>
  <c r="AB227" i="11" s="1"/>
  <c r="W224" i="11"/>
  <c r="W227" i="11" s="1"/>
  <c r="AA223" i="11"/>
  <c r="Z223" i="11"/>
  <c r="AB221" i="11"/>
  <c r="AA221" i="11"/>
  <c r="Z221" i="11"/>
  <c r="Y221" i="11"/>
  <c r="X221" i="11"/>
  <c r="V221" i="11"/>
  <c r="U221" i="11"/>
  <c r="T221" i="11"/>
  <c r="S221" i="11"/>
  <c r="Q221" i="11"/>
  <c r="P221" i="11"/>
  <c r="O221" i="11"/>
  <c r="N221" i="11"/>
  <c r="L221" i="11"/>
  <c r="K221" i="11"/>
  <c r="J221" i="11"/>
  <c r="I221" i="11"/>
  <c r="AB220" i="11"/>
  <c r="AB294" i="11" s="1"/>
  <c r="W220" i="11"/>
  <c r="W294" i="11" s="1"/>
  <c r="R220" i="11"/>
  <c r="R294" i="11" s="1"/>
  <c r="M220" i="11"/>
  <c r="M294" i="11" s="1"/>
  <c r="H220" i="11"/>
  <c r="H294" i="11" s="1"/>
  <c r="AB219" i="11"/>
  <c r="AA219" i="11"/>
  <c r="Z219" i="11"/>
  <c r="Y219" i="11"/>
  <c r="X219" i="11"/>
  <c r="V219" i="11"/>
  <c r="U219" i="11"/>
  <c r="T219" i="11"/>
  <c r="S219" i="11"/>
  <c r="R219" i="11"/>
  <c r="Q219" i="11"/>
  <c r="P219" i="11"/>
  <c r="O219" i="11"/>
  <c r="N219" i="11"/>
  <c r="M219" i="11"/>
  <c r="L219" i="11"/>
  <c r="K219" i="11"/>
  <c r="J219" i="11"/>
  <c r="I219" i="11"/>
  <c r="AA218" i="11"/>
  <c r="Z218" i="11"/>
  <c r="Y218" i="11"/>
  <c r="X218" i="11"/>
  <c r="V218" i="11"/>
  <c r="U218" i="11"/>
  <c r="T218" i="11"/>
  <c r="S218" i="11"/>
  <c r="R218" i="11"/>
  <c r="Q218" i="11"/>
  <c r="P218" i="11"/>
  <c r="O218" i="11"/>
  <c r="N218" i="11"/>
  <c r="M218" i="11"/>
  <c r="L218" i="11"/>
  <c r="K218" i="11"/>
  <c r="J218" i="11"/>
  <c r="I218" i="11"/>
  <c r="H218" i="11"/>
  <c r="G218" i="11"/>
  <c r="F218" i="11"/>
  <c r="E218" i="11"/>
  <c r="D218" i="11"/>
  <c r="AB217" i="11"/>
  <c r="AB450" i="11" s="1"/>
  <c r="W217" i="11"/>
  <c r="W450" i="11" s="1"/>
  <c r="AA215" i="11"/>
  <c r="T215" i="11"/>
  <c r="S215" i="11"/>
  <c r="K215" i="11"/>
  <c r="AA214" i="11"/>
  <c r="AA323" i="11" s="1"/>
  <c r="AA333" i="11" s="1"/>
  <c r="Z214" i="11"/>
  <c r="Z215" i="11" s="1"/>
  <c r="Y214" i="11"/>
  <c r="Y323" i="11" s="1"/>
  <c r="Y333" i="11" s="1"/>
  <c r="X214" i="11"/>
  <c r="W214" i="11"/>
  <c r="V214" i="11"/>
  <c r="V323" i="11" s="1"/>
  <c r="V333" i="11" s="1"/>
  <c r="U214" i="11"/>
  <c r="U323" i="11" s="1"/>
  <c r="U333" i="11" s="1"/>
  <c r="T214" i="11"/>
  <c r="T323" i="11" s="1"/>
  <c r="T333" i="11" s="1"/>
  <c r="S214" i="11"/>
  <c r="S323" i="11" s="1"/>
  <c r="S333" i="11" s="1"/>
  <c r="R214" i="11"/>
  <c r="R323" i="11" s="1"/>
  <c r="R333" i="11" s="1"/>
  <c r="Q214" i="11"/>
  <c r="Q323" i="11" s="1"/>
  <c r="Q333" i="11" s="1"/>
  <c r="P214" i="11"/>
  <c r="O214" i="11"/>
  <c r="N214" i="11"/>
  <c r="N323" i="11" s="1"/>
  <c r="N333" i="11" s="1"/>
  <c r="M214" i="11"/>
  <c r="M323" i="11" s="1"/>
  <c r="M333" i="11" s="1"/>
  <c r="L214" i="11"/>
  <c r="L323" i="11" s="1"/>
  <c r="L333" i="11" s="1"/>
  <c r="K214" i="11"/>
  <c r="K323" i="11" s="1"/>
  <c r="K333" i="11" s="1"/>
  <c r="J214" i="11"/>
  <c r="J323" i="11" s="1"/>
  <c r="J333" i="11" s="1"/>
  <c r="I214" i="11"/>
  <c r="I323" i="11" s="1"/>
  <c r="I333" i="11" s="1"/>
  <c r="H214" i="11"/>
  <c r="G214" i="11"/>
  <c r="F214" i="11"/>
  <c r="F323" i="11" s="1"/>
  <c r="F333" i="11" s="1"/>
  <c r="E214" i="11"/>
  <c r="E323" i="11" s="1"/>
  <c r="E333" i="11" s="1"/>
  <c r="D214" i="11"/>
  <c r="D323" i="11" s="1"/>
  <c r="D333" i="11" s="1"/>
  <c r="AA212" i="11"/>
  <c r="Z212" i="11"/>
  <c r="Y212" i="11"/>
  <c r="X212" i="11"/>
  <c r="V212" i="11"/>
  <c r="U212" i="11"/>
  <c r="T212" i="11"/>
  <c r="S212" i="11"/>
  <c r="R212" i="11"/>
  <c r="Q212" i="11"/>
  <c r="P212" i="11"/>
  <c r="O212" i="11"/>
  <c r="N212" i="11"/>
  <c r="M212" i="11"/>
  <c r="L212" i="11"/>
  <c r="K212" i="11"/>
  <c r="J212" i="11"/>
  <c r="I212" i="11"/>
  <c r="AA211" i="11"/>
  <c r="Z211" i="11"/>
  <c r="Y211" i="11"/>
  <c r="X211" i="11"/>
  <c r="V211" i="11"/>
  <c r="U211" i="11"/>
  <c r="T211" i="11"/>
  <c r="S211" i="11"/>
  <c r="R211" i="11"/>
  <c r="Q211" i="11"/>
  <c r="P211" i="11"/>
  <c r="O211" i="11"/>
  <c r="N211" i="11"/>
  <c r="M211" i="11"/>
  <c r="L211" i="11"/>
  <c r="K211" i="11"/>
  <c r="J211" i="11"/>
  <c r="I211" i="11"/>
  <c r="H211" i="11"/>
  <c r="G211" i="11"/>
  <c r="F211" i="11"/>
  <c r="E211" i="11"/>
  <c r="D211" i="11"/>
  <c r="AB210" i="11"/>
  <c r="AB214" i="11" s="1"/>
  <c r="AB323" i="11" s="1"/>
  <c r="AB333" i="11" s="1"/>
  <c r="W210" i="11"/>
  <c r="W212" i="11" s="1"/>
  <c r="AA209" i="11"/>
  <c r="Z209" i="11"/>
  <c r="Y209" i="11"/>
  <c r="X209" i="11"/>
  <c r="W209" i="11"/>
  <c r="V209" i="11"/>
  <c r="U209" i="11"/>
  <c r="T209" i="11"/>
  <c r="S209" i="11"/>
  <c r="R209" i="11"/>
  <c r="Q209" i="11"/>
  <c r="P209" i="11"/>
  <c r="O209" i="11"/>
  <c r="N209" i="11"/>
  <c r="M209" i="11"/>
  <c r="L209" i="11"/>
  <c r="K209" i="11"/>
  <c r="J209" i="11"/>
  <c r="I209" i="11"/>
  <c r="H209" i="11"/>
  <c r="G209" i="11"/>
  <c r="F209" i="11"/>
  <c r="E209" i="11"/>
  <c r="D209" i="11"/>
  <c r="AA207" i="11"/>
  <c r="Z207" i="11"/>
  <c r="Y207" i="11"/>
  <c r="X207" i="11"/>
  <c r="V207" i="11"/>
  <c r="U207" i="11"/>
  <c r="T207" i="11"/>
  <c r="S207" i="11"/>
  <c r="R207" i="11"/>
  <c r="Q207" i="11"/>
  <c r="P207" i="11"/>
  <c r="O207" i="11"/>
  <c r="N207" i="11"/>
  <c r="M207" i="11"/>
  <c r="L207" i="11"/>
  <c r="K207" i="11"/>
  <c r="J207" i="11"/>
  <c r="I207" i="11"/>
  <c r="AB206" i="11"/>
  <c r="AB211" i="11" s="1"/>
  <c r="W206" i="11"/>
  <c r="W207" i="11" s="1"/>
  <c r="AA205" i="11"/>
  <c r="Z205" i="11"/>
  <c r="AA203" i="11"/>
  <c r="Z203" i="11"/>
  <c r="Y203" i="11"/>
  <c r="X203" i="11"/>
  <c r="V203" i="11"/>
  <c r="U203" i="11"/>
  <c r="T203" i="11"/>
  <c r="S203" i="11"/>
  <c r="Q203" i="11"/>
  <c r="P203" i="11"/>
  <c r="O203" i="11"/>
  <c r="N203" i="11"/>
  <c r="L203" i="11"/>
  <c r="K203" i="11"/>
  <c r="J203" i="11"/>
  <c r="I203" i="11"/>
  <c r="AB202" i="11"/>
  <c r="W202" i="11"/>
  <c r="W203" i="11" s="1"/>
  <c r="R202" i="11"/>
  <c r="R293" i="11" s="1"/>
  <c r="M202" i="11"/>
  <c r="M293" i="11" s="1"/>
  <c r="H202" i="11"/>
  <c r="AA201" i="11"/>
  <c r="Z201" i="11"/>
  <c r="Y201" i="11"/>
  <c r="X201" i="11"/>
  <c r="V201" i="11"/>
  <c r="U201" i="11"/>
  <c r="T201" i="11"/>
  <c r="S201" i="11"/>
  <c r="R201" i="11"/>
  <c r="Q201" i="11"/>
  <c r="P201" i="11"/>
  <c r="O201" i="11"/>
  <c r="N201" i="11"/>
  <c r="M201" i="11"/>
  <c r="L201" i="11"/>
  <c r="K201" i="11"/>
  <c r="J201" i="11"/>
  <c r="I201" i="11"/>
  <c r="AA200" i="11"/>
  <c r="Z200" i="11"/>
  <c r="Y200" i="11"/>
  <c r="X200" i="11"/>
  <c r="V200" i="11"/>
  <c r="U200" i="11"/>
  <c r="T200" i="11"/>
  <c r="S200" i="11"/>
  <c r="R200" i="11"/>
  <c r="Q200" i="11"/>
  <c r="P200" i="11"/>
  <c r="O200" i="11"/>
  <c r="N200" i="11"/>
  <c r="M200" i="11"/>
  <c r="L200" i="11"/>
  <c r="K200" i="11"/>
  <c r="J200" i="11"/>
  <c r="I200" i="11"/>
  <c r="H200" i="11"/>
  <c r="G200" i="11"/>
  <c r="F200" i="11"/>
  <c r="E200" i="11"/>
  <c r="D200" i="11"/>
  <c r="AB199" i="11"/>
  <c r="AB449" i="11" s="1"/>
  <c r="W199" i="11"/>
  <c r="W201" i="11" s="1"/>
  <c r="X197" i="11"/>
  <c r="Q197" i="11"/>
  <c r="P197" i="11"/>
  <c r="AB196" i="11"/>
  <c r="AA196" i="11"/>
  <c r="AA322" i="11" s="1"/>
  <c r="AA332" i="11" s="1"/>
  <c r="Z196" i="11"/>
  <c r="Z322" i="11" s="1"/>
  <c r="Z332" i="11" s="1"/>
  <c r="Y196" i="11"/>
  <c r="Y322" i="11" s="1"/>
  <c r="Y332" i="11" s="1"/>
  <c r="X196" i="11"/>
  <c r="V196" i="11"/>
  <c r="V322" i="11" s="1"/>
  <c r="V332" i="11" s="1"/>
  <c r="U196" i="11"/>
  <c r="T196" i="11"/>
  <c r="Y197" i="11" s="1"/>
  <c r="S196" i="11"/>
  <c r="S322" i="11" s="1"/>
  <c r="S332" i="11" s="1"/>
  <c r="R196" i="11"/>
  <c r="R322" i="11" s="1"/>
  <c r="R332" i="11" s="1"/>
  <c r="Q196" i="11"/>
  <c r="Q322" i="11" s="1"/>
  <c r="Q332" i="11" s="1"/>
  <c r="P196" i="11"/>
  <c r="P322" i="11" s="1"/>
  <c r="P332" i="11" s="1"/>
  <c r="O196" i="11"/>
  <c r="O197" i="11" s="1"/>
  <c r="N196" i="11"/>
  <c r="N322" i="11" s="1"/>
  <c r="N332" i="11" s="1"/>
  <c r="M196" i="11"/>
  <c r="L196" i="11"/>
  <c r="K196" i="11"/>
  <c r="K322" i="11" s="1"/>
  <c r="K332" i="11" s="1"/>
  <c r="J196" i="11"/>
  <c r="J322" i="11" s="1"/>
  <c r="J332" i="11" s="1"/>
  <c r="I196" i="11"/>
  <c r="I322" i="11" s="1"/>
  <c r="I332" i="11" s="1"/>
  <c r="H196" i="11"/>
  <c r="H322" i="11" s="1"/>
  <c r="H332" i="11" s="1"/>
  <c r="G196" i="11"/>
  <c r="G322" i="11" s="1"/>
  <c r="G332" i="11" s="1"/>
  <c r="F196" i="11"/>
  <c r="F322" i="11" s="1"/>
  <c r="F332" i="11" s="1"/>
  <c r="E196" i="11"/>
  <c r="E322" i="11" s="1"/>
  <c r="E332" i="11" s="1"/>
  <c r="D196" i="11"/>
  <c r="D322" i="11" s="1"/>
  <c r="D332" i="11" s="1"/>
  <c r="AA194" i="11"/>
  <c r="Z194" i="11"/>
  <c r="Y194" i="11"/>
  <c r="X194" i="11"/>
  <c r="V194" i="11"/>
  <c r="U194" i="11"/>
  <c r="T194" i="11"/>
  <c r="S194" i="11"/>
  <c r="R194" i="11"/>
  <c r="Q194" i="11"/>
  <c r="P194" i="11"/>
  <c r="O194" i="11"/>
  <c r="N194" i="11"/>
  <c r="M194" i="11"/>
  <c r="L194" i="11"/>
  <c r="K194" i="11"/>
  <c r="J194" i="11"/>
  <c r="I194" i="11"/>
  <c r="AA193" i="11"/>
  <c r="Z193" i="11"/>
  <c r="Y193" i="11"/>
  <c r="X193" i="11"/>
  <c r="V193" i="11"/>
  <c r="U193" i="11"/>
  <c r="T193" i="11"/>
  <c r="S193" i="11"/>
  <c r="R193" i="11"/>
  <c r="Q193" i="11"/>
  <c r="P193" i="11"/>
  <c r="O193" i="11"/>
  <c r="N193" i="11"/>
  <c r="M193" i="11"/>
  <c r="L193" i="11"/>
  <c r="K193" i="11"/>
  <c r="J193" i="11"/>
  <c r="I193" i="11"/>
  <c r="H193" i="11"/>
  <c r="G193" i="11"/>
  <c r="F193" i="11"/>
  <c r="E193" i="11"/>
  <c r="D193" i="11"/>
  <c r="AB192" i="11"/>
  <c r="W192" i="11"/>
  <c r="AB191" i="11"/>
  <c r="AA191" i="11"/>
  <c r="Z191" i="11"/>
  <c r="Y191" i="11"/>
  <c r="X191" i="11"/>
  <c r="V191" i="11"/>
  <c r="U191" i="11"/>
  <c r="T191" i="11"/>
  <c r="S191" i="11"/>
  <c r="R191" i="11"/>
  <c r="Q191" i="11"/>
  <c r="P191" i="11"/>
  <c r="O191" i="11"/>
  <c r="N191" i="11"/>
  <c r="M191" i="11"/>
  <c r="L191" i="11"/>
  <c r="K191" i="11"/>
  <c r="J191" i="11"/>
  <c r="I191" i="11"/>
  <c r="H191" i="11"/>
  <c r="G191" i="11"/>
  <c r="F191" i="11"/>
  <c r="E191" i="11"/>
  <c r="D191" i="11"/>
  <c r="AA189" i="11"/>
  <c r="Z189" i="11"/>
  <c r="Y189" i="11"/>
  <c r="X189" i="11"/>
  <c r="V189" i="11"/>
  <c r="U189" i="11"/>
  <c r="T189" i="11"/>
  <c r="S189" i="11"/>
  <c r="R189" i="11"/>
  <c r="Q189" i="11"/>
  <c r="P189" i="11"/>
  <c r="O189" i="11"/>
  <c r="N189" i="11"/>
  <c r="M189" i="11"/>
  <c r="L189" i="11"/>
  <c r="K189" i="11"/>
  <c r="J189" i="11"/>
  <c r="I189" i="11"/>
  <c r="AB188" i="11"/>
  <c r="AB189" i="11" s="1"/>
  <c r="W188" i="11"/>
  <c r="W191" i="11" s="1"/>
  <c r="AA187" i="11"/>
  <c r="Z187" i="11"/>
  <c r="AA185" i="11"/>
  <c r="Z185" i="11"/>
  <c r="Y185" i="11"/>
  <c r="X185" i="11"/>
  <c r="V185" i="11"/>
  <c r="U185" i="11"/>
  <c r="T185" i="11"/>
  <c r="S185" i="11"/>
  <c r="Q185" i="11"/>
  <c r="P185" i="11"/>
  <c r="O185" i="11"/>
  <c r="N185" i="11"/>
  <c r="L185" i="11"/>
  <c r="K185" i="11"/>
  <c r="J185" i="11"/>
  <c r="I185" i="11"/>
  <c r="AB184" i="11"/>
  <c r="AB292" i="11" s="1"/>
  <c r="W184" i="11"/>
  <c r="W292" i="11" s="1"/>
  <c r="R184" i="11"/>
  <c r="M184" i="11"/>
  <c r="M292" i="11" s="1"/>
  <c r="H184" i="11"/>
  <c r="AA183" i="11"/>
  <c r="Z183" i="11"/>
  <c r="Y183" i="11"/>
  <c r="X183" i="11"/>
  <c r="V183" i="11"/>
  <c r="U183" i="11"/>
  <c r="T183" i="11"/>
  <c r="S183" i="11"/>
  <c r="R183" i="11"/>
  <c r="Q183" i="11"/>
  <c r="P183" i="11"/>
  <c r="O183" i="11"/>
  <c r="N183" i="11"/>
  <c r="M183" i="11"/>
  <c r="L183" i="11"/>
  <c r="K183" i="11"/>
  <c r="J183" i="11"/>
  <c r="I183" i="11"/>
  <c r="AA182" i="11"/>
  <c r="Z182" i="11"/>
  <c r="Y182" i="11"/>
  <c r="X182" i="11"/>
  <c r="V182" i="11"/>
  <c r="U182" i="11"/>
  <c r="T182" i="11"/>
  <c r="S182" i="11"/>
  <c r="R182" i="11"/>
  <c r="Q182" i="11"/>
  <c r="P182" i="11"/>
  <c r="O182" i="11"/>
  <c r="N182" i="11"/>
  <c r="M182" i="11"/>
  <c r="L182" i="11"/>
  <c r="K182" i="11"/>
  <c r="J182" i="11"/>
  <c r="I182" i="11"/>
  <c r="H182" i="11"/>
  <c r="G182" i="11"/>
  <c r="F182" i="11"/>
  <c r="E182" i="11"/>
  <c r="D182" i="11"/>
  <c r="AB181" i="11"/>
  <c r="W181" i="11"/>
  <c r="W183" i="11" s="1"/>
  <c r="U179" i="11"/>
  <c r="N179" i="11"/>
  <c r="M179" i="11"/>
  <c r="AA178" i="11"/>
  <c r="AA321" i="11" s="1"/>
  <c r="AA331" i="11" s="1"/>
  <c r="Z178" i="11"/>
  <c r="Y178" i="11"/>
  <c r="X178" i="11"/>
  <c r="X321" i="11" s="1"/>
  <c r="X331" i="11" s="1"/>
  <c r="V178" i="11"/>
  <c r="V321" i="11" s="1"/>
  <c r="V331" i="11" s="1"/>
  <c r="U178" i="11"/>
  <c r="U321" i="11" s="1"/>
  <c r="U331" i="11" s="1"/>
  <c r="T178" i="11"/>
  <c r="T321" i="11" s="1"/>
  <c r="T331" i="11" s="1"/>
  <c r="S178" i="11"/>
  <c r="S321" i="11" s="1"/>
  <c r="S331" i="11" s="1"/>
  <c r="R178" i="11"/>
  <c r="Q178" i="11"/>
  <c r="V179" i="11" s="1"/>
  <c r="P178" i="11"/>
  <c r="P321" i="11" s="1"/>
  <c r="P331" i="11" s="1"/>
  <c r="O178" i="11"/>
  <c r="O321" i="11" s="1"/>
  <c r="O331" i="11" s="1"/>
  <c r="N178" i="11"/>
  <c r="N321" i="11" s="1"/>
  <c r="N331" i="11" s="1"/>
  <c r="M178" i="11"/>
  <c r="M321" i="11" s="1"/>
  <c r="M331" i="11" s="1"/>
  <c r="L178" i="11"/>
  <c r="L179" i="11" s="1"/>
  <c r="K178" i="11"/>
  <c r="K321" i="11" s="1"/>
  <c r="K331" i="11" s="1"/>
  <c r="J178" i="11"/>
  <c r="J179" i="11" s="1"/>
  <c r="I178" i="11"/>
  <c r="H178" i="11"/>
  <c r="H321" i="11" s="1"/>
  <c r="H331" i="11" s="1"/>
  <c r="G178" i="11"/>
  <c r="G321" i="11" s="1"/>
  <c r="G331" i="11" s="1"/>
  <c r="F178" i="11"/>
  <c r="F321" i="11" s="1"/>
  <c r="F331" i="11" s="1"/>
  <c r="E178" i="11"/>
  <c r="E321" i="11" s="1"/>
  <c r="E331" i="11" s="1"/>
  <c r="D178" i="11"/>
  <c r="D321" i="11" s="1"/>
  <c r="D331" i="11" s="1"/>
  <c r="AA176" i="11"/>
  <c r="Z176" i="11"/>
  <c r="Y176" i="11"/>
  <c r="X176" i="11"/>
  <c r="V176" i="11"/>
  <c r="U176" i="11"/>
  <c r="T176" i="11"/>
  <c r="S176" i="11"/>
  <c r="R176" i="11"/>
  <c r="Q176" i="11"/>
  <c r="P176" i="11"/>
  <c r="O176" i="11"/>
  <c r="N176" i="11"/>
  <c r="M176" i="11"/>
  <c r="L176" i="11"/>
  <c r="K176" i="11"/>
  <c r="J176" i="11"/>
  <c r="I176"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D175" i="11"/>
  <c r="AB174" i="11"/>
  <c r="AB176" i="11" s="1"/>
  <c r="W174" i="11"/>
  <c r="AA173" i="11"/>
  <c r="Z173" i="11"/>
  <c r="Y173" i="11"/>
  <c r="X173" i="11"/>
  <c r="V173" i="11"/>
  <c r="U173" i="11"/>
  <c r="T173" i="11"/>
  <c r="S173" i="11"/>
  <c r="R173" i="11"/>
  <c r="Q173" i="11"/>
  <c r="P173" i="11"/>
  <c r="O173" i="11"/>
  <c r="N173" i="11"/>
  <c r="M173" i="11"/>
  <c r="L173" i="11"/>
  <c r="K173" i="11"/>
  <c r="J173" i="11"/>
  <c r="I173" i="11"/>
  <c r="H173" i="11"/>
  <c r="G173" i="11"/>
  <c r="F173" i="11"/>
  <c r="E173" i="11"/>
  <c r="D173" i="11"/>
  <c r="AA171" i="11"/>
  <c r="Z171" i="11"/>
  <c r="Y171" i="11"/>
  <c r="X171" i="11"/>
  <c r="V171" i="11"/>
  <c r="U171" i="11"/>
  <c r="T171" i="11"/>
  <c r="S171" i="11"/>
  <c r="R171" i="11"/>
  <c r="Q171" i="11"/>
  <c r="P171" i="11"/>
  <c r="O171" i="11"/>
  <c r="N171" i="11"/>
  <c r="M171" i="11"/>
  <c r="L171" i="11"/>
  <c r="K171" i="11"/>
  <c r="J171" i="11"/>
  <c r="I171" i="11"/>
  <c r="AB170" i="11"/>
  <c r="AB173" i="11" s="1"/>
  <c r="W170" i="11"/>
  <c r="AA169" i="11"/>
  <c r="Z169" i="11"/>
  <c r="J166" i="11"/>
  <c r="AB165" i="11"/>
  <c r="AA165" i="11"/>
  <c r="Z165" i="11"/>
  <c r="Y165" i="11"/>
  <c r="X165" i="11"/>
  <c r="V165" i="11"/>
  <c r="U165" i="11"/>
  <c r="T165" i="11"/>
  <c r="S165" i="11"/>
  <c r="R165" i="11"/>
  <c r="Q165" i="11"/>
  <c r="P165" i="11"/>
  <c r="O165" i="11"/>
  <c r="N165" i="11"/>
  <c r="M165" i="11"/>
  <c r="L165" i="11"/>
  <c r="K165" i="11"/>
  <c r="J165" i="11"/>
  <c r="I165" i="11"/>
  <c r="H165" i="11"/>
  <c r="G165" i="11"/>
  <c r="F165" i="11"/>
  <c r="E165" i="11"/>
  <c r="D165" i="11"/>
  <c r="AB164" i="11"/>
  <c r="AA164" i="11"/>
  <c r="Z164" i="11"/>
  <c r="Y164" i="11"/>
  <c r="X164" i="11"/>
  <c r="V164" i="11"/>
  <c r="U164" i="11"/>
  <c r="T164" i="11"/>
  <c r="S164" i="11"/>
  <c r="R164" i="11"/>
  <c r="Q164" i="11"/>
  <c r="P164" i="11"/>
  <c r="O164" i="11"/>
  <c r="N164" i="11"/>
  <c r="M164" i="11"/>
  <c r="L164" i="11"/>
  <c r="K164" i="11"/>
  <c r="J164" i="11"/>
  <c r="I164" i="11"/>
  <c r="H164" i="11"/>
  <c r="G164" i="11"/>
  <c r="F164" i="11"/>
  <c r="E164" i="11"/>
  <c r="D164" i="11"/>
  <c r="AA163" i="11"/>
  <c r="Z163" i="11"/>
  <c r="Y163" i="11"/>
  <c r="X163" i="11"/>
  <c r="V163" i="11"/>
  <c r="U163" i="11"/>
  <c r="T163" i="11"/>
  <c r="S163" i="11"/>
  <c r="R163" i="11"/>
  <c r="Q163" i="11"/>
  <c r="P163" i="11"/>
  <c r="O163" i="11"/>
  <c r="N163" i="11"/>
  <c r="M163" i="11"/>
  <c r="L163" i="11"/>
  <c r="K163" i="11"/>
  <c r="J163" i="11"/>
  <c r="I163" i="11"/>
  <c r="H163" i="11"/>
  <c r="G163" i="11"/>
  <c r="F163" i="11"/>
  <c r="E163" i="11"/>
  <c r="D163" i="11"/>
  <c r="AA162" i="11"/>
  <c r="Z162" i="11"/>
  <c r="Y162" i="11"/>
  <c r="X162" i="11"/>
  <c r="V162" i="11"/>
  <c r="U162" i="11"/>
  <c r="T162" i="11"/>
  <c r="S162" i="11"/>
  <c r="R162" i="11"/>
  <c r="Q162" i="11"/>
  <c r="P162" i="11"/>
  <c r="O162" i="11"/>
  <c r="N162" i="11"/>
  <c r="M162" i="11"/>
  <c r="L162" i="11"/>
  <c r="K162" i="11"/>
  <c r="J162" i="11"/>
  <c r="I162" i="11"/>
  <c r="H162" i="11"/>
  <c r="G162" i="11"/>
  <c r="F162" i="11"/>
  <c r="E162" i="11"/>
  <c r="D162" i="11"/>
  <c r="AA161" i="11"/>
  <c r="Z161" i="11"/>
  <c r="Y161" i="11"/>
  <c r="X161" i="11"/>
  <c r="V161" i="11"/>
  <c r="U161" i="11"/>
  <c r="T161" i="11"/>
  <c r="S161" i="11"/>
  <c r="R161" i="11"/>
  <c r="Q161" i="11"/>
  <c r="P161" i="11"/>
  <c r="O161" i="11"/>
  <c r="N161" i="11"/>
  <c r="M161" i="11"/>
  <c r="L161" i="11"/>
  <c r="K161" i="11"/>
  <c r="J161" i="11"/>
  <c r="I161" i="11"/>
  <c r="H161" i="11"/>
  <c r="G161" i="11"/>
  <c r="F161" i="11"/>
  <c r="E161" i="11"/>
  <c r="D161" i="11"/>
  <c r="AA160" i="11"/>
  <c r="Z160" i="11"/>
  <c r="Y160" i="11"/>
  <c r="X160" i="11"/>
  <c r="V160" i="11"/>
  <c r="U160" i="11"/>
  <c r="T160" i="11"/>
  <c r="S160" i="11"/>
  <c r="R160" i="11"/>
  <c r="Q160" i="11"/>
  <c r="P160" i="11"/>
  <c r="O160" i="11"/>
  <c r="N160" i="11"/>
  <c r="M160" i="11"/>
  <c r="L160" i="11"/>
  <c r="K160" i="11"/>
  <c r="J160" i="11"/>
  <c r="I160" i="11"/>
  <c r="H160" i="11"/>
  <c r="G160" i="11"/>
  <c r="F160" i="11"/>
  <c r="E160" i="11"/>
  <c r="D160" i="11"/>
  <c r="AA159" i="11"/>
  <c r="AA166" i="11" s="1"/>
  <c r="Z159" i="11"/>
  <c r="Z166" i="11" s="1"/>
  <c r="Y159" i="11"/>
  <c r="Y166" i="11" s="1"/>
  <c r="X159" i="11"/>
  <c r="X166" i="11" s="1"/>
  <c r="V159" i="11"/>
  <c r="U159" i="11"/>
  <c r="U166" i="11" s="1"/>
  <c r="T159" i="11"/>
  <c r="S159" i="11"/>
  <c r="R159" i="11"/>
  <c r="R166" i="11" s="1"/>
  <c r="Q159" i="11"/>
  <c r="Q166" i="11" s="1"/>
  <c r="P159" i="11"/>
  <c r="P166" i="11" s="1"/>
  <c r="O159" i="11"/>
  <c r="N159" i="11"/>
  <c r="M159" i="11"/>
  <c r="M166" i="11" s="1"/>
  <c r="L159" i="11"/>
  <c r="K159" i="11"/>
  <c r="J159" i="11"/>
  <c r="I159" i="11"/>
  <c r="I166" i="11" s="1"/>
  <c r="H159" i="11"/>
  <c r="H166" i="11" s="1"/>
  <c r="G159" i="11"/>
  <c r="F159" i="11"/>
  <c r="E159" i="11"/>
  <c r="E166" i="11" s="1"/>
  <c r="D159" i="11"/>
  <c r="AA158" i="11"/>
  <c r="Z158" i="11"/>
  <c r="E155" i="11"/>
  <c r="D155" i="11"/>
  <c r="AA151" i="11"/>
  <c r="Z151" i="11"/>
  <c r="V148" i="11"/>
  <c r="U148" i="11"/>
  <c r="M148" i="11"/>
  <c r="G148" i="11"/>
  <c r="E148" i="11"/>
  <c r="AA147" i="11"/>
  <c r="Z147" i="11"/>
  <c r="Z148" i="11" s="1"/>
  <c r="Y147" i="11"/>
  <c r="X147" i="11"/>
  <c r="X148" i="11" s="1"/>
  <c r="W147" i="11"/>
  <c r="W148" i="11" s="1"/>
  <c r="V147" i="11"/>
  <c r="U147" i="11"/>
  <c r="T147" i="11"/>
  <c r="S147" i="11"/>
  <c r="R147" i="11"/>
  <c r="R148" i="11" s="1"/>
  <c r="Q147" i="11"/>
  <c r="P147" i="11"/>
  <c r="P148" i="11" s="1"/>
  <c r="O147" i="11"/>
  <c r="O148" i="11" s="1"/>
  <c r="N147" i="11"/>
  <c r="N148" i="11" s="1"/>
  <c r="M147" i="11"/>
  <c r="L147" i="11"/>
  <c r="K147" i="11"/>
  <c r="J147" i="11"/>
  <c r="J148" i="11" s="1"/>
  <c r="I147" i="11"/>
  <c r="H147" i="11"/>
  <c r="H148" i="11" s="1"/>
  <c r="G147" i="11"/>
  <c r="F147" i="11"/>
  <c r="F148" i="11" s="1"/>
  <c r="E147" i="11"/>
  <c r="D147" i="11"/>
  <c r="AB145" i="11"/>
  <c r="W145" i="11"/>
  <c r="R145" i="11"/>
  <c r="M145" i="11"/>
  <c r="H145" i="11"/>
  <c r="V143" i="11"/>
  <c r="T143" i="11"/>
  <c r="N143" i="11"/>
  <c r="AA142" i="11"/>
  <c r="AA356" i="11" s="1"/>
  <c r="AA358" i="11" s="1"/>
  <c r="AA361" i="11" s="1"/>
  <c r="Z142" i="11"/>
  <c r="Z356" i="11" s="1"/>
  <c r="Z358" i="11" s="1"/>
  <c r="Z361" i="11" s="1"/>
  <c r="Y142" i="11"/>
  <c r="Y356" i="11" s="1"/>
  <c r="Y358" i="11" s="1"/>
  <c r="Y361" i="11" s="1"/>
  <c r="X142" i="11"/>
  <c r="X356" i="11" s="1"/>
  <c r="W142" i="11"/>
  <c r="V142" i="11"/>
  <c r="V356" i="11" s="1"/>
  <c r="V358" i="11" s="1"/>
  <c r="V361" i="11" s="1"/>
  <c r="U142" i="11"/>
  <c r="U356" i="11" s="1"/>
  <c r="U358" i="11" s="1"/>
  <c r="U361" i="11" s="1"/>
  <c r="T142" i="11"/>
  <c r="T356" i="11" s="1"/>
  <c r="T358" i="11" s="1"/>
  <c r="T361" i="11" s="1"/>
  <c r="S142" i="11"/>
  <c r="S356" i="11" s="1"/>
  <c r="S358" i="11" s="1"/>
  <c r="S361" i="11" s="1"/>
  <c r="R142" i="11"/>
  <c r="R356" i="11" s="1"/>
  <c r="R358" i="11" s="1"/>
  <c r="R361" i="11" s="1"/>
  <c r="Q142" i="11"/>
  <c r="Q356" i="11" s="1"/>
  <c r="Q358" i="11" s="1"/>
  <c r="Q361" i="11" s="1"/>
  <c r="P142" i="11"/>
  <c r="P356" i="11" s="1"/>
  <c r="P358" i="11" s="1"/>
  <c r="P361" i="11" s="1"/>
  <c r="O142" i="11"/>
  <c r="N142" i="11"/>
  <c r="N356" i="11" s="1"/>
  <c r="N358" i="11" s="1"/>
  <c r="N361" i="11" s="1"/>
  <c r="M142" i="11"/>
  <c r="M356" i="11" s="1"/>
  <c r="M358" i="11" s="1"/>
  <c r="M361" i="11" s="1"/>
  <c r="L142" i="11"/>
  <c r="L356" i="11" s="1"/>
  <c r="L358" i="11" s="1"/>
  <c r="L361" i="11" s="1"/>
  <c r="K142" i="11"/>
  <c r="K356" i="11" s="1"/>
  <c r="K358" i="11" s="1"/>
  <c r="K361" i="11" s="1"/>
  <c r="J142" i="11"/>
  <c r="J356" i="11" s="1"/>
  <c r="J358" i="11" s="1"/>
  <c r="J361" i="11" s="1"/>
  <c r="I142" i="11"/>
  <c r="I356" i="11" s="1"/>
  <c r="I358" i="11" s="1"/>
  <c r="I361" i="11" s="1"/>
  <c r="H142" i="11"/>
  <c r="H356" i="11" s="1"/>
  <c r="H358" i="11" s="1"/>
  <c r="H361" i="11" s="1"/>
  <c r="H362" i="11" s="1"/>
  <c r="G142" i="11"/>
  <c r="F142" i="11"/>
  <c r="F356" i="11" s="1"/>
  <c r="F358" i="11" s="1"/>
  <c r="F361" i="11" s="1"/>
  <c r="F362" i="11" s="1"/>
  <c r="E142" i="11"/>
  <c r="E356" i="11" s="1"/>
  <c r="E358" i="11" s="1"/>
  <c r="E361" i="11" s="1"/>
  <c r="E362" i="11" s="1"/>
  <c r="D142" i="11"/>
  <c r="D356" i="11" s="1"/>
  <c r="D358" i="11" s="1"/>
  <c r="D361" i="11" s="1"/>
  <c r="D362" i="11" s="1"/>
  <c r="AA141" i="11"/>
  <c r="AA355" i="11" s="1"/>
  <c r="Z141" i="11"/>
  <c r="Z355" i="11" s="1"/>
  <c r="Y141" i="11"/>
  <c r="Y355" i="11" s="1"/>
  <c r="X141" i="11"/>
  <c r="X355" i="11" s="1"/>
  <c r="W141" i="11"/>
  <c r="W355" i="11" s="1"/>
  <c r="V141" i="11"/>
  <c r="V355" i="11" s="1"/>
  <c r="U141" i="11"/>
  <c r="U355" i="11" s="1"/>
  <c r="T141" i="11"/>
  <c r="T355" i="11" s="1"/>
  <c r="S141" i="11"/>
  <c r="S355" i="11" s="1"/>
  <c r="R141" i="11"/>
  <c r="R355" i="11" s="1"/>
  <c r="Q141" i="11"/>
  <c r="Q355" i="11" s="1"/>
  <c r="P141" i="11"/>
  <c r="P355" i="11" s="1"/>
  <c r="O141" i="11"/>
  <c r="O355" i="11" s="1"/>
  <c r="N141" i="11"/>
  <c r="N355" i="11" s="1"/>
  <c r="M141" i="11"/>
  <c r="M355" i="11" s="1"/>
  <c r="L141" i="11"/>
  <c r="L355" i="11" s="1"/>
  <c r="K141" i="11"/>
  <c r="K355" i="11" s="1"/>
  <c r="J141" i="11"/>
  <c r="J355" i="11" s="1"/>
  <c r="I141" i="11"/>
  <c r="I355" i="11" s="1"/>
  <c r="H141" i="11"/>
  <c r="H355" i="11" s="1"/>
  <c r="G141" i="11"/>
  <c r="G355" i="11" s="1"/>
  <c r="F141" i="11"/>
  <c r="F355" i="11" s="1"/>
  <c r="E141" i="11"/>
  <c r="E355" i="11" s="1"/>
  <c r="D141" i="11"/>
  <c r="D355" i="11" s="1"/>
  <c r="AB139" i="11"/>
  <c r="W139" i="11"/>
  <c r="Q139" i="11"/>
  <c r="P139" i="11"/>
  <c r="O139" i="11"/>
  <c r="N139" i="11"/>
  <c r="N155" i="11" s="1"/>
  <c r="L139" i="11"/>
  <c r="L155" i="11" s="1"/>
  <c r="K139" i="11"/>
  <c r="J139" i="11"/>
  <c r="G139" i="11"/>
  <c r="F139" i="11"/>
  <c r="E139" i="11"/>
  <c r="D139" i="11"/>
  <c r="AB138" i="11"/>
  <c r="W138" i="11"/>
  <c r="R138" i="11"/>
  <c r="M138" i="11"/>
  <c r="H138" i="11"/>
  <c r="AB137" i="11"/>
  <c r="W137" i="11"/>
  <c r="R137" i="11"/>
  <c r="M137" i="11"/>
  <c r="H137" i="11"/>
  <c r="Z136" i="11"/>
  <c r="Y136" i="11"/>
  <c r="X136" i="11"/>
  <c r="I136" i="11"/>
  <c r="AA135" i="11"/>
  <c r="Z135" i="11"/>
  <c r="Y135" i="11"/>
  <c r="X135" i="11"/>
  <c r="W135" i="11"/>
  <c r="V135" i="11"/>
  <c r="V155" i="11" s="1"/>
  <c r="U135" i="11"/>
  <c r="T135" i="11"/>
  <c r="T155" i="11" s="1"/>
  <c r="S135" i="11"/>
  <c r="N135" i="11"/>
  <c r="N153" i="11" s="1"/>
  <c r="L135" i="11"/>
  <c r="J135" i="11"/>
  <c r="I135" i="11"/>
  <c r="F135" i="11"/>
  <c r="E135" i="11"/>
  <c r="J136" i="11" s="1"/>
  <c r="D135" i="11"/>
  <c r="W133" i="11"/>
  <c r="V133" i="11"/>
  <c r="U133" i="11"/>
  <c r="P133" i="11"/>
  <c r="O133" i="11"/>
  <c r="N133" i="11"/>
  <c r="M133" i="11"/>
  <c r="AA132" i="11"/>
  <c r="Z132" i="11"/>
  <c r="Z133" i="11" s="1"/>
  <c r="Y132" i="11"/>
  <c r="Y148" i="11" s="1"/>
  <c r="X132" i="11"/>
  <c r="X143" i="11" s="1"/>
  <c r="W132" i="11"/>
  <c r="V132" i="11"/>
  <c r="U132" i="11"/>
  <c r="T132" i="11"/>
  <c r="S132" i="11"/>
  <c r="R132" i="11"/>
  <c r="R133" i="11" s="1"/>
  <c r="Q132" i="11"/>
  <c r="Q148" i="11" s="1"/>
  <c r="P132" i="11"/>
  <c r="P143" i="11" s="1"/>
  <c r="O132" i="11"/>
  <c r="N132" i="11"/>
  <c r="M132" i="11"/>
  <c r="L132" i="11"/>
  <c r="K132" i="11"/>
  <c r="J132" i="11"/>
  <c r="J133" i="11" s="1"/>
  <c r="I132" i="11"/>
  <c r="I148" i="11" s="1"/>
  <c r="H132" i="11"/>
  <c r="H143" i="11" s="1"/>
  <c r="G132" i="11"/>
  <c r="F132" i="11"/>
  <c r="E132" i="11"/>
  <c r="D132" i="11"/>
  <c r="D148" i="11" s="1"/>
  <c r="AA130" i="11"/>
  <c r="Z130" i="11"/>
  <c r="V128" i="11"/>
  <c r="U128" i="11"/>
  <c r="G128"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AA125" i="11"/>
  <c r="Z125" i="11"/>
  <c r="Y125" i="11"/>
  <c r="X125" i="11"/>
  <c r="V125" i="11"/>
  <c r="U125" i="11"/>
  <c r="T125" i="11"/>
  <c r="S125" i="11"/>
  <c r="R125" i="11"/>
  <c r="Q125" i="11"/>
  <c r="P125" i="11"/>
  <c r="O125" i="11"/>
  <c r="N125" i="11"/>
  <c r="M125" i="11"/>
  <c r="L125" i="11"/>
  <c r="K125" i="11"/>
  <c r="J125" i="11"/>
  <c r="I125" i="11"/>
  <c r="H125" i="11"/>
  <c r="G125" i="11"/>
  <c r="F125" i="11"/>
  <c r="E125" i="11"/>
  <c r="D125" i="11"/>
  <c r="AA124" i="11"/>
  <c r="Z124" i="11"/>
  <c r="Y124" i="11"/>
  <c r="X124" i="11"/>
  <c r="V124" i="11"/>
  <c r="U124" i="11"/>
  <c r="T124" i="11"/>
  <c r="S124" i="11"/>
  <c r="R124" i="11"/>
  <c r="Q124" i="11"/>
  <c r="P124" i="11"/>
  <c r="O124" i="11"/>
  <c r="N124" i="11"/>
  <c r="M124" i="11"/>
  <c r="L124" i="11"/>
  <c r="K124" i="11"/>
  <c r="J124" i="11"/>
  <c r="I124" i="11"/>
  <c r="H124" i="11"/>
  <c r="G124" i="11"/>
  <c r="F124" i="11"/>
  <c r="E124" i="11"/>
  <c r="D124" i="11"/>
  <c r="AB123" i="11"/>
  <c r="AA123" i="11"/>
  <c r="Z123" i="11"/>
  <c r="Y123" i="11"/>
  <c r="X123" i="11"/>
  <c r="V123" i="11"/>
  <c r="U123" i="11"/>
  <c r="T123" i="11"/>
  <c r="S123" i="11"/>
  <c r="R123" i="11"/>
  <c r="Q123" i="11"/>
  <c r="P123" i="11"/>
  <c r="O123" i="11"/>
  <c r="N123" i="11"/>
  <c r="M123" i="11"/>
  <c r="L123" i="11"/>
  <c r="K123" i="11"/>
  <c r="J123" i="11"/>
  <c r="I123" i="11"/>
  <c r="H123" i="11"/>
  <c r="G123" i="11"/>
  <c r="F123" i="11"/>
  <c r="E123" i="11"/>
  <c r="D123" i="11"/>
  <c r="AA122" i="11"/>
  <c r="Z122" i="11"/>
  <c r="Y122" i="11"/>
  <c r="X122" i="11"/>
  <c r="V122" i="11"/>
  <c r="U122" i="11"/>
  <c r="T122" i="11"/>
  <c r="S122" i="11"/>
  <c r="R122" i="11"/>
  <c r="Q122" i="11"/>
  <c r="P122" i="11"/>
  <c r="O122" i="11"/>
  <c r="N122" i="11"/>
  <c r="M122" i="11"/>
  <c r="L122" i="11"/>
  <c r="K122" i="11"/>
  <c r="J122" i="11"/>
  <c r="I122" i="11"/>
  <c r="H122" i="11"/>
  <c r="G122" i="11"/>
  <c r="F122" i="11"/>
  <c r="E122" i="11"/>
  <c r="D122" i="11"/>
  <c r="AA121" i="11"/>
  <c r="Z121" i="11"/>
  <c r="AA119" i="11"/>
  <c r="Z119" i="11"/>
  <c r="Y119" i="11"/>
  <c r="X119" i="11"/>
  <c r="V119" i="11"/>
  <c r="U119" i="11"/>
  <c r="T119" i="11"/>
  <c r="S119" i="11"/>
  <c r="R119" i="11"/>
  <c r="Q119" i="11"/>
  <c r="P119" i="11"/>
  <c r="O119" i="11"/>
  <c r="N119" i="11"/>
  <c r="M119" i="11"/>
  <c r="L119" i="11"/>
  <c r="K119" i="11"/>
  <c r="J119" i="11"/>
  <c r="I119" i="11"/>
  <c r="AB118" i="11"/>
  <c r="AA118" i="11"/>
  <c r="Z118" i="11"/>
  <c r="Y118" i="11"/>
  <c r="X118" i="11"/>
  <c r="W118" i="11"/>
  <c r="V118" i="11"/>
  <c r="U118" i="11"/>
  <c r="T118" i="11"/>
  <c r="S118" i="11"/>
  <c r="R118" i="11"/>
  <c r="Q118" i="11"/>
  <c r="P118" i="11"/>
  <c r="O118" i="11"/>
  <c r="N118" i="11"/>
  <c r="M118" i="11"/>
  <c r="L118" i="11"/>
  <c r="K118" i="11"/>
  <c r="J118" i="11"/>
  <c r="I118" i="11"/>
  <c r="AA117" i="11"/>
  <c r="Z117" i="11"/>
  <c r="Y117" i="11"/>
  <c r="X117" i="11"/>
  <c r="W117" i="11"/>
  <c r="V117" i="11"/>
  <c r="U117" i="11"/>
  <c r="T117" i="11"/>
  <c r="S117" i="11"/>
  <c r="R117" i="11"/>
  <c r="Q117" i="11"/>
  <c r="P117" i="11"/>
  <c r="O117" i="11"/>
  <c r="N117" i="11"/>
  <c r="M117" i="11"/>
  <c r="L117" i="11"/>
  <c r="K117" i="11"/>
  <c r="J117" i="11"/>
  <c r="I117" i="11"/>
  <c r="AA116" i="11"/>
  <c r="Z116" i="11"/>
  <c r="Y116" i="11"/>
  <c r="X116" i="11"/>
  <c r="V116" i="11"/>
  <c r="U116" i="11"/>
  <c r="T116" i="11"/>
  <c r="S116" i="11"/>
  <c r="R116" i="11"/>
  <c r="Q116" i="11"/>
  <c r="P116" i="11"/>
  <c r="O116" i="11"/>
  <c r="N116" i="11"/>
  <c r="M116" i="11"/>
  <c r="L116" i="11"/>
  <c r="K116" i="11"/>
  <c r="J116" i="11"/>
  <c r="I116" i="11"/>
  <c r="AA115" i="11"/>
  <c r="Z115" i="11"/>
  <c r="Y115" i="11"/>
  <c r="X115" i="11"/>
  <c r="W115" i="11"/>
  <c r="V115" i="11"/>
  <c r="U115" i="11"/>
  <c r="T115" i="11"/>
  <c r="S115" i="11"/>
  <c r="R115" i="11"/>
  <c r="Q115" i="11"/>
  <c r="P115" i="11"/>
  <c r="O115" i="11"/>
  <c r="N115" i="11"/>
  <c r="M115" i="11"/>
  <c r="L115" i="11"/>
  <c r="K115" i="11"/>
  <c r="J115" i="11"/>
  <c r="I115" i="11"/>
  <c r="AB114" i="11"/>
  <c r="AA114" i="11"/>
  <c r="Z114" i="11"/>
  <c r="Y114" i="11"/>
  <c r="X114" i="11"/>
  <c r="W114" i="11"/>
  <c r="V114" i="11"/>
  <c r="U114" i="11"/>
  <c r="T114" i="11"/>
  <c r="S114" i="11"/>
  <c r="R114" i="11"/>
  <c r="Q114" i="11"/>
  <c r="P114" i="11"/>
  <c r="O114" i="11"/>
  <c r="N114" i="11"/>
  <c r="M114" i="11"/>
  <c r="L114" i="11"/>
  <c r="K114" i="11"/>
  <c r="J114" i="11"/>
  <c r="I114" i="11"/>
  <c r="AA113" i="11"/>
  <c r="Z113" i="11"/>
  <c r="Y113" i="11"/>
  <c r="X113" i="11"/>
  <c r="W113" i="11"/>
  <c r="V113" i="11"/>
  <c r="U113" i="11"/>
  <c r="T113" i="11"/>
  <c r="S113" i="11"/>
  <c r="R113" i="11"/>
  <c r="Q113" i="11"/>
  <c r="P113" i="11"/>
  <c r="O113" i="11"/>
  <c r="N113" i="11"/>
  <c r="M113" i="11"/>
  <c r="L113" i="11"/>
  <c r="K113" i="11"/>
  <c r="J113" i="11"/>
  <c r="I113" i="11"/>
  <c r="AA112" i="11"/>
  <c r="Z112" i="11"/>
  <c r="AB110" i="11"/>
  <c r="Y110" i="11"/>
  <c r="U110" i="11"/>
  <c r="T110" i="11"/>
  <c r="Q110" i="11"/>
  <c r="M110" i="11"/>
  <c r="L110" i="11"/>
  <c r="I110" i="11"/>
  <c r="D110" i="11"/>
  <c r="U109" i="11"/>
  <c r="O109" i="11"/>
  <c r="AA108" i="11"/>
  <c r="X108" i="11"/>
  <c r="W108" i="11"/>
  <c r="S108" i="11"/>
  <c r="P108" i="11"/>
  <c r="K108" i="11"/>
  <c r="H108" i="11"/>
  <c r="G108" i="11"/>
  <c r="Y107" i="11"/>
  <c r="X107" i="11"/>
  <c r="T107" i="11"/>
  <c r="Q107" i="11"/>
  <c r="P107" i="11"/>
  <c r="O107" i="11"/>
  <c r="L107" i="11"/>
  <c r="I107" i="11"/>
  <c r="G107" i="11"/>
  <c r="D107" i="11"/>
  <c r="Z106" i="11"/>
  <c r="Y106" i="11"/>
  <c r="X106" i="11"/>
  <c r="R106" i="11"/>
  <c r="Q106" i="11"/>
  <c r="P106" i="11"/>
  <c r="J106" i="11"/>
  <c r="I106" i="11"/>
  <c r="AA105" i="11"/>
  <c r="Z105" i="11"/>
  <c r="Y105" i="11"/>
  <c r="X105" i="11"/>
  <c r="S105" i="11"/>
  <c r="R105" i="11"/>
  <c r="Q105" i="11"/>
  <c r="P105" i="11"/>
  <c r="K105" i="11"/>
  <c r="J105" i="11"/>
  <c r="I105" i="11"/>
  <c r="AA104" i="11"/>
  <c r="Z104" i="11"/>
  <c r="Y104" i="11"/>
  <c r="T104" i="11"/>
  <c r="S104" i="11"/>
  <c r="R104" i="11"/>
  <c r="Q104" i="11"/>
  <c r="L104" i="11"/>
  <c r="K104" i="11"/>
  <c r="J104" i="11"/>
  <c r="D104" i="11"/>
  <c r="AA103" i="11"/>
  <c r="Z103" i="11"/>
  <c r="AA99" i="11"/>
  <c r="AA110" i="11" s="1"/>
  <c r="Z99" i="11"/>
  <c r="Z110" i="11" s="1"/>
  <c r="Y99" i="11"/>
  <c r="Y128" i="11" s="1"/>
  <c r="X99" i="11"/>
  <c r="X104" i="11" s="1"/>
  <c r="W99" i="11"/>
  <c r="W104" i="11" s="1"/>
  <c r="V99" i="11"/>
  <c r="V109" i="11" s="1"/>
  <c r="U99" i="11"/>
  <c r="T99" i="11"/>
  <c r="T128" i="11" s="1"/>
  <c r="S99" i="11"/>
  <c r="S110" i="11" s="1"/>
  <c r="R99" i="11"/>
  <c r="R110" i="11" s="1"/>
  <c r="Q99" i="11"/>
  <c r="Q128" i="11" s="1"/>
  <c r="P99" i="11"/>
  <c r="P104" i="11" s="1"/>
  <c r="O99" i="11"/>
  <c r="N99" i="11"/>
  <c r="N110" i="11" s="1"/>
  <c r="M99" i="11"/>
  <c r="L99" i="11"/>
  <c r="L128" i="11" s="1"/>
  <c r="K99" i="11"/>
  <c r="K110" i="11" s="1"/>
  <c r="J99" i="11"/>
  <c r="J110" i="11" s="1"/>
  <c r="I99" i="11"/>
  <c r="I104" i="11" s="1"/>
  <c r="G99" i="11"/>
  <c r="F99" i="11"/>
  <c r="F128" i="11" s="1"/>
  <c r="E99" i="11"/>
  <c r="E128" i="11" s="1"/>
  <c r="D99" i="11"/>
  <c r="AB98" i="11"/>
  <c r="AB455" i="11" s="1"/>
  <c r="W98" i="11"/>
  <c r="R98" i="11"/>
  <c r="M98" i="11"/>
  <c r="H98" i="11"/>
  <c r="H99" i="11" s="1"/>
  <c r="H106" i="11" s="1"/>
  <c r="AB97" i="11"/>
  <c r="AB119" i="11" s="1"/>
  <c r="W97" i="11"/>
  <c r="AB96" i="11"/>
  <c r="W96" i="11"/>
  <c r="AB95" i="11"/>
  <c r="AB117" i="11" s="1"/>
  <c r="W95" i="11"/>
  <c r="AB94" i="11"/>
  <c r="AB125" i="11" s="1"/>
  <c r="W94" i="11"/>
  <c r="AB93" i="11"/>
  <c r="W93" i="11"/>
  <c r="AB92" i="11"/>
  <c r="W92" i="11"/>
  <c r="W105" i="11" s="1"/>
  <c r="AB91" i="11"/>
  <c r="AB99" i="11" s="1"/>
  <c r="W91" i="11"/>
  <c r="W122" i="11" s="1"/>
  <c r="AA90" i="11"/>
  <c r="Z90" i="11"/>
  <c r="U88" i="11"/>
  <c r="T88" i="11"/>
  <c r="S88" i="11"/>
  <c r="M88" i="11"/>
  <c r="AB87" i="11"/>
  <c r="AA87" i="11"/>
  <c r="Z87" i="11"/>
  <c r="Y87" i="11"/>
  <c r="X87" i="11"/>
  <c r="W87" i="11"/>
  <c r="V87" i="11"/>
  <c r="U87" i="11"/>
  <c r="T87" i="11"/>
  <c r="S87" i="11"/>
  <c r="R87" i="11"/>
  <c r="Q87" i="11"/>
  <c r="P87" i="11"/>
  <c r="O87" i="11"/>
  <c r="N87" i="11"/>
  <c r="M87" i="11"/>
  <c r="L87" i="11"/>
  <c r="K87" i="11"/>
  <c r="J87" i="11"/>
  <c r="I87" i="11"/>
  <c r="AB86" i="11"/>
  <c r="AA86" i="11"/>
  <c r="Z86" i="11"/>
  <c r="Y86" i="11"/>
  <c r="X86" i="11"/>
  <c r="V86" i="11"/>
  <c r="U86" i="11"/>
  <c r="T86" i="11"/>
  <c r="S86" i="11"/>
  <c r="R86" i="11"/>
  <c r="Q86" i="11"/>
  <c r="P86" i="11"/>
  <c r="O86" i="11"/>
  <c r="N86" i="11"/>
  <c r="M86" i="11"/>
  <c r="L86" i="11"/>
  <c r="K86" i="11"/>
  <c r="J86" i="11"/>
  <c r="I86" i="11"/>
  <c r="AA85" i="11"/>
  <c r="Z85" i="11"/>
  <c r="Y85" i="11"/>
  <c r="X85" i="11"/>
  <c r="W85" i="11"/>
  <c r="V85" i="11"/>
  <c r="U85" i="11"/>
  <c r="T85" i="11"/>
  <c r="S85" i="11"/>
  <c r="R85" i="11"/>
  <c r="Q85" i="11"/>
  <c r="P85" i="11"/>
  <c r="O85" i="11"/>
  <c r="N85" i="11"/>
  <c r="M85" i="11"/>
  <c r="L85" i="11"/>
  <c r="K85" i="11"/>
  <c r="J85" i="11"/>
  <c r="I85" i="11"/>
  <c r="AA84" i="11"/>
  <c r="Z84" i="11"/>
  <c r="Y84" i="11"/>
  <c r="X84" i="11"/>
  <c r="V84" i="11"/>
  <c r="U84" i="11"/>
  <c r="T84" i="11"/>
  <c r="S84" i="11"/>
  <c r="R84" i="11"/>
  <c r="Q84" i="11"/>
  <c r="P84" i="11"/>
  <c r="O84" i="11"/>
  <c r="N84" i="11"/>
  <c r="M84" i="11"/>
  <c r="L84" i="11"/>
  <c r="K84" i="11"/>
  <c r="J84" i="11"/>
  <c r="I84" i="11"/>
  <c r="AB83" i="11"/>
  <c r="AA83" i="11"/>
  <c r="Z83" i="11"/>
  <c r="Y83" i="11"/>
  <c r="X83" i="11"/>
  <c r="W83" i="11"/>
  <c r="V83" i="11"/>
  <c r="U83" i="11"/>
  <c r="T83" i="11"/>
  <c r="S83" i="11"/>
  <c r="R83" i="11"/>
  <c r="Q83" i="11"/>
  <c r="P83" i="11"/>
  <c r="O83" i="11"/>
  <c r="N83" i="11"/>
  <c r="M83" i="11"/>
  <c r="L83" i="11"/>
  <c r="K83" i="11"/>
  <c r="J83" i="11"/>
  <c r="I83" i="11"/>
  <c r="AA82" i="11"/>
  <c r="Z82" i="11"/>
  <c r="Y82" i="11"/>
  <c r="X82" i="11"/>
  <c r="V82" i="11"/>
  <c r="U82" i="11"/>
  <c r="T82" i="11"/>
  <c r="S82" i="11"/>
  <c r="R82" i="11"/>
  <c r="Q82" i="11"/>
  <c r="P82" i="11"/>
  <c r="O82" i="11"/>
  <c r="N82" i="11"/>
  <c r="M82" i="11"/>
  <c r="L82" i="11"/>
  <c r="K82" i="11"/>
  <c r="J82" i="11"/>
  <c r="I82" i="11"/>
  <c r="AA81" i="11"/>
  <c r="Z81" i="11"/>
  <c r="Z79" i="11"/>
  <c r="S79" i="11"/>
  <c r="R79" i="11"/>
  <c r="J79" i="11"/>
  <c r="AB78" i="11"/>
  <c r="AA78" i="11"/>
  <c r="S78" i="11"/>
  <c r="L78" i="11"/>
  <c r="K78" i="11"/>
  <c r="AB77" i="11"/>
  <c r="U77" i="11"/>
  <c r="T77" i="11"/>
  <c r="L77" i="11"/>
  <c r="E77" i="11"/>
  <c r="D77" i="11"/>
  <c r="U76" i="11"/>
  <c r="N76" i="11"/>
  <c r="M76" i="11"/>
  <c r="E76" i="11"/>
  <c r="V75" i="11"/>
  <c r="N75" i="11"/>
  <c r="G75" i="11"/>
  <c r="F75" i="11"/>
  <c r="W74" i="11"/>
  <c r="P74" i="11"/>
  <c r="O74" i="11"/>
  <c r="G74" i="11"/>
  <c r="Y73" i="11"/>
  <c r="X73" i="11"/>
  <c r="Q73" i="11"/>
  <c r="P73" i="11"/>
  <c r="I73" i="11"/>
  <c r="H73" i="11"/>
  <c r="AA72" i="11"/>
  <c r="Z72" i="11"/>
  <c r="AA70" i="11"/>
  <c r="AA88" i="11" s="1"/>
  <c r="Z70" i="11"/>
  <c r="Z88" i="11" s="1"/>
  <c r="Y70" i="11"/>
  <c r="Y88" i="11" s="1"/>
  <c r="X70" i="11"/>
  <c r="V70" i="11"/>
  <c r="V88" i="11" s="1"/>
  <c r="U70" i="11"/>
  <c r="T70" i="11"/>
  <c r="S70" i="11"/>
  <c r="X88" i="11" s="1"/>
  <c r="R70" i="11"/>
  <c r="R88" i="11" s="1"/>
  <c r="Q70" i="11"/>
  <c r="Q88" i="11" s="1"/>
  <c r="P70" i="11"/>
  <c r="O70" i="11"/>
  <c r="N70" i="11"/>
  <c r="N88" i="11" s="1"/>
  <c r="M70" i="11"/>
  <c r="L70" i="11"/>
  <c r="L88" i="11" s="1"/>
  <c r="K70" i="11"/>
  <c r="P88" i="11" s="1"/>
  <c r="J70" i="11"/>
  <c r="J88" i="11" s="1"/>
  <c r="I70" i="11"/>
  <c r="I88" i="11" s="1"/>
  <c r="H70" i="11"/>
  <c r="G70" i="11"/>
  <c r="F70" i="11"/>
  <c r="E70" i="11"/>
  <c r="D70" i="11"/>
  <c r="V79" i="11" s="1"/>
  <c r="AB69" i="11"/>
  <c r="W69" i="11"/>
  <c r="AB68" i="11"/>
  <c r="W68" i="11"/>
  <c r="W164" i="11" s="1"/>
  <c r="AB67" i="11"/>
  <c r="AB163" i="11" s="1"/>
  <c r="W67" i="11"/>
  <c r="W163" i="11" s="1"/>
  <c r="AB66" i="11"/>
  <c r="AB162" i="11" s="1"/>
  <c r="W66" i="11"/>
  <c r="AB65" i="11"/>
  <c r="W65" i="11"/>
  <c r="AB64" i="11"/>
  <c r="AB160" i="11" s="1"/>
  <c r="W64" i="11"/>
  <c r="W160" i="11" s="1"/>
  <c r="AB63" i="11"/>
  <c r="AB159" i="11" s="1"/>
  <c r="W63" i="11"/>
  <c r="W159" i="11" s="1"/>
  <c r="AA62" i="11"/>
  <c r="Z62"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AA44" i="11"/>
  <c r="Z44" i="11"/>
  <c r="AA41" i="11"/>
  <c r="Z41" i="11"/>
  <c r="Y41" i="11"/>
  <c r="X41" i="11"/>
  <c r="W41" i="11"/>
  <c r="V41" i="11"/>
  <c r="U41" i="11"/>
  <c r="T41" i="11"/>
  <c r="S41" i="11"/>
  <c r="R41" i="11"/>
  <c r="Q41" i="11"/>
  <c r="P41" i="11"/>
  <c r="O41" i="11"/>
  <c r="N41" i="11"/>
  <c r="M41" i="11"/>
  <c r="L41" i="11"/>
  <c r="K41" i="11"/>
  <c r="J41" i="11"/>
  <c r="I41" i="11"/>
  <c r="H41" i="11"/>
  <c r="G41" i="11"/>
  <c r="F41" i="11"/>
  <c r="E41" i="11"/>
  <c r="D41" i="11"/>
  <c r="AA40" i="11"/>
  <c r="Z40" i="11"/>
  <c r="Y40" i="11"/>
  <c r="X40" i="11"/>
  <c r="W40" i="11"/>
  <c r="V40" i="11"/>
  <c r="U40" i="11"/>
  <c r="T40" i="11"/>
  <c r="S40" i="11"/>
  <c r="R40" i="11"/>
  <c r="Q40" i="11"/>
  <c r="P40" i="11"/>
  <c r="O40" i="11"/>
  <c r="N40" i="11"/>
  <c r="M40" i="11"/>
  <c r="L40" i="11"/>
  <c r="K40" i="11"/>
  <c r="J40" i="11"/>
  <c r="I40" i="11"/>
  <c r="H40" i="11"/>
  <c r="G40" i="11"/>
  <c r="F40" i="11"/>
  <c r="E40" i="11"/>
  <c r="D40" i="11"/>
  <c r="AA39" i="11"/>
  <c r="Z39" i="11"/>
  <c r="Y39" i="11"/>
  <c r="X39" i="11"/>
  <c r="W39" i="11"/>
  <c r="V39" i="11"/>
  <c r="U39" i="11"/>
  <c r="T39" i="11"/>
  <c r="S39" i="11"/>
  <c r="R39" i="11"/>
  <c r="Q39" i="11"/>
  <c r="P39" i="11"/>
  <c r="O39" i="11"/>
  <c r="N39" i="11"/>
  <c r="M39" i="11"/>
  <c r="L39" i="11"/>
  <c r="K39" i="11"/>
  <c r="J39" i="11"/>
  <c r="I39" i="11"/>
  <c r="AA38" i="11"/>
  <c r="Z38" i="11"/>
  <c r="Y38" i="11"/>
  <c r="X38" i="11"/>
  <c r="W38" i="11"/>
  <c r="V38" i="11"/>
  <c r="U38" i="11"/>
  <c r="T38" i="11"/>
  <c r="S38" i="11"/>
  <c r="R38" i="11"/>
  <c r="Q38" i="11"/>
  <c r="P38" i="11"/>
  <c r="O38" i="11"/>
  <c r="N38" i="11"/>
  <c r="M38" i="11"/>
  <c r="L38" i="11"/>
  <c r="K38" i="11"/>
  <c r="J38" i="11"/>
  <c r="I38" i="11"/>
  <c r="AA37" i="11"/>
  <c r="Z37" i="11"/>
  <c r="Y37" i="11"/>
  <c r="X37" i="11"/>
  <c r="W37" i="11"/>
  <c r="V37" i="11"/>
  <c r="U37" i="11"/>
  <c r="T37" i="11"/>
  <c r="S37" i="11"/>
  <c r="R37" i="11"/>
  <c r="Q37" i="11"/>
  <c r="P37" i="11"/>
  <c r="O37" i="11"/>
  <c r="N37" i="11"/>
  <c r="M37" i="11"/>
  <c r="L37" i="11"/>
  <c r="K37" i="11"/>
  <c r="J37" i="11"/>
  <c r="I37" i="11"/>
  <c r="AA36" i="11"/>
  <c r="Z36" i="11"/>
  <c r="Y36" i="11"/>
  <c r="X36" i="11"/>
  <c r="W36" i="11"/>
  <c r="V36" i="11"/>
  <c r="U36" i="11"/>
  <c r="T36" i="11"/>
  <c r="S36" i="11"/>
  <c r="R36" i="11"/>
  <c r="Q36" i="11"/>
  <c r="P36" i="11"/>
  <c r="O36" i="11"/>
  <c r="N36" i="11"/>
  <c r="M36" i="11"/>
  <c r="L36" i="11"/>
  <c r="K36" i="11"/>
  <c r="J36" i="11"/>
  <c r="I36" i="11"/>
  <c r="AA35" i="11"/>
  <c r="Z35" i="11"/>
  <c r="Y35" i="11"/>
  <c r="X35" i="11"/>
  <c r="W35" i="11"/>
  <c r="V35" i="11"/>
  <c r="U35" i="11"/>
  <c r="T35" i="11"/>
  <c r="S35" i="11"/>
  <c r="R35" i="11"/>
  <c r="Q35" i="11"/>
  <c r="P35" i="11"/>
  <c r="O35" i="11"/>
  <c r="N35" i="11"/>
  <c r="M35" i="11"/>
  <c r="L35" i="11"/>
  <c r="K35" i="11"/>
  <c r="J35" i="11"/>
  <c r="I35" i="11"/>
  <c r="AA34" i="11"/>
  <c r="Z34" i="11"/>
  <c r="AA30" i="11"/>
  <c r="Z30" i="11"/>
  <c r="Y30" i="11"/>
  <c r="X30" i="11"/>
  <c r="W30" i="11"/>
  <c r="V30" i="11"/>
  <c r="U30" i="11"/>
  <c r="T30" i="11"/>
  <c r="S30" i="11"/>
  <c r="R30" i="11"/>
  <c r="Q30" i="11"/>
  <c r="P30" i="11"/>
  <c r="O30" i="11"/>
  <c r="N30" i="11"/>
  <c r="M30" i="11"/>
  <c r="L30" i="11"/>
  <c r="K30" i="11"/>
  <c r="J30" i="11"/>
  <c r="I30" i="11"/>
  <c r="H30" i="11"/>
  <c r="G30" i="11"/>
  <c r="F30" i="11"/>
  <c r="E30" i="11"/>
  <c r="D30" i="11"/>
  <c r="AA29" i="11"/>
  <c r="Z29" i="11"/>
  <c r="Y29" i="11"/>
  <c r="X29" i="11"/>
  <c r="W29" i="11"/>
  <c r="V29" i="11"/>
  <c r="U29" i="11"/>
  <c r="T29" i="11"/>
  <c r="S29" i="11"/>
  <c r="R29" i="11"/>
  <c r="Q29" i="11"/>
  <c r="P29" i="11"/>
  <c r="O29" i="11"/>
  <c r="N29" i="11"/>
  <c r="M29" i="11"/>
  <c r="L29" i="11"/>
  <c r="K29" i="11"/>
  <c r="J29" i="11"/>
  <c r="I29" i="11"/>
  <c r="H29" i="11"/>
  <c r="G29" i="11"/>
  <c r="F29" i="11"/>
  <c r="E29" i="11"/>
  <c r="D29" i="11"/>
  <c r="AB27" i="11"/>
  <c r="AA27" i="11"/>
  <c r="Z27" i="11"/>
  <c r="X27" i="11"/>
  <c r="V27" i="11"/>
  <c r="U27" i="11"/>
  <c r="T27" i="11"/>
  <c r="S27" i="11"/>
  <c r="Q27" i="11"/>
  <c r="P27" i="11"/>
  <c r="O27" i="11"/>
  <c r="N27" i="11"/>
  <c r="M27" i="11"/>
  <c r="L27" i="11"/>
  <c r="K27" i="11"/>
  <c r="J27" i="11"/>
  <c r="I27" i="11"/>
  <c r="H27" i="11"/>
  <c r="G27" i="11"/>
  <c r="F27" i="11"/>
  <c r="E27" i="11"/>
  <c r="D27" i="11"/>
  <c r="AB26" i="11"/>
  <c r="W26" i="11"/>
  <c r="W27" i="11" s="1"/>
  <c r="R26" i="11"/>
  <c r="R27" i="11" s="1"/>
  <c r="M26" i="11"/>
  <c r="H26" i="11"/>
  <c r="AB25" i="11"/>
  <c r="AB24" i="11"/>
  <c r="AB30" i="11" s="1"/>
  <c r="AB22" i="11"/>
  <c r="W22" i="11"/>
  <c r="R22" i="11"/>
  <c r="M22" i="11"/>
  <c r="H22" i="11"/>
  <c r="AB21" i="11"/>
  <c r="W21" i="11"/>
  <c r="R21" i="11"/>
  <c r="M21" i="11"/>
  <c r="H21" i="11"/>
  <c r="AB20" i="11"/>
  <c r="W20" i="11"/>
  <c r="R20" i="11"/>
  <c r="M20" i="11"/>
  <c r="H20" i="11"/>
  <c r="AB19" i="11"/>
  <c r="W19" i="11"/>
  <c r="R19" i="11"/>
  <c r="M19" i="11"/>
  <c r="H19" i="11"/>
  <c r="AB18" i="11"/>
  <c r="W18" i="11"/>
  <c r="R18" i="11"/>
  <c r="M18" i="11"/>
  <c r="H18" i="11"/>
  <c r="AB17" i="11"/>
  <c r="W17" i="11"/>
  <c r="R17" i="11"/>
  <c r="M17" i="11"/>
  <c r="H17" i="11"/>
  <c r="AB16" i="11"/>
  <c r="AB15" i="11"/>
  <c r="AB328" i="11" s="1"/>
  <c r="AB14" i="11"/>
  <c r="AB142" i="11" s="1"/>
  <c r="AB13" i="11"/>
  <c r="AB141" i="11" s="1"/>
  <c r="AB12" i="11"/>
  <c r="W12" i="11"/>
  <c r="R12" i="11"/>
  <c r="M12" i="11"/>
  <c r="H12" i="11"/>
  <c r="AB11" i="11"/>
  <c r="W11" i="11"/>
  <c r="R11" i="11"/>
  <c r="M11" i="11"/>
  <c r="H11" i="11"/>
  <c r="AB10" i="11"/>
  <c r="W10" i="11"/>
  <c r="R10" i="11"/>
  <c r="M10" i="11"/>
  <c r="H10" i="11"/>
  <c r="AB9" i="11"/>
  <c r="W9" i="11"/>
  <c r="R9" i="11"/>
  <c r="Q9" i="11"/>
  <c r="P9" i="11"/>
  <c r="O9" i="11"/>
  <c r="N9" i="11"/>
  <c r="L9" i="11"/>
  <c r="K9" i="11"/>
  <c r="J9" i="11"/>
  <c r="M9" i="11" s="1"/>
  <c r="G9" i="11"/>
  <c r="F9" i="11"/>
  <c r="E9" i="11"/>
  <c r="H9" i="11" s="1"/>
  <c r="D9" i="11"/>
  <c r="AB8" i="11"/>
  <c r="W8" i="11"/>
  <c r="R8" i="11"/>
  <c r="M8" i="11"/>
  <c r="H8" i="11"/>
  <c r="AB7" i="11"/>
  <c r="W7" i="11"/>
  <c r="R7" i="11"/>
  <c r="M7" i="11"/>
  <c r="H7" i="11"/>
  <c r="AB5" i="11"/>
  <c r="AB35" i="11" s="1"/>
  <c r="AD464" i="5"/>
  <c r="AA464" i="5"/>
  <c r="Y464" i="5"/>
  <c r="X464" i="5"/>
  <c r="T464" i="5"/>
  <c r="S464" i="5"/>
  <c r="Q464" i="5"/>
  <c r="P464" i="5"/>
  <c r="N464" i="5"/>
  <c r="L464" i="5"/>
  <c r="K464" i="5"/>
  <c r="I464" i="5"/>
  <c r="H464" i="5"/>
  <c r="E464" i="5"/>
  <c r="D464" i="5"/>
  <c r="AE463" i="5"/>
  <c r="AC463" i="5"/>
  <c r="Z463" i="5"/>
  <c r="Y463" i="5"/>
  <c r="X463" i="5"/>
  <c r="U463" i="5"/>
  <c r="T463" i="5"/>
  <c r="R463" i="5"/>
  <c r="P463" i="5"/>
  <c r="O463" i="5"/>
  <c r="M463" i="5"/>
  <c r="L463" i="5"/>
  <c r="I463" i="5"/>
  <c r="H463" i="5"/>
  <c r="G463" i="5"/>
  <c r="E463" i="5"/>
  <c r="D463" i="5"/>
  <c r="AC462" i="5"/>
  <c r="AA462" i="5"/>
  <c r="Y462" i="5"/>
  <c r="X462" i="5"/>
  <c r="T462" i="5"/>
  <c r="S462" i="5"/>
  <c r="Q462" i="5"/>
  <c r="P462" i="5"/>
  <c r="N462" i="5"/>
  <c r="L462" i="5"/>
  <c r="K462" i="5"/>
  <c r="I462" i="5"/>
  <c r="H462" i="5"/>
  <c r="D462" i="5"/>
  <c r="AE461" i="5"/>
  <c r="AC461" i="5"/>
  <c r="X461" i="5"/>
  <c r="U461" i="5"/>
  <c r="T461" i="5"/>
  <c r="R461" i="5"/>
  <c r="P461" i="5"/>
  <c r="O461" i="5"/>
  <c r="M461" i="5"/>
  <c r="L461" i="5"/>
  <c r="I461" i="5"/>
  <c r="H461" i="5"/>
  <c r="G461" i="5"/>
  <c r="E461" i="5"/>
  <c r="D461" i="5"/>
  <c r="AD460" i="5"/>
  <c r="AA460" i="5"/>
  <c r="Z460" i="5"/>
  <c r="Y460" i="5"/>
  <c r="X460" i="5"/>
  <c r="V460" i="5"/>
  <c r="U460" i="5"/>
  <c r="T460" i="5"/>
  <c r="S460" i="5"/>
  <c r="Q460" i="5"/>
  <c r="P460" i="5"/>
  <c r="O460" i="5"/>
  <c r="N460" i="5"/>
  <c r="M460" i="5"/>
  <c r="L460" i="5"/>
  <c r="K460" i="5"/>
  <c r="J460" i="5"/>
  <c r="I460" i="5"/>
  <c r="G460" i="5"/>
  <c r="F460" i="5"/>
  <c r="E460" i="5"/>
  <c r="AC459" i="5"/>
  <c r="Z459" i="5"/>
  <c r="U459" i="5"/>
  <c r="R459" i="5"/>
  <c r="M459" i="5"/>
  <c r="J459" i="5"/>
  <c r="E459" i="5"/>
  <c r="Q455" i="5"/>
  <c r="AE454" i="5"/>
  <c r="AD454" i="5"/>
  <c r="AC454" i="5"/>
  <c r="W454" i="5"/>
  <c r="R454" i="5"/>
  <c r="M454" i="5"/>
  <c r="H454" i="5"/>
  <c r="D454" i="5"/>
  <c r="AE453" i="5"/>
  <c r="AD453" i="5"/>
  <c r="AC453" i="5"/>
  <c r="AA453" i="5"/>
  <c r="Z453" i="5"/>
  <c r="Y453" i="5"/>
  <c r="X453" i="5"/>
  <c r="V453" i="5"/>
  <c r="U453" i="5"/>
  <c r="T453" i="5"/>
  <c r="S453" i="5"/>
  <c r="R453" i="5"/>
  <c r="Q453" i="5"/>
  <c r="P453" i="5"/>
  <c r="O453" i="5"/>
  <c r="N453" i="5"/>
  <c r="M453" i="5"/>
  <c r="L453" i="5"/>
  <c r="K453" i="5"/>
  <c r="J453" i="5"/>
  <c r="I453" i="5"/>
  <c r="I455" i="5" s="1"/>
  <c r="H453" i="5"/>
  <c r="G453" i="5"/>
  <c r="F453" i="5"/>
  <c r="E453" i="5"/>
  <c r="D453" i="5"/>
  <c r="AE452" i="5"/>
  <c r="AE464" i="5" s="1"/>
  <c r="AD452" i="5"/>
  <c r="AC452" i="5"/>
  <c r="AC464" i="5" s="1"/>
  <c r="AA452" i="5"/>
  <c r="Z452" i="5"/>
  <c r="Z464" i="5" s="1"/>
  <c r="Y452" i="5"/>
  <c r="X452" i="5"/>
  <c r="V452" i="5"/>
  <c r="V464" i="5" s="1"/>
  <c r="U452" i="5"/>
  <c r="U464" i="5" s="1"/>
  <c r="T452" i="5"/>
  <c r="S452" i="5"/>
  <c r="R452" i="5"/>
  <c r="R464" i="5" s="1"/>
  <c r="Q452" i="5"/>
  <c r="P452" i="5"/>
  <c r="O452" i="5"/>
  <c r="O464" i="5" s="1"/>
  <c r="N452" i="5"/>
  <c r="M452" i="5"/>
  <c r="M464" i="5" s="1"/>
  <c r="L452" i="5"/>
  <c r="K452" i="5"/>
  <c r="J452" i="5"/>
  <c r="J464" i="5" s="1"/>
  <c r="I452" i="5"/>
  <c r="H452" i="5"/>
  <c r="G452" i="5"/>
  <c r="G464" i="5" s="1"/>
  <c r="F452" i="5"/>
  <c r="F464" i="5" s="1"/>
  <c r="E452" i="5"/>
  <c r="D452" i="5"/>
  <c r="AE451" i="5"/>
  <c r="AD451" i="5"/>
  <c r="AD463" i="5" s="1"/>
  <c r="AC451" i="5"/>
  <c r="AA451" i="5"/>
  <c r="AA463" i="5" s="1"/>
  <c r="Z451" i="5"/>
  <c r="Y451" i="5"/>
  <c r="X451" i="5"/>
  <c r="V451" i="5"/>
  <c r="V463" i="5" s="1"/>
  <c r="U451" i="5"/>
  <c r="T451" i="5"/>
  <c r="S451" i="5"/>
  <c r="S463" i="5" s="1"/>
  <c r="R451" i="5"/>
  <c r="Q451" i="5"/>
  <c r="Q463" i="5" s="1"/>
  <c r="P451" i="5"/>
  <c r="O451" i="5"/>
  <c r="N451" i="5"/>
  <c r="N463" i="5" s="1"/>
  <c r="M451" i="5"/>
  <c r="L451" i="5"/>
  <c r="K451" i="5"/>
  <c r="K463" i="5" s="1"/>
  <c r="J451" i="5"/>
  <c r="J463" i="5" s="1"/>
  <c r="I451" i="5"/>
  <c r="H451" i="5"/>
  <c r="G451" i="5"/>
  <c r="F451" i="5"/>
  <c r="F463" i="5" s="1"/>
  <c r="E451" i="5"/>
  <c r="D451" i="5"/>
  <c r="AE450" i="5"/>
  <c r="AE462" i="5" s="1"/>
  <c r="AD450" i="5"/>
  <c r="AD462" i="5" s="1"/>
  <c r="AC450" i="5"/>
  <c r="AA450" i="5"/>
  <c r="Z450" i="5"/>
  <c r="Z462" i="5" s="1"/>
  <c r="Y450" i="5"/>
  <c r="X450" i="5"/>
  <c r="V450" i="5"/>
  <c r="V462" i="5" s="1"/>
  <c r="U450" i="5"/>
  <c r="T450" i="5"/>
  <c r="S450" i="5"/>
  <c r="R450" i="5"/>
  <c r="R462" i="5" s="1"/>
  <c r="Q450" i="5"/>
  <c r="P450" i="5"/>
  <c r="O450" i="5"/>
  <c r="O462" i="5" s="1"/>
  <c r="N450" i="5"/>
  <c r="N455" i="5" s="1"/>
  <c r="M450" i="5"/>
  <c r="L450" i="5"/>
  <c r="K450" i="5"/>
  <c r="J450" i="5"/>
  <c r="J462" i="5" s="1"/>
  <c r="I450" i="5"/>
  <c r="H450" i="5"/>
  <c r="G450" i="5"/>
  <c r="G462" i="5" s="1"/>
  <c r="F450" i="5"/>
  <c r="F455" i="5" s="1"/>
  <c r="E450" i="5"/>
  <c r="D450" i="5"/>
  <c r="AE449" i="5"/>
  <c r="AD449" i="5"/>
  <c r="AD461" i="5" s="1"/>
  <c r="AC449" i="5"/>
  <c r="AA449" i="5"/>
  <c r="AA461" i="5" s="1"/>
  <c r="Z449" i="5"/>
  <c r="Z461" i="5" s="1"/>
  <c r="Y449" i="5"/>
  <c r="Y461" i="5" s="1"/>
  <c r="X449" i="5"/>
  <c r="V449" i="5"/>
  <c r="V461" i="5" s="1"/>
  <c r="U449" i="5"/>
  <c r="T449" i="5"/>
  <c r="S449" i="5"/>
  <c r="S461" i="5" s="1"/>
  <c r="R449" i="5"/>
  <c r="Q449" i="5"/>
  <c r="Q461" i="5" s="1"/>
  <c r="P449" i="5"/>
  <c r="O449" i="5"/>
  <c r="N449" i="5"/>
  <c r="N461" i="5" s="1"/>
  <c r="M449" i="5"/>
  <c r="L449" i="5"/>
  <c r="K449" i="5"/>
  <c r="K461" i="5" s="1"/>
  <c r="J449" i="5"/>
  <c r="J461" i="5" s="1"/>
  <c r="I449" i="5"/>
  <c r="H449" i="5"/>
  <c r="G449" i="5"/>
  <c r="F449" i="5"/>
  <c r="F461" i="5" s="1"/>
  <c r="E449" i="5"/>
  <c r="D449" i="5"/>
  <c r="AE448" i="5"/>
  <c r="AE460" i="5" s="1"/>
  <c r="AD448" i="5"/>
  <c r="AD455" i="5" s="1"/>
  <c r="AC448" i="5"/>
  <c r="AC455" i="5" s="1"/>
  <c r="AA448" i="5"/>
  <c r="W448" i="5"/>
  <c r="R448" i="5"/>
  <c r="R460" i="5" s="1"/>
  <c r="M448" i="5"/>
  <c r="D448" i="5"/>
  <c r="D460" i="5" s="1"/>
  <c r="AE447" i="5"/>
  <c r="AD447" i="5"/>
  <c r="AD459" i="5" s="1"/>
  <c r="AC447" i="5"/>
  <c r="AA447" i="5"/>
  <c r="Z447" i="5"/>
  <c r="Y447" i="5"/>
  <c r="Y459" i="5" s="1"/>
  <c r="X447" i="5"/>
  <c r="X455" i="5" s="1"/>
  <c r="V447" i="5"/>
  <c r="V459" i="5" s="1"/>
  <c r="U447" i="5"/>
  <c r="T447" i="5"/>
  <c r="S447" i="5"/>
  <c r="R447" i="5"/>
  <c r="Q447" i="5"/>
  <c r="Q459" i="5" s="1"/>
  <c r="P447" i="5"/>
  <c r="P455" i="5" s="1"/>
  <c r="O447" i="5"/>
  <c r="N447" i="5"/>
  <c r="N459" i="5" s="1"/>
  <c r="M447" i="5"/>
  <c r="L447" i="5"/>
  <c r="K447" i="5"/>
  <c r="J447" i="5"/>
  <c r="I447" i="5"/>
  <c r="I459" i="5" s="1"/>
  <c r="H447" i="5"/>
  <c r="H459" i="5" s="1"/>
  <c r="G447" i="5"/>
  <c r="F447" i="5"/>
  <c r="F459" i="5" s="1"/>
  <c r="E447" i="5"/>
  <c r="D447" i="5"/>
  <c r="V441" i="5"/>
  <c r="U441" i="5"/>
  <c r="T441" i="5"/>
  <c r="S441" i="5"/>
  <c r="Q441" i="5"/>
  <c r="P441" i="5"/>
  <c r="O441" i="5"/>
  <c r="N441" i="5"/>
  <c r="AE435" i="5"/>
  <c r="AD435" i="5"/>
  <c r="AC435" i="5"/>
  <c r="AA435" i="5"/>
  <c r="Z435" i="5"/>
  <c r="Y433" i="5"/>
  <c r="Y431" i="5" s="1"/>
  <c r="Q433" i="5"/>
  <c r="I433" i="5"/>
  <c r="F433" i="5"/>
  <c r="F431" i="5" s="1"/>
  <c r="U431" i="5"/>
  <c r="T431" i="5"/>
  <c r="S431" i="5"/>
  <c r="I431" i="5"/>
  <c r="AB429" i="5"/>
  <c r="W429" i="5"/>
  <c r="R429" i="5"/>
  <c r="M429" i="5"/>
  <c r="H429" i="5"/>
  <c r="AB428" i="5"/>
  <c r="W428" i="5"/>
  <c r="R428" i="5"/>
  <c r="M428" i="5"/>
  <c r="H428" i="5"/>
  <c r="AB427" i="5"/>
  <c r="W427" i="5"/>
  <c r="R427" i="5"/>
  <c r="M427" i="5"/>
  <c r="H427" i="5"/>
  <c r="AB426" i="5"/>
  <c r="W426" i="5"/>
  <c r="R426" i="5"/>
  <c r="M426" i="5"/>
  <c r="H426" i="5"/>
  <c r="AB425" i="5"/>
  <c r="W425" i="5"/>
  <c r="R425" i="5"/>
  <c r="M425" i="5"/>
  <c r="H425" i="5"/>
  <c r="AB424" i="5"/>
  <c r="R424" i="5"/>
  <c r="M424" i="5"/>
  <c r="AB423" i="5"/>
  <c r="W423" i="5"/>
  <c r="R423" i="5"/>
  <c r="M423" i="5"/>
  <c r="H423" i="5"/>
  <c r="AB422" i="5"/>
  <c r="W422" i="5"/>
  <c r="R422" i="5"/>
  <c r="R419" i="5" s="1"/>
  <c r="M422" i="5"/>
  <c r="H422" i="5"/>
  <c r="W421" i="5"/>
  <c r="R421" i="5"/>
  <c r="M421" i="5"/>
  <c r="H421" i="5"/>
  <c r="AB420" i="5"/>
  <c r="W420" i="5"/>
  <c r="R420" i="5"/>
  <c r="M420" i="5"/>
  <c r="H420" i="5"/>
  <c r="AE419" i="5"/>
  <c r="AD419" i="5"/>
  <c r="AC419" i="5"/>
  <c r="AB419" i="5"/>
  <c r="AA419" i="5"/>
  <c r="Z419" i="5"/>
  <c r="Y419" i="5"/>
  <c r="X419" i="5"/>
  <c r="V419" i="5"/>
  <c r="Q419" i="5"/>
  <c r="Q431" i="5" s="1"/>
  <c r="P419" i="5"/>
  <c r="P431" i="5" s="1"/>
  <c r="O419" i="5"/>
  <c r="N419" i="5"/>
  <c r="M419" i="5"/>
  <c r="L419" i="5"/>
  <c r="K419" i="5"/>
  <c r="J419" i="5"/>
  <c r="I419" i="5"/>
  <c r="H419" i="5"/>
  <c r="G419" i="5"/>
  <c r="F419" i="5"/>
  <c r="E419" i="5"/>
  <c r="D419" i="5"/>
  <c r="AA417" i="5"/>
  <c r="X417" i="5"/>
  <c r="V417" i="5"/>
  <c r="I417" i="5"/>
  <c r="AB415" i="5"/>
  <c r="W415" i="5"/>
  <c r="R415" i="5"/>
  <c r="M415" i="5"/>
  <c r="H415" i="5"/>
  <c r="AB414" i="5"/>
  <c r="W414" i="5"/>
  <c r="R414" i="5"/>
  <c r="M414" i="5"/>
  <c r="H414" i="5"/>
  <c r="AB413" i="5"/>
  <c r="W413" i="5"/>
  <c r="R413" i="5"/>
  <c r="M413" i="5"/>
  <c r="H413" i="5"/>
  <c r="AB412" i="5"/>
  <c r="W412" i="5"/>
  <c r="R412" i="5"/>
  <c r="M412" i="5"/>
  <c r="H412" i="5"/>
  <c r="AB411" i="5"/>
  <c r="W411" i="5"/>
  <c r="W408" i="5" s="1"/>
  <c r="R411" i="5"/>
  <c r="M411" i="5"/>
  <c r="H411" i="5"/>
  <c r="AB410" i="5"/>
  <c r="W410" i="5"/>
  <c r="R410" i="5"/>
  <c r="M410" i="5"/>
  <c r="H410" i="5"/>
  <c r="AB409" i="5"/>
  <c r="W409" i="5"/>
  <c r="R409" i="5"/>
  <c r="M409" i="5"/>
  <c r="H409" i="5"/>
  <c r="AE408" i="5"/>
  <c r="AE417" i="5" s="1"/>
  <c r="AD408" i="5"/>
  <c r="AC408" i="5"/>
  <c r="AC417" i="5" s="1"/>
  <c r="AA408" i="5"/>
  <c r="Z408" i="5"/>
  <c r="Y408" i="5"/>
  <c r="Y417" i="5" s="1"/>
  <c r="X408" i="5"/>
  <c r="V408" i="5"/>
  <c r="R408" i="5"/>
  <c r="Q408" i="5"/>
  <c r="Q417" i="5" s="1"/>
  <c r="P408" i="5"/>
  <c r="O408" i="5"/>
  <c r="N408" i="5"/>
  <c r="N417" i="5" s="1"/>
  <c r="L408" i="5"/>
  <c r="L417" i="5" s="1"/>
  <c r="K408" i="5"/>
  <c r="J408" i="5"/>
  <c r="J417" i="5" s="1"/>
  <c r="I408" i="5"/>
  <c r="G408" i="5"/>
  <c r="F408" i="5"/>
  <c r="F417" i="5" s="1"/>
  <c r="E408" i="5"/>
  <c r="E417" i="5" s="1"/>
  <c r="D408" i="5"/>
  <c r="AB406" i="5"/>
  <c r="W406" i="5"/>
  <c r="R406" i="5"/>
  <c r="M406" i="5"/>
  <c r="H406" i="5"/>
  <c r="AB405" i="5"/>
  <c r="W405" i="5"/>
  <c r="R405" i="5"/>
  <c r="M405" i="5"/>
  <c r="H405" i="5"/>
  <c r="AB404" i="5"/>
  <c r="W404" i="5"/>
  <c r="R404" i="5"/>
  <c r="M404" i="5"/>
  <c r="H404" i="5"/>
  <c r="AB403" i="5"/>
  <c r="W403" i="5"/>
  <c r="R403" i="5"/>
  <c r="M403" i="5"/>
  <c r="H403" i="5"/>
  <c r="AB402" i="5"/>
  <c r="W402" i="5"/>
  <c r="R402" i="5"/>
  <c r="M402" i="5"/>
  <c r="H402" i="5"/>
  <c r="AB401" i="5"/>
  <c r="W401" i="5"/>
  <c r="R401" i="5"/>
  <c r="M401" i="5"/>
  <c r="H401" i="5"/>
  <c r="AB400" i="5"/>
  <c r="W400" i="5"/>
  <c r="R400" i="5"/>
  <c r="M400" i="5"/>
  <c r="H400" i="5"/>
  <c r="AB399" i="5"/>
  <c r="W399" i="5"/>
  <c r="R399" i="5"/>
  <c r="M399" i="5"/>
  <c r="M397" i="5" s="1"/>
  <c r="H399" i="5"/>
  <c r="AB398" i="5"/>
  <c r="W398" i="5"/>
  <c r="R398" i="5"/>
  <c r="M398" i="5"/>
  <c r="H398" i="5"/>
  <c r="AE397" i="5"/>
  <c r="AD397" i="5"/>
  <c r="AD433" i="5" s="1"/>
  <c r="AD431" i="5" s="1"/>
  <c r="AC397" i="5"/>
  <c r="AA397" i="5"/>
  <c r="AA433" i="5" s="1"/>
  <c r="AA431" i="5" s="1"/>
  <c r="Z397" i="5"/>
  <c r="Z433" i="5" s="1"/>
  <c r="Z431" i="5" s="1"/>
  <c r="Y397" i="5"/>
  <c r="X397" i="5"/>
  <c r="X433" i="5" s="1"/>
  <c r="X431" i="5" s="1"/>
  <c r="V397" i="5"/>
  <c r="V433" i="5" s="1"/>
  <c r="V431" i="5" s="1"/>
  <c r="Q397" i="5"/>
  <c r="P397" i="5"/>
  <c r="P433" i="5" s="1"/>
  <c r="O397" i="5"/>
  <c r="O433" i="5" s="1"/>
  <c r="O431" i="5" s="1"/>
  <c r="N397" i="5"/>
  <c r="L397" i="5"/>
  <c r="K397" i="5"/>
  <c r="K433" i="5" s="1"/>
  <c r="K431" i="5" s="1"/>
  <c r="J397" i="5"/>
  <c r="I397" i="5"/>
  <c r="G397" i="5"/>
  <c r="F397" i="5"/>
  <c r="E397" i="5"/>
  <c r="E433" i="5" s="1"/>
  <c r="E431" i="5" s="1"/>
  <c r="D397" i="5"/>
  <c r="D433" i="5" s="1"/>
  <c r="D431" i="5" s="1"/>
  <c r="AE395" i="5"/>
  <c r="AD395" i="5"/>
  <c r="X395" i="5"/>
  <c r="S395" i="5"/>
  <c r="O395" i="5"/>
  <c r="N395" i="5"/>
  <c r="G395" i="5"/>
  <c r="F395" i="5"/>
  <c r="AB393" i="5"/>
  <c r="W393" i="5"/>
  <c r="R393" i="5"/>
  <c r="M393" i="5"/>
  <c r="H393" i="5"/>
  <c r="AB392" i="5"/>
  <c r="W392" i="5"/>
  <c r="R392" i="5"/>
  <c r="M392" i="5"/>
  <c r="H392" i="5"/>
  <c r="AB391" i="5"/>
  <c r="W391" i="5"/>
  <c r="R391" i="5"/>
  <c r="M391" i="5"/>
  <c r="H391" i="5"/>
  <c r="AB390" i="5"/>
  <c r="W390" i="5"/>
  <c r="R390" i="5"/>
  <c r="M390" i="5"/>
  <c r="H390" i="5"/>
  <c r="AB389" i="5"/>
  <c r="W389" i="5"/>
  <c r="R389" i="5"/>
  <c r="M389" i="5"/>
  <c r="H389" i="5"/>
  <c r="AB388" i="5"/>
  <c r="W388" i="5"/>
  <c r="R388" i="5"/>
  <c r="M388" i="5"/>
  <c r="H388" i="5"/>
  <c r="AB387" i="5"/>
  <c r="W387" i="5"/>
  <c r="R387" i="5"/>
  <c r="M387" i="5"/>
  <c r="H387" i="5"/>
  <c r="AB386" i="5"/>
  <c r="W386" i="5"/>
  <c r="R386" i="5"/>
  <c r="M386" i="5"/>
  <c r="H386" i="5"/>
  <c r="AB385" i="5"/>
  <c r="W385" i="5"/>
  <c r="R385" i="5"/>
  <c r="M385" i="5"/>
  <c r="H385" i="5"/>
  <c r="AB384" i="5"/>
  <c r="W384" i="5"/>
  <c r="R384" i="5"/>
  <c r="M384" i="5"/>
  <c r="H384" i="5"/>
  <c r="AB383" i="5"/>
  <c r="W383" i="5"/>
  <c r="W382" i="5" s="1"/>
  <c r="R383" i="5"/>
  <c r="R382" i="5" s="1"/>
  <c r="M383" i="5"/>
  <c r="H383" i="5"/>
  <c r="AE382" i="5"/>
  <c r="AD382" i="5"/>
  <c r="AC382" i="5"/>
  <c r="AA382" i="5"/>
  <c r="AA395" i="5" s="1"/>
  <c r="Z382" i="5"/>
  <c r="Y382" i="5"/>
  <c r="Y395" i="5" s="1"/>
  <c r="X382" i="5"/>
  <c r="V382" i="5"/>
  <c r="U382" i="5"/>
  <c r="T382" i="5"/>
  <c r="S382" i="5"/>
  <c r="Q382" i="5"/>
  <c r="P382" i="5"/>
  <c r="O382" i="5"/>
  <c r="N382" i="5"/>
  <c r="L382" i="5"/>
  <c r="K382" i="5"/>
  <c r="K395" i="5" s="1"/>
  <c r="J382" i="5"/>
  <c r="J395" i="5" s="1"/>
  <c r="I382" i="5"/>
  <c r="G382" i="5"/>
  <c r="F382" i="5"/>
  <c r="E382" i="5"/>
  <c r="D382" i="5"/>
  <c r="AB380" i="5"/>
  <c r="W380" i="5"/>
  <c r="R380" i="5"/>
  <c r="M380" i="5"/>
  <c r="H380" i="5"/>
  <c r="AB379" i="5"/>
  <c r="W379" i="5"/>
  <c r="R379" i="5"/>
  <c r="M379" i="5"/>
  <c r="H379" i="5"/>
  <c r="AB378" i="5"/>
  <c r="W378" i="5"/>
  <c r="R378" i="5"/>
  <c r="M378" i="5"/>
  <c r="AB377" i="5"/>
  <c r="W377" i="5"/>
  <c r="R377" i="5"/>
  <c r="M377" i="5"/>
  <c r="M372" i="5" s="1"/>
  <c r="H377" i="5"/>
  <c r="AB376" i="5"/>
  <c r="W376" i="5"/>
  <c r="R376" i="5"/>
  <c r="M376" i="5"/>
  <c r="H376" i="5"/>
  <c r="AB375" i="5"/>
  <c r="W375" i="5"/>
  <c r="R375" i="5"/>
  <c r="M375" i="5"/>
  <c r="H375" i="5"/>
  <c r="AB374" i="5"/>
  <c r="W374" i="5"/>
  <c r="R374" i="5"/>
  <c r="M374" i="5"/>
  <c r="H374" i="5"/>
  <c r="AB373" i="5"/>
  <c r="W373" i="5"/>
  <c r="R373" i="5"/>
  <c r="M373" i="5"/>
  <c r="H373" i="5"/>
  <c r="AE372" i="5"/>
  <c r="AD372" i="5"/>
  <c r="AC372" i="5"/>
  <c r="AC395" i="5" s="1"/>
  <c r="AB372" i="5"/>
  <c r="AA372" i="5"/>
  <c r="Z372" i="5"/>
  <c r="Y372" i="5"/>
  <c r="X372" i="5"/>
  <c r="V372" i="5"/>
  <c r="V395" i="5" s="1"/>
  <c r="U372" i="5"/>
  <c r="U395" i="5" s="1"/>
  <c r="T372" i="5"/>
  <c r="T395" i="5" s="1"/>
  <c r="S372" i="5"/>
  <c r="Q372" i="5"/>
  <c r="Q395" i="5" s="1"/>
  <c r="P372" i="5"/>
  <c r="P395" i="5" s="1"/>
  <c r="O372" i="5"/>
  <c r="N372" i="5"/>
  <c r="L372" i="5"/>
  <c r="L395" i="5" s="1"/>
  <c r="K372" i="5"/>
  <c r="J372" i="5"/>
  <c r="I372" i="5"/>
  <c r="H372" i="5"/>
  <c r="G372" i="5"/>
  <c r="E372" i="5"/>
  <c r="E395" i="5" s="1"/>
  <c r="D372" i="5"/>
  <c r="D395" i="5" s="1"/>
  <c r="D366" i="5"/>
  <c r="AE364" i="5"/>
  <c r="AD364" i="5"/>
  <c r="Z364" i="5"/>
  <c r="X364" i="5"/>
  <c r="W364" i="5"/>
  <c r="V364" i="5"/>
  <c r="U364" i="5"/>
  <c r="T364" i="5"/>
  <c r="S364" i="5"/>
  <c r="R364" i="5"/>
  <c r="Q364" i="5"/>
  <c r="P364" i="5"/>
  <c r="O364" i="5"/>
  <c r="N364" i="5"/>
  <c r="M364" i="5"/>
  <c r="L364" i="5"/>
  <c r="K364" i="5"/>
  <c r="J364" i="5"/>
  <c r="I364" i="5"/>
  <c r="H364" i="5"/>
  <c r="G364" i="5"/>
  <c r="F364" i="5"/>
  <c r="E364" i="5"/>
  <c r="D364" i="5"/>
  <c r="AE359" i="5"/>
  <c r="AD359" i="5"/>
  <c r="AC359" i="5"/>
  <c r="AA359" i="5"/>
  <c r="Z359" i="5"/>
  <c r="Y359" i="5"/>
  <c r="X359" i="5"/>
  <c r="AB359" i="5" s="1"/>
  <c r="D359" i="5"/>
  <c r="AE357" i="5"/>
  <c r="AD357" i="5"/>
  <c r="AC357" i="5"/>
  <c r="AC364" i="5" s="1"/>
  <c r="AA357" i="5"/>
  <c r="AA364" i="5" s="1"/>
  <c r="Z357" i="5"/>
  <c r="Y357" i="5"/>
  <c r="R355" i="5"/>
  <c r="R439" i="5" s="1"/>
  <c r="AE354" i="5"/>
  <c r="AD354" i="5"/>
  <c r="AC354" i="5"/>
  <c r="AA354" i="5"/>
  <c r="Z354" i="5"/>
  <c r="AE351" i="5"/>
  <c r="AB351" i="5"/>
  <c r="AA351" i="5"/>
  <c r="W351" i="5"/>
  <c r="T351" i="5"/>
  <c r="L351" i="5"/>
  <c r="K351" i="5"/>
  <c r="I351" i="5"/>
  <c r="AE350" i="5"/>
  <c r="AD350" i="5"/>
  <c r="AC350" i="5"/>
  <c r="AD351" i="5" s="1"/>
  <c r="AB350" i="5"/>
  <c r="AC351" i="5" s="1"/>
  <c r="AA350" i="5"/>
  <c r="Z350" i="5"/>
  <c r="Y350" i="5"/>
  <c r="Z351" i="5" s="1"/>
  <c r="X350" i="5"/>
  <c r="Y351" i="5" s="1"/>
  <c r="W350" i="5"/>
  <c r="X351" i="5" s="1"/>
  <c r="V350" i="5"/>
  <c r="U350" i="5"/>
  <c r="V351" i="5" s="1"/>
  <c r="T350" i="5"/>
  <c r="U351" i="5" s="1"/>
  <c r="S350" i="5"/>
  <c r="S351" i="5" s="1"/>
  <c r="Q350" i="5"/>
  <c r="Q351" i="5" s="1"/>
  <c r="P350" i="5"/>
  <c r="P351" i="5" s="1"/>
  <c r="O350" i="5"/>
  <c r="O351" i="5" s="1"/>
  <c r="N350" i="5"/>
  <c r="N351" i="5" s="1"/>
  <c r="M350" i="5"/>
  <c r="M351" i="5" s="1"/>
  <c r="L350" i="5"/>
  <c r="K350" i="5"/>
  <c r="J350" i="5"/>
  <c r="J351" i="5" s="1"/>
  <c r="I350" i="5"/>
  <c r="H350" i="5"/>
  <c r="H351" i="5" s="1"/>
  <c r="G350" i="5"/>
  <c r="G351" i="5" s="1"/>
  <c r="F350" i="5"/>
  <c r="F351" i="5" s="1"/>
  <c r="E350" i="5"/>
  <c r="E351" i="5" s="1"/>
  <c r="D350" i="5"/>
  <c r="D351" i="5" s="1"/>
  <c r="AE348" i="5"/>
  <c r="AB348" i="5"/>
  <c r="AA348" i="5"/>
  <c r="W348" i="5"/>
  <c r="T348" i="5"/>
  <c r="K348" i="5"/>
  <c r="I348" i="5"/>
  <c r="AE347" i="5"/>
  <c r="AD347" i="5"/>
  <c r="AC347" i="5"/>
  <c r="AD348" i="5" s="1"/>
  <c r="AB347" i="5"/>
  <c r="AC348" i="5" s="1"/>
  <c r="AA347" i="5"/>
  <c r="Z347" i="5"/>
  <c r="Y347" i="5"/>
  <c r="Z348" i="5" s="1"/>
  <c r="X347" i="5"/>
  <c r="Y348" i="5" s="1"/>
  <c r="W347" i="5"/>
  <c r="X348" i="5" s="1"/>
  <c r="V347" i="5"/>
  <c r="U347" i="5"/>
  <c r="V348" i="5" s="1"/>
  <c r="T347" i="5"/>
  <c r="U348" i="5" s="1"/>
  <c r="S347" i="5"/>
  <c r="S348" i="5" s="1"/>
  <c r="R347" i="5"/>
  <c r="R348" i="5" s="1"/>
  <c r="Q347" i="5"/>
  <c r="Q348" i="5" s="1"/>
  <c r="P347" i="5"/>
  <c r="P348" i="5" s="1"/>
  <c r="O347" i="5"/>
  <c r="O348" i="5" s="1"/>
  <c r="N347" i="5"/>
  <c r="N348" i="5" s="1"/>
  <c r="M347" i="5"/>
  <c r="L347" i="5"/>
  <c r="L348" i="5" s="1"/>
  <c r="K347" i="5"/>
  <c r="J347" i="5"/>
  <c r="J348" i="5" s="1"/>
  <c r="I347" i="5"/>
  <c r="H347" i="5"/>
  <c r="H348" i="5" s="1"/>
  <c r="G347" i="5"/>
  <c r="G348" i="5" s="1"/>
  <c r="F347" i="5"/>
  <c r="F348" i="5" s="1"/>
  <c r="E347" i="5"/>
  <c r="E348" i="5" s="1"/>
  <c r="D347" i="5"/>
  <c r="D348" i="5" s="1"/>
  <c r="AA345" i="5"/>
  <c r="Y345" i="5"/>
  <c r="X345" i="5"/>
  <c r="U345" i="5"/>
  <c r="M345" i="5"/>
  <c r="L345" i="5"/>
  <c r="K345" i="5"/>
  <c r="AE344" i="5"/>
  <c r="AD344" i="5"/>
  <c r="AD345" i="5" s="1"/>
  <c r="AC344" i="5"/>
  <c r="AB344" i="5"/>
  <c r="AA344" i="5"/>
  <c r="Z344" i="5"/>
  <c r="Z345" i="5" s="1"/>
  <c r="Y344" i="5"/>
  <c r="X344" i="5"/>
  <c r="X340" i="5" s="1"/>
  <c r="W344" i="5"/>
  <c r="V344" i="5"/>
  <c r="V345" i="5" s="1"/>
  <c r="U344" i="5"/>
  <c r="T344" i="5"/>
  <c r="S344" i="5"/>
  <c r="S345" i="5" s="1"/>
  <c r="Q344" i="5"/>
  <c r="Q345" i="5" s="1"/>
  <c r="P344" i="5"/>
  <c r="P340" i="5" s="1"/>
  <c r="O344" i="5"/>
  <c r="O345" i="5" s="1"/>
  <c r="N344" i="5"/>
  <c r="N345" i="5" s="1"/>
  <c r="M344" i="5"/>
  <c r="L344" i="5"/>
  <c r="L340" i="5" s="1"/>
  <c r="K344" i="5"/>
  <c r="J344" i="5"/>
  <c r="J345" i="5" s="1"/>
  <c r="I344" i="5"/>
  <c r="I345" i="5" s="1"/>
  <c r="H344" i="5"/>
  <c r="H340" i="5" s="1"/>
  <c r="H342" i="5" s="1"/>
  <c r="G344" i="5"/>
  <c r="G345" i="5" s="1"/>
  <c r="F344" i="5"/>
  <c r="F345" i="5" s="1"/>
  <c r="E344" i="5"/>
  <c r="D344" i="5"/>
  <c r="X342" i="5"/>
  <c r="P342" i="5"/>
  <c r="AA341" i="5"/>
  <c r="AA366" i="5" s="1"/>
  <c r="P341" i="5"/>
  <c r="P366" i="5" s="1"/>
  <c r="AD340" i="5"/>
  <c r="AD342" i="5" s="1"/>
  <c r="AA340" i="5"/>
  <c r="AA342" i="5" s="1"/>
  <c r="Z340" i="5"/>
  <c r="Z342" i="5" s="1"/>
  <c r="Y340" i="5"/>
  <c r="W340" i="5"/>
  <c r="V340" i="5"/>
  <c r="S340" i="5"/>
  <c r="S342" i="5" s="1"/>
  <c r="Q340" i="5"/>
  <c r="Q341" i="5" s="1"/>
  <c r="Q366" i="5" s="1"/>
  <c r="O340" i="5"/>
  <c r="N340" i="5"/>
  <c r="K340" i="5"/>
  <c r="J340" i="5"/>
  <c r="J342" i="5" s="1"/>
  <c r="F340" i="5"/>
  <c r="F342" i="5" s="1"/>
  <c r="AE339" i="5"/>
  <c r="AD339" i="5"/>
  <c r="AC339" i="5"/>
  <c r="AA339" i="5"/>
  <c r="Z339" i="5"/>
  <c r="F337" i="5"/>
  <c r="G335" i="5"/>
  <c r="N334" i="5"/>
  <c r="H333" i="5"/>
  <c r="AE330" i="5"/>
  <c r="AD330" i="5"/>
  <c r="AC330" i="5"/>
  <c r="AA330" i="5"/>
  <c r="Z330" i="5"/>
  <c r="AE328" i="5"/>
  <c r="AD328" i="5"/>
  <c r="AC328" i="5"/>
  <c r="AA328" i="5"/>
  <c r="Z328" i="5"/>
  <c r="Y328" i="5"/>
  <c r="X328" i="5"/>
  <c r="W328" i="5"/>
  <c r="V328" i="5"/>
  <c r="U328" i="5"/>
  <c r="T328" i="5"/>
  <c r="S328" i="5"/>
  <c r="R328" i="5"/>
  <c r="Q328" i="5"/>
  <c r="P328" i="5"/>
  <c r="O328" i="5"/>
  <c r="N328" i="5"/>
  <c r="M328" i="5"/>
  <c r="L328" i="5"/>
  <c r="K328" i="5"/>
  <c r="J328" i="5"/>
  <c r="I328" i="5"/>
  <c r="H328" i="5"/>
  <c r="G328" i="5"/>
  <c r="F328" i="5"/>
  <c r="E328" i="5"/>
  <c r="D328" i="5"/>
  <c r="AE327" i="5"/>
  <c r="AE337" i="5" s="1"/>
  <c r="H327" i="5"/>
  <c r="H337" i="5" s="1"/>
  <c r="X325" i="5"/>
  <c r="X335" i="5" s="1"/>
  <c r="AE320" i="5"/>
  <c r="AD320" i="5"/>
  <c r="AC320" i="5"/>
  <c r="AA320" i="5"/>
  <c r="Z320" i="5"/>
  <c r="AD317" i="5"/>
  <c r="T317" i="5"/>
  <c r="S317" i="5"/>
  <c r="N317" i="5"/>
  <c r="L317" i="5"/>
  <c r="U316" i="5"/>
  <c r="S316" i="5"/>
  <c r="Z315" i="5"/>
  <c r="Y315" i="5"/>
  <c r="Q315" i="5"/>
  <c r="L315" i="5"/>
  <c r="K315" i="5"/>
  <c r="J315" i="5"/>
  <c r="Y314" i="5"/>
  <c r="S314" i="5"/>
  <c r="Q314" i="5"/>
  <c r="I314" i="5"/>
  <c r="Z313" i="5"/>
  <c r="X313" i="5"/>
  <c r="P313" i="5"/>
  <c r="AE312" i="5"/>
  <c r="Q312" i="5"/>
  <c r="O312" i="5"/>
  <c r="X311" i="5"/>
  <c r="V311" i="5"/>
  <c r="AE310" i="5"/>
  <c r="AD310" i="5"/>
  <c r="AC310" i="5"/>
  <c r="AA310" i="5"/>
  <c r="Z310" i="5"/>
  <c r="U307" i="5"/>
  <c r="E307" i="5"/>
  <c r="E303" i="5"/>
  <c r="AE301" i="5"/>
  <c r="AD301" i="5"/>
  <c r="AC301" i="5"/>
  <c r="AA301" i="5"/>
  <c r="Z301" i="5"/>
  <c r="U299" i="5"/>
  <c r="E299" i="5"/>
  <c r="AE298" i="5"/>
  <c r="AD298" i="5"/>
  <c r="AC298" i="5"/>
  <c r="AA298" i="5"/>
  <c r="Z298" i="5"/>
  <c r="Y298" i="5"/>
  <c r="Y317" i="5" s="1"/>
  <c r="X298" i="5"/>
  <c r="W298" i="5"/>
  <c r="V298" i="5"/>
  <c r="U298" i="5"/>
  <c r="T298" i="5"/>
  <c r="S298" i="5"/>
  <c r="R298" i="5"/>
  <c r="Q298" i="5"/>
  <c r="Q317" i="5" s="1"/>
  <c r="P298" i="5"/>
  <c r="O298" i="5"/>
  <c r="N298" i="5"/>
  <c r="L298" i="5"/>
  <c r="K298" i="5"/>
  <c r="J298" i="5"/>
  <c r="J317" i="5" s="1"/>
  <c r="I298" i="5"/>
  <c r="I317" i="5" s="1"/>
  <c r="H298" i="5"/>
  <c r="G298" i="5"/>
  <c r="F298" i="5"/>
  <c r="E298" i="5"/>
  <c r="D298" i="5"/>
  <c r="AE297" i="5"/>
  <c r="AE316" i="5" s="1"/>
  <c r="AD297" i="5"/>
  <c r="AD316" i="5" s="1"/>
  <c r="AC297" i="5"/>
  <c r="AB297" i="5"/>
  <c r="AA297" i="5"/>
  <c r="Z297" i="5"/>
  <c r="Y297" i="5"/>
  <c r="X297" i="5"/>
  <c r="V297" i="5"/>
  <c r="V316" i="5" s="1"/>
  <c r="U297" i="5"/>
  <c r="Z316" i="5" s="1"/>
  <c r="T297" i="5"/>
  <c r="S297" i="5"/>
  <c r="R297" i="5"/>
  <c r="Q297" i="5"/>
  <c r="P297" i="5"/>
  <c r="O297" i="5"/>
  <c r="N297" i="5"/>
  <c r="N316" i="5" s="1"/>
  <c r="M297" i="5"/>
  <c r="M316" i="5" s="1"/>
  <c r="L297" i="5"/>
  <c r="K297" i="5"/>
  <c r="J297" i="5"/>
  <c r="I297" i="5"/>
  <c r="G297" i="5"/>
  <c r="F297" i="5"/>
  <c r="E297" i="5"/>
  <c r="D297" i="5"/>
  <c r="AE296" i="5"/>
  <c r="AD296" i="5"/>
  <c r="AC296" i="5"/>
  <c r="AA296" i="5"/>
  <c r="Z296" i="5"/>
  <c r="Y296" i="5"/>
  <c r="X296" i="5"/>
  <c r="V296" i="5"/>
  <c r="U296" i="5"/>
  <c r="T296" i="5"/>
  <c r="S296" i="5"/>
  <c r="R296" i="5"/>
  <c r="Q296" i="5"/>
  <c r="P296" i="5"/>
  <c r="O296" i="5"/>
  <c r="N296" i="5"/>
  <c r="L296" i="5"/>
  <c r="K296" i="5"/>
  <c r="J296" i="5"/>
  <c r="I296" i="5"/>
  <c r="I315" i="5" s="1"/>
  <c r="H296" i="5"/>
  <c r="G296" i="5"/>
  <c r="F296" i="5"/>
  <c r="E296" i="5"/>
  <c r="D296" i="5"/>
  <c r="AE295" i="5"/>
  <c r="AE314" i="5" s="1"/>
  <c r="AD295" i="5"/>
  <c r="AD314" i="5" s="1"/>
  <c r="AC295" i="5"/>
  <c r="AC314" i="5" s="1"/>
  <c r="AA295" i="5"/>
  <c r="Z295" i="5"/>
  <c r="Y295" i="5"/>
  <c r="X295" i="5"/>
  <c r="W295" i="5"/>
  <c r="W314" i="5" s="1"/>
  <c r="V295" i="5"/>
  <c r="V314" i="5" s="1"/>
  <c r="U295" i="5"/>
  <c r="U314" i="5" s="1"/>
  <c r="T295" i="5"/>
  <c r="S295" i="5"/>
  <c r="X314" i="5" s="1"/>
  <c r="R295" i="5"/>
  <c r="Q295" i="5"/>
  <c r="P295" i="5"/>
  <c r="O295" i="5"/>
  <c r="O314" i="5" s="1"/>
  <c r="N295" i="5"/>
  <c r="N314" i="5" s="1"/>
  <c r="L295" i="5"/>
  <c r="K295" i="5"/>
  <c r="J295" i="5"/>
  <c r="I295" i="5"/>
  <c r="G295" i="5"/>
  <c r="F295" i="5"/>
  <c r="E295" i="5"/>
  <c r="E305" i="5" s="1"/>
  <c r="D295" i="5"/>
  <c r="AE294" i="5"/>
  <c r="AD294" i="5"/>
  <c r="AC294" i="5"/>
  <c r="AA294" i="5"/>
  <c r="Z294" i="5"/>
  <c r="Z299" i="5" s="1"/>
  <c r="Y294" i="5"/>
  <c r="X294" i="5"/>
  <c r="V294" i="5"/>
  <c r="U294" i="5"/>
  <c r="T294" i="5"/>
  <c r="S294" i="5"/>
  <c r="R294" i="5"/>
  <c r="Q294" i="5"/>
  <c r="P294" i="5"/>
  <c r="O294" i="5"/>
  <c r="N294" i="5"/>
  <c r="L294" i="5"/>
  <c r="K294" i="5"/>
  <c r="J294" i="5"/>
  <c r="J313" i="5" s="1"/>
  <c r="I294" i="5"/>
  <c r="I313" i="5" s="1"/>
  <c r="H294" i="5"/>
  <c r="G294" i="5"/>
  <c r="F294" i="5"/>
  <c r="E294" i="5"/>
  <c r="D294" i="5"/>
  <c r="AE293" i="5"/>
  <c r="AD293" i="5"/>
  <c r="AC293" i="5"/>
  <c r="AC312" i="5" s="1"/>
  <c r="AB293" i="5"/>
  <c r="AA293" i="5"/>
  <c r="AA299" i="5" s="1"/>
  <c r="Z293" i="5"/>
  <c r="Y293" i="5"/>
  <c r="X293" i="5"/>
  <c r="V293" i="5"/>
  <c r="V312" i="5" s="1"/>
  <c r="U293" i="5"/>
  <c r="U312" i="5" s="1"/>
  <c r="T293" i="5"/>
  <c r="S293" i="5"/>
  <c r="S299" i="5" s="1"/>
  <c r="R293" i="5"/>
  <c r="Q293" i="5"/>
  <c r="P293" i="5"/>
  <c r="O293" i="5"/>
  <c r="N293" i="5"/>
  <c r="N312" i="5" s="1"/>
  <c r="L293" i="5"/>
  <c r="K293" i="5"/>
  <c r="J293" i="5"/>
  <c r="I293" i="5"/>
  <c r="G293" i="5"/>
  <c r="F293" i="5"/>
  <c r="E293" i="5"/>
  <c r="D293" i="5"/>
  <c r="AE292" i="5"/>
  <c r="AD292" i="5"/>
  <c r="AC292" i="5"/>
  <c r="AA292" i="5"/>
  <c r="Z292" i="5"/>
  <c r="Z311" i="5" s="1"/>
  <c r="Y292" i="5"/>
  <c r="X292" i="5"/>
  <c r="W292" i="5"/>
  <c r="V292" i="5"/>
  <c r="U292" i="5"/>
  <c r="T292" i="5"/>
  <c r="S292" i="5"/>
  <c r="Q292" i="5"/>
  <c r="P292" i="5"/>
  <c r="O292" i="5"/>
  <c r="N292" i="5"/>
  <c r="L292" i="5"/>
  <c r="L311" i="5" s="1"/>
  <c r="K292" i="5"/>
  <c r="J292" i="5"/>
  <c r="J311" i="5" s="1"/>
  <c r="I292" i="5"/>
  <c r="G292" i="5"/>
  <c r="F292" i="5"/>
  <c r="E292" i="5"/>
  <c r="D292" i="5"/>
  <c r="AE291" i="5"/>
  <c r="AD291" i="5"/>
  <c r="AC291" i="5"/>
  <c r="AA291" i="5"/>
  <c r="Z291" i="5"/>
  <c r="AB288" i="5"/>
  <c r="AB298" i="5" s="1"/>
  <c r="AB317" i="5" s="1"/>
  <c r="W288" i="5"/>
  <c r="R288" i="5"/>
  <c r="M288" i="5"/>
  <c r="M298" i="5" s="1"/>
  <c r="H288" i="5"/>
  <c r="AB286" i="5"/>
  <c r="W286" i="5"/>
  <c r="W453" i="5" s="1"/>
  <c r="AE284" i="5"/>
  <c r="O284" i="5"/>
  <c r="AE283" i="5"/>
  <c r="AD283" i="5"/>
  <c r="AD327" i="5" s="1"/>
  <c r="AD337" i="5" s="1"/>
  <c r="Y283" i="5"/>
  <c r="Y327" i="5" s="1"/>
  <c r="Y337" i="5" s="1"/>
  <c r="X283" i="5"/>
  <c r="X327" i="5" s="1"/>
  <c r="X337" i="5" s="1"/>
  <c r="V283" i="5"/>
  <c r="V327" i="5" s="1"/>
  <c r="V337" i="5" s="1"/>
  <c r="P283" i="5"/>
  <c r="P327" i="5" s="1"/>
  <c r="P337" i="5" s="1"/>
  <c r="O283" i="5"/>
  <c r="O327" i="5" s="1"/>
  <c r="O337" i="5" s="1"/>
  <c r="N283" i="5"/>
  <c r="I283" i="5"/>
  <c r="H283" i="5"/>
  <c r="G283" i="5"/>
  <c r="G327" i="5" s="1"/>
  <c r="G337" i="5" s="1"/>
  <c r="F283" i="5"/>
  <c r="F327" i="5" s="1"/>
  <c r="AE280" i="5"/>
  <c r="AD280" i="5"/>
  <c r="AC280" i="5"/>
  <c r="AC283" i="5" s="1"/>
  <c r="AC284" i="5" s="1"/>
  <c r="AB280" i="5"/>
  <c r="AA280" i="5"/>
  <c r="AA283" i="5" s="1"/>
  <c r="Z280" i="5"/>
  <c r="Z283" i="5" s="1"/>
  <c r="Z327" i="5" s="1"/>
  <c r="Z337" i="5" s="1"/>
  <c r="Y280" i="5"/>
  <c r="X280" i="5"/>
  <c r="V280" i="5"/>
  <c r="U280" i="5"/>
  <c r="U283" i="5" s="1"/>
  <c r="T280" i="5"/>
  <c r="T283" i="5" s="1"/>
  <c r="T284" i="5" s="1"/>
  <c r="S280" i="5"/>
  <c r="S283" i="5" s="1"/>
  <c r="R280" i="5"/>
  <c r="R283" i="5" s="1"/>
  <c r="R327" i="5" s="1"/>
  <c r="R337" i="5" s="1"/>
  <c r="Q280" i="5"/>
  <c r="Q283" i="5" s="1"/>
  <c r="P280" i="5"/>
  <c r="O280" i="5"/>
  <c r="N280" i="5"/>
  <c r="M280" i="5"/>
  <c r="M283" i="5" s="1"/>
  <c r="L280" i="5"/>
  <c r="L283" i="5" s="1"/>
  <c r="K280" i="5"/>
  <c r="K283" i="5" s="1"/>
  <c r="J280" i="5"/>
  <c r="J283" i="5" s="1"/>
  <c r="J327" i="5" s="1"/>
  <c r="J337" i="5" s="1"/>
  <c r="I280" i="5"/>
  <c r="H280" i="5"/>
  <c r="G280" i="5"/>
  <c r="F280" i="5"/>
  <c r="E280" i="5"/>
  <c r="E283" i="5" s="1"/>
  <c r="E327" i="5" s="1"/>
  <c r="E337" i="5" s="1"/>
  <c r="D280" i="5"/>
  <c r="D283" i="5" s="1"/>
  <c r="D327" i="5" s="1"/>
  <c r="D337" i="5" s="1"/>
  <c r="AE278" i="5"/>
  <c r="AD278" i="5"/>
  <c r="AC278" i="5"/>
  <c r="AA278" i="5"/>
  <c r="Z278" i="5"/>
  <c r="Y278" i="5"/>
  <c r="X278" i="5"/>
  <c r="AB278" i="5" s="1"/>
  <c r="V278" i="5"/>
  <c r="U278" i="5"/>
  <c r="T278" i="5"/>
  <c r="S278" i="5"/>
  <c r="R278" i="5"/>
  <c r="Q278" i="5"/>
  <c r="P278" i="5"/>
  <c r="O278" i="5"/>
  <c r="N278" i="5"/>
  <c r="M278" i="5"/>
  <c r="L278" i="5"/>
  <c r="K278" i="5"/>
  <c r="J278" i="5"/>
  <c r="I278" i="5"/>
  <c r="H278" i="5"/>
  <c r="G278" i="5"/>
  <c r="F278" i="5"/>
  <c r="E278" i="5"/>
  <c r="D278" i="5"/>
  <c r="AA277" i="5"/>
  <c r="Z277" i="5"/>
  <c r="AE275" i="5"/>
  <c r="AD275" i="5"/>
  <c r="AC275" i="5"/>
  <c r="AA275" i="5"/>
  <c r="Z275" i="5"/>
  <c r="Y275" i="5"/>
  <c r="X275" i="5"/>
  <c r="V275" i="5"/>
  <c r="U275" i="5"/>
  <c r="T275" i="5"/>
  <c r="S275" i="5"/>
  <c r="Q275" i="5"/>
  <c r="P275" i="5"/>
  <c r="O275" i="5"/>
  <c r="N275" i="5"/>
  <c r="L275" i="5"/>
  <c r="K275" i="5"/>
  <c r="J275" i="5"/>
  <c r="I275" i="5"/>
  <c r="AB274" i="5"/>
  <c r="W274" i="5"/>
  <c r="W297" i="5" s="1"/>
  <c r="R274" i="5"/>
  <c r="R275" i="5" s="1"/>
  <c r="M274" i="5"/>
  <c r="M275" i="5" s="1"/>
  <c r="H274" i="5"/>
  <c r="H297" i="5" s="1"/>
  <c r="AD272" i="5"/>
  <c r="AC272" i="5"/>
  <c r="AA272" i="5"/>
  <c r="Z272" i="5"/>
  <c r="V272" i="5"/>
  <c r="U272" i="5"/>
  <c r="T272" i="5"/>
  <c r="S272" i="5"/>
  <c r="M272" i="5"/>
  <c r="L272" i="5"/>
  <c r="K272" i="5"/>
  <c r="J272" i="5"/>
  <c r="F272" i="5"/>
  <c r="E272" i="5"/>
  <c r="D272" i="5"/>
  <c r="AB271" i="5"/>
  <c r="W271" i="5"/>
  <c r="Z269" i="5"/>
  <c r="L269" i="5"/>
  <c r="J269" i="5"/>
  <c r="Z268" i="5"/>
  <c r="Z326" i="5" s="1"/>
  <c r="Z336" i="5" s="1"/>
  <c r="Y268" i="5"/>
  <c r="Y326" i="5" s="1"/>
  <c r="Y336" i="5" s="1"/>
  <c r="X268" i="5"/>
  <c r="X326" i="5" s="1"/>
  <c r="X336" i="5" s="1"/>
  <c r="J268" i="5"/>
  <c r="J326" i="5" s="1"/>
  <c r="J336" i="5" s="1"/>
  <c r="I268" i="5"/>
  <c r="I326" i="5" s="1"/>
  <c r="I336" i="5" s="1"/>
  <c r="H268" i="5"/>
  <c r="H326" i="5" s="1"/>
  <c r="H336" i="5" s="1"/>
  <c r="AC265" i="5"/>
  <c r="V265" i="5"/>
  <c r="U265" i="5"/>
  <c r="T265" i="5"/>
  <c r="N265" i="5"/>
  <c r="M265" i="5"/>
  <c r="L265" i="5"/>
  <c r="K265" i="5"/>
  <c r="E265" i="5"/>
  <c r="D265" i="5"/>
  <c r="AE264" i="5"/>
  <c r="AE268" i="5" s="1"/>
  <c r="AD264" i="5"/>
  <c r="AD268" i="5" s="1"/>
  <c r="AC264" i="5"/>
  <c r="AC268" i="5" s="1"/>
  <c r="AA264" i="5"/>
  <c r="AA265" i="5" s="1"/>
  <c r="Z264" i="5"/>
  <c r="Y264" i="5"/>
  <c r="X264" i="5"/>
  <c r="V264" i="5"/>
  <c r="V268" i="5" s="1"/>
  <c r="U264" i="5"/>
  <c r="U268" i="5" s="1"/>
  <c r="T264" i="5"/>
  <c r="T268" i="5" s="1"/>
  <c r="T326" i="5" s="1"/>
  <c r="T336" i="5" s="1"/>
  <c r="S264" i="5"/>
  <c r="R264" i="5"/>
  <c r="Q264" i="5"/>
  <c r="P264" i="5"/>
  <c r="O264" i="5"/>
  <c r="O268" i="5" s="1"/>
  <c r="N264" i="5"/>
  <c r="N268" i="5" s="1"/>
  <c r="M264" i="5"/>
  <c r="M268" i="5" s="1"/>
  <c r="L264" i="5"/>
  <c r="L268" i="5" s="1"/>
  <c r="L326" i="5" s="1"/>
  <c r="L336" i="5" s="1"/>
  <c r="K264" i="5"/>
  <c r="K268" i="5" s="1"/>
  <c r="J264" i="5"/>
  <c r="I264" i="5"/>
  <c r="H264" i="5"/>
  <c r="G264" i="5"/>
  <c r="G268" i="5" s="1"/>
  <c r="G326" i="5" s="1"/>
  <c r="G336" i="5" s="1"/>
  <c r="F264" i="5"/>
  <c r="F268" i="5" s="1"/>
  <c r="F326" i="5" s="1"/>
  <c r="F336" i="5" s="1"/>
  <c r="E264" i="5"/>
  <c r="E268" i="5" s="1"/>
  <c r="E326" i="5" s="1"/>
  <c r="E336" i="5" s="1"/>
  <c r="D264" i="5"/>
  <c r="D268" i="5" s="1"/>
  <c r="D326" i="5" s="1"/>
  <c r="D336" i="5" s="1"/>
  <c r="AE263" i="5"/>
  <c r="AC263" i="5"/>
  <c r="V263" i="5"/>
  <c r="U263" i="5"/>
  <c r="T263" i="5"/>
  <c r="M263" i="5"/>
  <c r="L263" i="5"/>
  <c r="F263" i="5"/>
  <c r="E263" i="5"/>
  <c r="D263" i="5"/>
  <c r="AA261" i="5"/>
  <c r="Y261" i="5"/>
  <c r="P261" i="5"/>
  <c r="K261" i="5"/>
  <c r="J261" i="5"/>
  <c r="I261" i="5"/>
  <c r="AE260" i="5"/>
  <c r="AE272" i="5" s="1"/>
  <c r="AD260" i="5"/>
  <c r="AD265" i="5" s="1"/>
  <c r="AC260" i="5"/>
  <c r="AA260" i="5"/>
  <c r="Z260" i="5"/>
  <c r="Z263" i="5" s="1"/>
  <c r="Y260" i="5"/>
  <c r="X260" i="5"/>
  <c r="V260" i="5"/>
  <c r="U260" i="5"/>
  <c r="T260" i="5"/>
  <c r="S260" i="5"/>
  <c r="R260" i="5"/>
  <c r="R263" i="5" s="1"/>
  <c r="Q260" i="5"/>
  <c r="P260" i="5"/>
  <c r="O260" i="5"/>
  <c r="N260" i="5"/>
  <c r="N272" i="5" s="1"/>
  <c r="M260" i="5"/>
  <c r="L260" i="5"/>
  <c r="K260" i="5"/>
  <c r="J260" i="5"/>
  <c r="J263" i="5" s="1"/>
  <c r="I260" i="5"/>
  <c r="H260" i="5"/>
  <c r="G260" i="5"/>
  <c r="F260" i="5"/>
  <c r="F265" i="5" s="1"/>
  <c r="E260" i="5"/>
  <c r="D260" i="5"/>
  <c r="AA259" i="5"/>
  <c r="Z259" i="5"/>
  <c r="AE257" i="5"/>
  <c r="AD257" i="5"/>
  <c r="AC257" i="5"/>
  <c r="AA257" i="5"/>
  <c r="Z257" i="5"/>
  <c r="Y257" i="5"/>
  <c r="X257" i="5"/>
  <c r="V257" i="5"/>
  <c r="U257" i="5"/>
  <c r="T257" i="5"/>
  <c r="S257" i="5"/>
  <c r="R257" i="5"/>
  <c r="Q257" i="5"/>
  <c r="P257" i="5"/>
  <c r="O257" i="5"/>
  <c r="N257" i="5"/>
  <c r="L257" i="5"/>
  <c r="K257" i="5"/>
  <c r="J257" i="5"/>
  <c r="I257" i="5"/>
  <c r="AB256" i="5"/>
  <c r="W256" i="5"/>
  <c r="R256" i="5"/>
  <c r="M256" i="5"/>
  <c r="M296" i="5" s="1"/>
  <c r="H256" i="5"/>
  <c r="AD254" i="5"/>
  <c r="AC254" i="5"/>
  <c r="V254" i="5"/>
  <c r="U254" i="5"/>
  <c r="N254" i="5"/>
  <c r="M254" i="5"/>
  <c r="F254" i="5"/>
  <c r="E254" i="5"/>
  <c r="AB253" i="5"/>
  <c r="AB451" i="5" s="1"/>
  <c r="W253" i="5"/>
  <c r="W451" i="5" s="1"/>
  <c r="S251" i="5"/>
  <c r="Z250" i="5"/>
  <c r="S250" i="5"/>
  <c r="S325" i="5" s="1"/>
  <c r="S335" i="5" s="1"/>
  <c r="Q250" i="5"/>
  <c r="Q325" i="5" s="1"/>
  <c r="Q335" i="5" s="1"/>
  <c r="L250" i="5"/>
  <c r="AE247" i="5"/>
  <c r="AD247" i="5"/>
  <c r="AC247" i="5"/>
  <c r="V247" i="5"/>
  <c r="U247" i="5"/>
  <c r="T247" i="5"/>
  <c r="O247" i="5"/>
  <c r="N247" i="5"/>
  <c r="M247" i="5"/>
  <c r="I247" i="5"/>
  <c r="G247" i="5"/>
  <c r="F247" i="5"/>
  <c r="E247" i="5"/>
  <c r="AE246" i="5"/>
  <c r="AE250" i="5" s="1"/>
  <c r="AD246" i="5"/>
  <c r="AD250" i="5" s="1"/>
  <c r="AC246" i="5"/>
  <c r="AC250" i="5" s="1"/>
  <c r="AC325" i="5" s="1"/>
  <c r="AC335" i="5" s="1"/>
  <c r="AA246" i="5"/>
  <c r="Z246" i="5"/>
  <c r="Z247" i="5" s="1"/>
  <c r="Y246" i="5"/>
  <c r="X246" i="5"/>
  <c r="X250" i="5" s="1"/>
  <c r="X251" i="5" s="1"/>
  <c r="V246" i="5"/>
  <c r="V250" i="5" s="1"/>
  <c r="U246" i="5"/>
  <c r="U250" i="5" s="1"/>
  <c r="U325" i="5" s="1"/>
  <c r="U335" i="5" s="1"/>
  <c r="T246" i="5"/>
  <c r="T250" i="5" s="1"/>
  <c r="S246" i="5"/>
  <c r="R246" i="5"/>
  <c r="Q246" i="5"/>
  <c r="Q247" i="5" s="1"/>
  <c r="P246" i="5"/>
  <c r="O246" i="5"/>
  <c r="O250" i="5" s="1"/>
  <c r="N246" i="5"/>
  <c r="N250" i="5" s="1"/>
  <c r="M246" i="5"/>
  <c r="M250" i="5" s="1"/>
  <c r="M325" i="5" s="1"/>
  <c r="M335" i="5" s="1"/>
  <c r="L246" i="5"/>
  <c r="L247" i="5" s="1"/>
  <c r="K246" i="5"/>
  <c r="J246" i="5"/>
  <c r="I246" i="5"/>
  <c r="I250" i="5" s="1"/>
  <c r="H246" i="5"/>
  <c r="G246" i="5"/>
  <c r="G250" i="5" s="1"/>
  <c r="G325" i="5" s="1"/>
  <c r="F246" i="5"/>
  <c r="F250" i="5" s="1"/>
  <c r="F325" i="5" s="1"/>
  <c r="F335" i="5" s="1"/>
  <c r="E246" i="5"/>
  <c r="E250" i="5" s="1"/>
  <c r="E325" i="5" s="1"/>
  <c r="E335" i="5" s="1"/>
  <c r="D246" i="5"/>
  <c r="D247" i="5" s="1"/>
  <c r="AD245" i="5"/>
  <c r="X245" i="5"/>
  <c r="V245" i="5"/>
  <c r="U245" i="5"/>
  <c r="T245" i="5"/>
  <c r="Q245" i="5"/>
  <c r="P245" i="5"/>
  <c r="N245" i="5"/>
  <c r="M245" i="5"/>
  <c r="L245" i="5"/>
  <c r="H245" i="5"/>
  <c r="F245" i="5"/>
  <c r="E245" i="5"/>
  <c r="Z243" i="5"/>
  <c r="U243" i="5"/>
  <c r="R243" i="5"/>
  <c r="M243" i="5"/>
  <c r="L243" i="5"/>
  <c r="AE242" i="5"/>
  <c r="AE243" i="5" s="1"/>
  <c r="AD242" i="5"/>
  <c r="AC242" i="5"/>
  <c r="AA242" i="5"/>
  <c r="Z242" i="5"/>
  <c r="Y242" i="5"/>
  <c r="X242" i="5"/>
  <c r="X254" i="5" s="1"/>
  <c r="V242" i="5"/>
  <c r="U242" i="5"/>
  <c r="T242" i="5"/>
  <c r="T254" i="5" s="1"/>
  <c r="S242" i="5"/>
  <c r="R242" i="5"/>
  <c r="Q242" i="5"/>
  <c r="P242" i="5"/>
  <c r="P254" i="5" s="1"/>
  <c r="O242" i="5"/>
  <c r="O243" i="5" s="1"/>
  <c r="N242" i="5"/>
  <c r="M242" i="5"/>
  <c r="L242" i="5"/>
  <c r="Q243" i="5" s="1"/>
  <c r="K242" i="5"/>
  <c r="P243" i="5" s="1"/>
  <c r="J242" i="5"/>
  <c r="J243" i="5" s="1"/>
  <c r="I242" i="5"/>
  <c r="I243" i="5" s="1"/>
  <c r="H242" i="5"/>
  <c r="H254" i="5" s="1"/>
  <c r="G242" i="5"/>
  <c r="G254" i="5" s="1"/>
  <c r="F242" i="5"/>
  <c r="E242" i="5"/>
  <c r="D242" i="5"/>
  <c r="D245" i="5" s="1"/>
  <c r="AA241" i="5"/>
  <c r="Z241" i="5"/>
  <c r="AE239" i="5"/>
  <c r="AD239" i="5"/>
  <c r="AC239" i="5"/>
  <c r="AB239" i="5"/>
  <c r="AA239" i="5"/>
  <c r="Z239" i="5"/>
  <c r="Y239" i="5"/>
  <c r="X239" i="5"/>
  <c r="V239" i="5"/>
  <c r="U239" i="5"/>
  <c r="T239" i="5"/>
  <c r="S239" i="5"/>
  <c r="Q239" i="5"/>
  <c r="P239" i="5"/>
  <c r="O239" i="5"/>
  <c r="N239" i="5"/>
  <c r="L239" i="5"/>
  <c r="K239" i="5"/>
  <c r="J239" i="5"/>
  <c r="I239" i="5"/>
  <c r="AB238" i="5"/>
  <c r="AB295" i="5" s="1"/>
  <c r="W238" i="5"/>
  <c r="W239" i="5" s="1"/>
  <c r="R238" i="5"/>
  <c r="M238" i="5"/>
  <c r="H238" i="5"/>
  <c r="H295" i="5" s="1"/>
  <c r="AE237" i="5"/>
  <c r="AD237" i="5"/>
  <c r="AC237" i="5"/>
  <c r="AA237" i="5"/>
  <c r="Z237" i="5"/>
  <c r="Y237" i="5"/>
  <c r="X237" i="5"/>
  <c r="W237" i="5"/>
  <c r="V237" i="5"/>
  <c r="U237" i="5"/>
  <c r="T237" i="5"/>
  <c r="S237" i="5"/>
  <c r="R237" i="5"/>
  <c r="Q237" i="5"/>
  <c r="P237" i="5"/>
  <c r="O237" i="5"/>
  <c r="N237" i="5"/>
  <c r="M237" i="5"/>
  <c r="L237" i="5"/>
  <c r="K237" i="5"/>
  <c r="J237" i="5"/>
  <c r="I237" i="5"/>
  <c r="AE236" i="5"/>
  <c r="AC236" i="5"/>
  <c r="X236" i="5"/>
  <c r="V236" i="5"/>
  <c r="U236" i="5"/>
  <c r="T236" i="5"/>
  <c r="N236" i="5"/>
  <c r="M236" i="5"/>
  <c r="L236" i="5"/>
  <c r="H236" i="5"/>
  <c r="F236" i="5"/>
  <c r="E236" i="5"/>
  <c r="D236" i="5"/>
  <c r="AB235" i="5"/>
  <c r="AB450" i="5" s="1"/>
  <c r="W235" i="5"/>
  <c r="W450" i="5" s="1"/>
  <c r="AD232" i="5"/>
  <c r="AD324" i="5" s="1"/>
  <c r="AD334" i="5" s="1"/>
  <c r="AC232" i="5"/>
  <c r="AC324" i="5" s="1"/>
  <c r="AC334" i="5" s="1"/>
  <c r="V232" i="5"/>
  <c r="V324" i="5" s="1"/>
  <c r="V334" i="5" s="1"/>
  <c r="U232" i="5"/>
  <c r="U324" i="5" s="1"/>
  <c r="U334" i="5" s="1"/>
  <c r="T232" i="5"/>
  <c r="T324" i="5" s="1"/>
  <c r="T334" i="5" s="1"/>
  <c r="R232" i="5"/>
  <c r="R324" i="5" s="1"/>
  <c r="R334" i="5" s="1"/>
  <c r="P232" i="5"/>
  <c r="N232" i="5"/>
  <c r="N324" i="5" s="1"/>
  <c r="M232" i="5"/>
  <c r="L232" i="5"/>
  <c r="L324" i="5" s="1"/>
  <c r="L334" i="5" s="1"/>
  <c r="I232" i="5"/>
  <c r="F232" i="5"/>
  <c r="F324" i="5" s="1"/>
  <c r="F334" i="5" s="1"/>
  <c r="E232" i="5"/>
  <c r="E324" i="5" s="1"/>
  <c r="E334" i="5" s="1"/>
  <c r="D232" i="5"/>
  <c r="D324" i="5" s="1"/>
  <c r="D334" i="5" s="1"/>
  <c r="X230" i="5"/>
  <c r="V230" i="5"/>
  <c r="P230" i="5"/>
  <c r="N230" i="5"/>
  <c r="AC229" i="5"/>
  <c r="V229" i="5"/>
  <c r="U229" i="5"/>
  <c r="S229" i="5"/>
  <c r="N229" i="5"/>
  <c r="M229" i="5"/>
  <c r="F229" i="5"/>
  <c r="E229" i="5"/>
  <c r="D229" i="5"/>
  <c r="AE228" i="5"/>
  <c r="AD228" i="5"/>
  <c r="AC228" i="5"/>
  <c r="AA228" i="5"/>
  <c r="Z228" i="5"/>
  <c r="Y228" i="5"/>
  <c r="Y232" i="5" s="1"/>
  <c r="X228" i="5"/>
  <c r="AC230" i="5" s="1"/>
  <c r="W228" i="5"/>
  <c r="V228" i="5"/>
  <c r="U228" i="5"/>
  <c r="T228" i="5"/>
  <c r="T229" i="5" s="1"/>
  <c r="S228" i="5"/>
  <c r="R228" i="5"/>
  <c r="Q228" i="5"/>
  <c r="P228" i="5"/>
  <c r="U230" i="5" s="1"/>
  <c r="O228" i="5"/>
  <c r="N228" i="5"/>
  <c r="M228" i="5"/>
  <c r="L228" i="5"/>
  <c r="K228" i="5"/>
  <c r="J228" i="5"/>
  <c r="I228" i="5"/>
  <c r="H228" i="5"/>
  <c r="H229" i="5" s="1"/>
  <c r="G228" i="5"/>
  <c r="F228" i="5"/>
  <c r="E228" i="5"/>
  <c r="D228" i="5"/>
  <c r="AC227" i="5"/>
  <c r="U227" i="5"/>
  <c r="T227" i="5"/>
  <c r="S227" i="5"/>
  <c r="P227" i="5"/>
  <c r="N227" i="5"/>
  <c r="M227" i="5"/>
  <c r="K227" i="5"/>
  <c r="F227" i="5"/>
  <c r="E227" i="5"/>
  <c r="AA225" i="5"/>
  <c r="T225" i="5"/>
  <c r="O225" i="5"/>
  <c r="L225" i="5"/>
  <c r="K225" i="5"/>
  <c r="AE224" i="5"/>
  <c r="AD224" i="5"/>
  <c r="AC224" i="5"/>
  <c r="AA224" i="5"/>
  <c r="AA236" i="5" s="1"/>
  <c r="Z224" i="5"/>
  <c r="Y224" i="5"/>
  <c r="X224" i="5"/>
  <c r="V224" i="5"/>
  <c r="U224" i="5"/>
  <c r="T224" i="5"/>
  <c r="S224" i="5"/>
  <c r="R224" i="5"/>
  <c r="Q224" i="5"/>
  <c r="P224" i="5"/>
  <c r="U225" i="5" s="1"/>
  <c r="O224" i="5"/>
  <c r="O236" i="5" s="1"/>
  <c r="N224" i="5"/>
  <c r="M224" i="5"/>
  <c r="L224" i="5"/>
  <c r="L229" i="5" s="1"/>
  <c r="K224" i="5"/>
  <c r="J224" i="5"/>
  <c r="I224" i="5"/>
  <c r="H224" i="5"/>
  <c r="M225" i="5" s="1"/>
  <c r="G224" i="5"/>
  <c r="G236" i="5" s="1"/>
  <c r="F224" i="5"/>
  <c r="E224" i="5"/>
  <c r="D224" i="5"/>
  <c r="D227" i="5" s="1"/>
  <c r="AC223" i="5"/>
  <c r="AC241" i="5" s="1"/>
  <c r="AC259" i="5" s="1"/>
  <c r="AC277" i="5" s="1"/>
  <c r="AA223" i="5"/>
  <c r="Z223" i="5"/>
  <c r="AE221" i="5"/>
  <c r="AD221" i="5"/>
  <c r="AC221" i="5"/>
  <c r="AB221" i="5"/>
  <c r="AA221" i="5"/>
  <c r="Z221" i="5"/>
  <c r="Y221" i="5"/>
  <c r="X221" i="5"/>
  <c r="V221" i="5"/>
  <c r="U221" i="5"/>
  <c r="T221" i="5"/>
  <c r="S221" i="5"/>
  <c r="R221" i="5"/>
  <c r="Q221" i="5"/>
  <c r="P221" i="5"/>
  <c r="O221" i="5"/>
  <c r="N221" i="5"/>
  <c r="L221" i="5"/>
  <c r="K221" i="5"/>
  <c r="J221" i="5"/>
  <c r="I221" i="5"/>
  <c r="AB220" i="5"/>
  <c r="AB294" i="5" s="1"/>
  <c r="W220" i="5"/>
  <c r="W294" i="5" s="1"/>
  <c r="R220" i="5"/>
  <c r="M220" i="5"/>
  <c r="M294" i="5" s="1"/>
  <c r="H220" i="5"/>
  <c r="AC218" i="5"/>
  <c r="Y218" i="5"/>
  <c r="U218" i="5"/>
  <c r="M218" i="5"/>
  <c r="I218" i="5"/>
  <c r="G218" i="5"/>
  <c r="E218" i="5"/>
  <c r="D218" i="5"/>
  <c r="AB217" i="5"/>
  <c r="W217" i="5"/>
  <c r="W449" i="5" s="1"/>
  <c r="AD214" i="5"/>
  <c r="AC214" i="5"/>
  <c r="Y214" i="5"/>
  <c r="Y323" i="5" s="1"/>
  <c r="Y333" i="5" s="1"/>
  <c r="X214" i="5"/>
  <c r="V214" i="5"/>
  <c r="P214" i="5"/>
  <c r="N214" i="5"/>
  <c r="N323" i="5" s="1"/>
  <c r="N333" i="5" s="1"/>
  <c r="M214" i="5"/>
  <c r="F214" i="5"/>
  <c r="F323" i="5" s="1"/>
  <c r="F333" i="5" s="1"/>
  <c r="AE212" i="5"/>
  <c r="AD212" i="5"/>
  <c r="Y212" i="5"/>
  <c r="W212" i="5"/>
  <c r="V212" i="5"/>
  <c r="U212" i="5"/>
  <c r="N212" i="5"/>
  <c r="AD211" i="5"/>
  <c r="Y211" i="5"/>
  <c r="Q211" i="5"/>
  <c r="L211" i="5"/>
  <c r="I211" i="5"/>
  <c r="AE210" i="5"/>
  <c r="AD210" i="5"/>
  <c r="AC210" i="5"/>
  <c r="AA210" i="5"/>
  <c r="AA211" i="5" s="1"/>
  <c r="Z210" i="5"/>
  <c r="Z214" i="5" s="1"/>
  <c r="Y210" i="5"/>
  <c r="X210" i="5"/>
  <c r="V210" i="5"/>
  <c r="U210" i="5"/>
  <c r="U209" i="5" s="1"/>
  <c r="T210" i="5"/>
  <c r="S210" i="5"/>
  <c r="R210" i="5"/>
  <c r="R214" i="5" s="1"/>
  <c r="Q210" i="5"/>
  <c r="Q214" i="5" s="1"/>
  <c r="Q323" i="5" s="1"/>
  <c r="Q333" i="5" s="1"/>
  <c r="P210" i="5"/>
  <c r="O210" i="5"/>
  <c r="N210" i="5"/>
  <c r="M210" i="5"/>
  <c r="M211" i="5" s="1"/>
  <c r="L210" i="5"/>
  <c r="L212" i="5" s="1"/>
  <c r="K210" i="5"/>
  <c r="K214" i="5" s="1"/>
  <c r="J210" i="5"/>
  <c r="I210" i="5"/>
  <c r="I214" i="5" s="1"/>
  <c r="I323" i="5" s="1"/>
  <c r="I333" i="5" s="1"/>
  <c r="H210" i="5"/>
  <c r="H214" i="5" s="1"/>
  <c r="H323" i="5" s="1"/>
  <c r="G210" i="5"/>
  <c r="G214" i="5" s="1"/>
  <c r="G323" i="5" s="1"/>
  <c r="G333" i="5" s="1"/>
  <c r="F210" i="5"/>
  <c r="E210" i="5"/>
  <c r="D210" i="5"/>
  <c r="AE209" i="5"/>
  <c r="AA209" i="5"/>
  <c r="Y209" i="5"/>
  <c r="X209" i="5"/>
  <c r="Q209" i="5"/>
  <c r="O209" i="5"/>
  <c r="N209" i="5"/>
  <c r="M209" i="5"/>
  <c r="H209" i="5"/>
  <c r="E209" i="5"/>
  <c r="AA207" i="5"/>
  <c r="Z207" i="5"/>
  <c r="X207" i="5"/>
  <c r="R207" i="5"/>
  <c r="O207" i="5"/>
  <c r="M207" i="5"/>
  <c r="AE206" i="5"/>
  <c r="AE207" i="5" s="1"/>
  <c r="AD206" i="5"/>
  <c r="AD218" i="5" s="1"/>
  <c r="AC206" i="5"/>
  <c r="AA206" i="5"/>
  <c r="AA218" i="5" s="1"/>
  <c r="Z206" i="5"/>
  <c r="Y206" i="5"/>
  <c r="X206" i="5"/>
  <c r="V206" i="5"/>
  <c r="V209" i="5" s="1"/>
  <c r="U206" i="5"/>
  <c r="T206" i="5"/>
  <c r="Y207" i="5" s="1"/>
  <c r="S206" i="5"/>
  <c r="S218" i="5" s="1"/>
  <c r="R206" i="5"/>
  <c r="Q206" i="5"/>
  <c r="Q218" i="5" s="1"/>
  <c r="P206" i="5"/>
  <c r="U207" i="5" s="1"/>
  <c r="O206" i="5"/>
  <c r="O218" i="5" s="1"/>
  <c r="N206" i="5"/>
  <c r="N218" i="5" s="1"/>
  <c r="M206" i="5"/>
  <c r="L206" i="5"/>
  <c r="L218" i="5" s="1"/>
  <c r="K206" i="5"/>
  <c r="K218" i="5" s="1"/>
  <c r="J206" i="5"/>
  <c r="J207" i="5" s="1"/>
  <c r="I206" i="5"/>
  <c r="I209" i="5" s="1"/>
  <c r="H206" i="5"/>
  <c r="H218" i="5" s="1"/>
  <c r="G206" i="5"/>
  <c r="G209" i="5" s="1"/>
  <c r="F206" i="5"/>
  <c r="F209" i="5" s="1"/>
  <c r="E206" i="5"/>
  <c r="D206" i="5"/>
  <c r="D209" i="5" s="1"/>
  <c r="AA205" i="5"/>
  <c r="Z205" i="5"/>
  <c r="AE203" i="5"/>
  <c r="AD203" i="5"/>
  <c r="AC203" i="5"/>
  <c r="AA203" i="5"/>
  <c r="Z203" i="5"/>
  <c r="Y203" i="5"/>
  <c r="X203" i="5"/>
  <c r="W203" i="5"/>
  <c r="V203" i="5"/>
  <c r="U203" i="5"/>
  <c r="T203" i="5"/>
  <c r="S203" i="5"/>
  <c r="Q203" i="5"/>
  <c r="P203" i="5"/>
  <c r="O203" i="5"/>
  <c r="N203" i="5"/>
  <c r="L203" i="5"/>
  <c r="K203" i="5"/>
  <c r="J203" i="5"/>
  <c r="I203" i="5"/>
  <c r="AB202" i="5"/>
  <c r="AB203" i="5" s="1"/>
  <c r="W202" i="5"/>
  <c r="W293" i="5" s="1"/>
  <c r="R202" i="5"/>
  <c r="M202" i="5"/>
  <c r="H202" i="5"/>
  <c r="H293" i="5" s="1"/>
  <c r="AE200" i="5"/>
  <c r="AD200" i="5"/>
  <c r="Y200" i="5"/>
  <c r="X200" i="5"/>
  <c r="V200" i="5"/>
  <c r="Q200" i="5"/>
  <c r="P200" i="5"/>
  <c r="O200" i="5"/>
  <c r="N200" i="5"/>
  <c r="K200" i="5"/>
  <c r="I200" i="5"/>
  <c r="H200" i="5"/>
  <c r="G200" i="5"/>
  <c r="F200" i="5"/>
  <c r="AB199" i="5"/>
  <c r="AB448" i="5" s="1"/>
  <c r="W199" i="5"/>
  <c r="N197" i="5"/>
  <c r="AA196" i="5"/>
  <c r="Z196" i="5"/>
  <c r="Y196" i="5"/>
  <c r="X196" i="5"/>
  <c r="V196" i="5"/>
  <c r="V322" i="5" s="1"/>
  <c r="V332" i="5" s="1"/>
  <c r="Q196" i="5"/>
  <c r="P196" i="5"/>
  <c r="N196" i="5"/>
  <c r="N322" i="5" s="1"/>
  <c r="N332" i="5" s="1"/>
  <c r="J196" i="5"/>
  <c r="I196" i="5"/>
  <c r="H196" i="5"/>
  <c r="H322" i="5" s="1"/>
  <c r="H332" i="5" s="1"/>
  <c r="F196" i="5"/>
  <c r="F322" i="5" s="1"/>
  <c r="F332" i="5" s="1"/>
  <c r="AE193" i="5"/>
  <c r="Z193" i="5"/>
  <c r="Y193" i="5"/>
  <c r="X193" i="5"/>
  <c r="V193" i="5"/>
  <c r="Q193" i="5"/>
  <c r="P193" i="5"/>
  <c r="O193" i="5"/>
  <c r="N193" i="5"/>
  <c r="H193" i="5"/>
  <c r="G193" i="5"/>
  <c r="F193" i="5"/>
  <c r="AE192" i="5"/>
  <c r="AE196" i="5" s="1"/>
  <c r="AE322" i="5" s="1"/>
  <c r="AE332" i="5" s="1"/>
  <c r="AD192" i="5"/>
  <c r="AC192" i="5"/>
  <c r="AC196" i="5" s="1"/>
  <c r="AC322" i="5" s="1"/>
  <c r="AC332" i="5" s="1"/>
  <c r="AB192" i="5"/>
  <c r="AB196" i="5" s="1"/>
  <c r="AA192" i="5"/>
  <c r="Z192" i="5"/>
  <c r="Y192" i="5"/>
  <c r="X192" i="5"/>
  <c r="V192" i="5"/>
  <c r="U192" i="5"/>
  <c r="T192" i="5"/>
  <c r="T196" i="5" s="1"/>
  <c r="T322" i="5" s="1"/>
  <c r="T332" i="5" s="1"/>
  <c r="S192" i="5"/>
  <c r="S193" i="5" s="1"/>
  <c r="R192" i="5"/>
  <c r="R196" i="5" s="1"/>
  <c r="Q192" i="5"/>
  <c r="P192" i="5"/>
  <c r="O192" i="5"/>
  <c r="O196" i="5" s="1"/>
  <c r="O322" i="5" s="1"/>
  <c r="O332" i="5" s="1"/>
  <c r="N192" i="5"/>
  <c r="M192" i="5"/>
  <c r="L192" i="5"/>
  <c r="K192" i="5"/>
  <c r="J192" i="5"/>
  <c r="I192" i="5"/>
  <c r="I193" i="5" s="1"/>
  <c r="H192" i="5"/>
  <c r="G192" i="5"/>
  <c r="G196" i="5" s="1"/>
  <c r="G322" i="5" s="1"/>
  <c r="G332" i="5" s="1"/>
  <c r="F192" i="5"/>
  <c r="E192" i="5"/>
  <c r="E191" i="5" s="1"/>
  <c r="D192" i="5"/>
  <c r="AE191" i="5"/>
  <c r="X191" i="5"/>
  <c r="V191" i="5"/>
  <c r="U191" i="5"/>
  <c r="O191" i="5"/>
  <c r="N191" i="5"/>
  <c r="F191" i="5"/>
  <c r="AD189" i="5"/>
  <c r="V189" i="5"/>
  <c r="T189" i="5"/>
  <c r="N189" i="5"/>
  <c r="AE188" i="5"/>
  <c r="AD188" i="5"/>
  <c r="AC188" i="5"/>
  <c r="AA188" i="5"/>
  <c r="Z188" i="5"/>
  <c r="Y188" i="5"/>
  <c r="Y191" i="5" s="1"/>
  <c r="X188" i="5"/>
  <c r="V188" i="5"/>
  <c r="U188" i="5"/>
  <c r="U200" i="5" s="1"/>
  <c r="T188" i="5"/>
  <c r="S188" i="5"/>
  <c r="R188" i="5"/>
  <c r="Q188" i="5"/>
  <c r="Q191" i="5" s="1"/>
  <c r="P188" i="5"/>
  <c r="P191" i="5" s="1"/>
  <c r="O188" i="5"/>
  <c r="N188" i="5"/>
  <c r="M188" i="5"/>
  <c r="M200" i="5" s="1"/>
  <c r="L188" i="5"/>
  <c r="K188" i="5"/>
  <c r="J188" i="5"/>
  <c r="I188" i="5"/>
  <c r="I191" i="5" s="1"/>
  <c r="H188" i="5"/>
  <c r="H191" i="5" s="1"/>
  <c r="G188" i="5"/>
  <c r="G191" i="5" s="1"/>
  <c r="F188" i="5"/>
  <c r="E188" i="5"/>
  <c r="E200" i="5" s="1"/>
  <c r="D188" i="5"/>
  <c r="AC187" i="5"/>
  <c r="AC205" i="5" s="1"/>
  <c r="AA187" i="5"/>
  <c r="Z187" i="5"/>
  <c r="AE185" i="5"/>
  <c r="AD185" i="5"/>
  <c r="AC185" i="5"/>
  <c r="AB185" i="5"/>
  <c r="AA185" i="5"/>
  <c r="Z185" i="5"/>
  <c r="Y185" i="5"/>
  <c r="X185" i="5"/>
  <c r="V185" i="5"/>
  <c r="U185" i="5"/>
  <c r="T185" i="5"/>
  <c r="S185" i="5"/>
  <c r="Q185" i="5"/>
  <c r="P185" i="5"/>
  <c r="O185" i="5"/>
  <c r="N185" i="5"/>
  <c r="L185" i="5"/>
  <c r="K185" i="5"/>
  <c r="J185" i="5"/>
  <c r="I185" i="5"/>
  <c r="AB184" i="5"/>
  <c r="AB292" i="5" s="1"/>
  <c r="W184" i="5"/>
  <c r="R184" i="5"/>
  <c r="R292" i="5" s="1"/>
  <c r="M184" i="5"/>
  <c r="M292" i="5" s="1"/>
  <c r="H184" i="5"/>
  <c r="H292" i="5" s="1"/>
  <c r="AE183" i="5"/>
  <c r="AD183" i="5"/>
  <c r="AC183" i="5"/>
  <c r="AA183" i="5"/>
  <c r="Z183" i="5"/>
  <c r="Y183" i="5"/>
  <c r="X183" i="5"/>
  <c r="W183" i="5"/>
  <c r="V183" i="5"/>
  <c r="U183" i="5"/>
  <c r="T183" i="5"/>
  <c r="S183" i="5"/>
  <c r="R183" i="5"/>
  <c r="Q183" i="5"/>
  <c r="P183" i="5"/>
  <c r="O183" i="5"/>
  <c r="N183" i="5"/>
  <c r="M183" i="5"/>
  <c r="L183" i="5"/>
  <c r="K183" i="5"/>
  <c r="J183" i="5"/>
  <c r="I183" i="5"/>
  <c r="AE182" i="5"/>
  <c r="AD182" i="5"/>
  <c r="X182" i="5"/>
  <c r="O182" i="5"/>
  <c r="N182" i="5"/>
  <c r="AB181" i="5"/>
  <c r="W181" i="5"/>
  <c r="Q179" i="5"/>
  <c r="AD178" i="5"/>
  <c r="AC178" i="5"/>
  <c r="AC321" i="5" s="1"/>
  <c r="AC331" i="5" s="1"/>
  <c r="X178" i="5"/>
  <c r="V178" i="5"/>
  <c r="U178" i="5"/>
  <c r="N178" i="5"/>
  <c r="N321" i="5" s="1"/>
  <c r="N331" i="5" s="1"/>
  <c r="M178" i="5"/>
  <c r="L178" i="5"/>
  <c r="K178" i="5"/>
  <c r="F178" i="5"/>
  <c r="F321" i="5" s="1"/>
  <c r="F331" i="5" s="1"/>
  <c r="AD176" i="5"/>
  <c r="AC176" i="5"/>
  <c r="X176" i="5"/>
  <c r="V176" i="5"/>
  <c r="N176" i="5"/>
  <c r="L176" i="5"/>
  <c r="AE175" i="5"/>
  <c r="Y175" i="5"/>
  <c r="X175" i="5"/>
  <c r="T175" i="5"/>
  <c r="Q175" i="5"/>
  <c r="O175" i="5"/>
  <c r="I175" i="5"/>
  <c r="G175" i="5"/>
  <c r="AE174" i="5"/>
  <c r="AD174" i="5"/>
  <c r="AC174" i="5"/>
  <c r="AA174" i="5"/>
  <c r="Z174" i="5"/>
  <c r="Z173" i="5" s="1"/>
  <c r="Y174" i="5"/>
  <c r="Y178" i="5" s="1"/>
  <c r="X174" i="5"/>
  <c r="V174" i="5"/>
  <c r="U174" i="5"/>
  <c r="T174" i="5"/>
  <c r="S174" i="5"/>
  <c r="S175" i="5" s="1"/>
  <c r="R174" i="5"/>
  <c r="Q174" i="5"/>
  <c r="Q178" i="5" s="1"/>
  <c r="Q321" i="5" s="1"/>
  <c r="Q331" i="5" s="1"/>
  <c r="P174" i="5"/>
  <c r="P437" i="5" s="1"/>
  <c r="O174" i="5"/>
  <c r="N174" i="5"/>
  <c r="M174" i="5"/>
  <c r="L174" i="5"/>
  <c r="K174" i="5"/>
  <c r="J174" i="5"/>
  <c r="J178" i="5" s="1"/>
  <c r="I174" i="5"/>
  <c r="I437" i="5" s="1"/>
  <c r="H174" i="5"/>
  <c r="G174" i="5"/>
  <c r="F174" i="5"/>
  <c r="E174" i="5"/>
  <c r="D174" i="5"/>
  <c r="AE173" i="5"/>
  <c r="Y173" i="5"/>
  <c r="R173" i="5"/>
  <c r="Q173" i="5"/>
  <c r="P173" i="5"/>
  <c r="O173" i="5"/>
  <c r="J173" i="5"/>
  <c r="I173" i="5"/>
  <c r="G173" i="5"/>
  <c r="AE170" i="5"/>
  <c r="AD170" i="5"/>
  <c r="AC170" i="5"/>
  <c r="AA170" i="5"/>
  <c r="Z170" i="5"/>
  <c r="Y170" i="5"/>
  <c r="X170" i="5"/>
  <c r="X436" i="5" s="1"/>
  <c r="V170" i="5"/>
  <c r="U170" i="5"/>
  <c r="U436" i="5" s="1"/>
  <c r="T170" i="5"/>
  <c r="S170" i="5"/>
  <c r="R170" i="5"/>
  <c r="Q170" i="5"/>
  <c r="P170" i="5"/>
  <c r="O170" i="5"/>
  <c r="N170" i="5"/>
  <c r="M170" i="5"/>
  <c r="M436" i="5" s="1"/>
  <c r="L170" i="5"/>
  <c r="K170" i="5"/>
  <c r="J170" i="5"/>
  <c r="I170" i="5"/>
  <c r="H170" i="5"/>
  <c r="G170" i="5"/>
  <c r="F170" i="5"/>
  <c r="F436" i="5" s="1"/>
  <c r="E170" i="5"/>
  <c r="E436" i="5" s="1"/>
  <c r="D170" i="5"/>
  <c r="AE169" i="5"/>
  <c r="AE187" i="5" s="1"/>
  <c r="AE205" i="5" s="1"/>
  <c r="AE223" i="5" s="1"/>
  <c r="AE241" i="5" s="1"/>
  <c r="AE259" i="5" s="1"/>
  <c r="AE277" i="5" s="1"/>
  <c r="AD169" i="5"/>
  <c r="AD187" i="5" s="1"/>
  <c r="AD205" i="5" s="1"/>
  <c r="AD223" i="5" s="1"/>
  <c r="AD241" i="5" s="1"/>
  <c r="AD259" i="5" s="1"/>
  <c r="AD277" i="5" s="1"/>
  <c r="AA169" i="5"/>
  <c r="Z169" i="5"/>
  <c r="AA166" i="5"/>
  <c r="S166" i="5"/>
  <c r="AE165" i="5"/>
  <c r="AD165" i="5"/>
  <c r="AC165" i="5"/>
  <c r="AB165" i="5"/>
  <c r="AA165" i="5"/>
  <c r="Z165" i="5"/>
  <c r="Y165" i="5"/>
  <c r="X165" i="5"/>
  <c r="V165" i="5"/>
  <c r="U165" i="5"/>
  <c r="T165" i="5"/>
  <c r="S165" i="5"/>
  <c r="R165" i="5"/>
  <c r="Q165" i="5"/>
  <c r="P165" i="5"/>
  <c r="O165" i="5"/>
  <c r="N165" i="5"/>
  <c r="M165" i="5"/>
  <c r="L165" i="5"/>
  <c r="K165" i="5"/>
  <c r="J165" i="5"/>
  <c r="I165" i="5"/>
  <c r="H165" i="5"/>
  <c r="G165" i="5"/>
  <c r="F165" i="5"/>
  <c r="E165" i="5"/>
  <c r="D165" i="5"/>
  <c r="AE164" i="5"/>
  <c r="AD164" i="5"/>
  <c r="AC164" i="5"/>
  <c r="AA164" i="5"/>
  <c r="Z164" i="5"/>
  <c r="Y164" i="5"/>
  <c r="X164" i="5"/>
  <c r="V164" i="5"/>
  <c r="U164" i="5"/>
  <c r="T164" i="5"/>
  <c r="S164" i="5"/>
  <c r="R164" i="5"/>
  <c r="Q164" i="5"/>
  <c r="P164" i="5"/>
  <c r="O164" i="5"/>
  <c r="N164" i="5"/>
  <c r="M164" i="5"/>
  <c r="L164" i="5"/>
  <c r="K164" i="5"/>
  <c r="J164" i="5"/>
  <c r="I164" i="5"/>
  <c r="H164" i="5"/>
  <c r="G164" i="5"/>
  <c r="F164" i="5"/>
  <c r="E164" i="5"/>
  <c r="D164" i="5"/>
  <c r="AE163" i="5"/>
  <c r="AD163" i="5"/>
  <c r="AC163" i="5"/>
  <c r="AA163" i="5"/>
  <c r="Z163" i="5"/>
  <c r="Y163" i="5"/>
  <c r="X163" i="5"/>
  <c r="V163" i="5"/>
  <c r="U163" i="5"/>
  <c r="T163" i="5"/>
  <c r="S163" i="5"/>
  <c r="R163" i="5"/>
  <c r="Q163" i="5"/>
  <c r="P163" i="5"/>
  <c r="O163" i="5"/>
  <c r="N163" i="5"/>
  <c r="M163" i="5"/>
  <c r="L163" i="5"/>
  <c r="K163" i="5"/>
  <c r="J163" i="5"/>
  <c r="I163" i="5"/>
  <c r="H163" i="5"/>
  <c r="G163" i="5"/>
  <c r="F163" i="5"/>
  <c r="E163" i="5"/>
  <c r="D163" i="5"/>
  <c r="AE162" i="5"/>
  <c r="AD162" i="5"/>
  <c r="AC162" i="5"/>
  <c r="AA162" i="5"/>
  <c r="Z162" i="5"/>
  <c r="Y162" i="5"/>
  <c r="X162" i="5"/>
  <c r="V162" i="5"/>
  <c r="U162" i="5"/>
  <c r="T162" i="5"/>
  <c r="S162" i="5"/>
  <c r="R162" i="5"/>
  <c r="Q162" i="5"/>
  <c r="P162" i="5"/>
  <c r="O162" i="5"/>
  <c r="N162" i="5"/>
  <c r="M162" i="5"/>
  <c r="L162" i="5"/>
  <c r="K162" i="5"/>
  <c r="J162" i="5"/>
  <c r="I162" i="5"/>
  <c r="H162" i="5"/>
  <c r="G162" i="5"/>
  <c r="F162" i="5"/>
  <c r="E162" i="5"/>
  <c r="D162" i="5"/>
  <c r="AE161" i="5"/>
  <c r="AD161" i="5"/>
  <c r="AC161" i="5"/>
  <c r="AA161" i="5"/>
  <c r="Z161" i="5"/>
  <c r="Y161" i="5"/>
  <c r="X161" i="5"/>
  <c r="V161" i="5"/>
  <c r="U161" i="5"/>
  <c r="T161" i="5"/>
  <c r="S161" i="5"/>
  <c r="R161" i="5"/>
  <c r="R166" i="5" s="1"/>
  <c r="Q161" i="5"/>
  <c r="P161" i="5"/>
  <c r="P166" i="5" s="1"/>
  <c r="O161" i="5"/>
  <c r="N161" i="5"/>
  <c r="M161" i="5"/>
  <c r="L161" i="5"/>
  <c r="K161" i="5"/>
  <c r="J161" i="5"/>
  <c r="I161" i="5"/>
  <c r="H161" i="5"/>
  <c r="G161" i="5"/>
  <c r="F161" i="5"/>
  <c r="E161" i="5"/>
  <c r="D161" i="5"/>
  <c r="AE160" i="5"/>
  <c r="AD160" i="5"/>
  <c r="AD166" i="5" s="1"/>
  <c r="AC160" i="5"/>
  <c r="AC166" i="5" s="1"/>
  <c r="AA160" i="5"/>
  <c r="Z160" i="5"/>
  <c r="Y160" i="5"/>
  <c r="X160" i="5"/>
  <c r="V160" i="5"/>
  <c r="U160" i="5"/>
  <c r="U166" i="5" s="1"/>
  <c r="T160" i="5"/>
  <c r="S160" i="5"/>
  <c r="R160" i="5"/>
  <c r="Q160" i="5"/>
  <c r="P160" i="5"/>
  <c r="O160" i="5"/>
  <c r="N160" i="5"/>
  <c r="M160" i="5"/>
  <c r="L160" i="5"/>
  <c r="K160" i="5"/>
  <c r="J160" i="5"/>
  <c r="I160" i="5"/>
  <c r="H160" i="5"/>
  <c r="G160" i="5"/>
  <c r="F160" i="5"/>
  <c r="F166" i="5" s="1"/>
  <c r="E160" i="5"/>
  <c r="D160" i="5"/>
  <c r="AE159" i="5"/>
  <c r="AE166" i="5" s="1"/>
  <c r="AD159" i="5"/>
  <c r="AC159" i="5"/>
  <c r="AA159" i="5"/>
  <c r="Z159" i="5"/>
  <c r="Y159" i="5"/>
  <c r="Y166" i="5" s="1"/>
  <c r="X159" i="5"/>
  <c r="X166" i="5" s="1"/>
  <c r="V159" i="5"/>
  <c r="V166" i="5" s="1"/>
  <c r="U159" i="5"/>
  <c r="T159" i="5"/>
  <c r="S159" i="5"/>
  <c r="R159" i="5"/>
  <c r="Q159" i="5"/>
  <c r="Q166" i="5" s="1"/>
  <c r="P159" i="5"/>
  <c r="O159" i="5"/>
  <c r="O166" i="5" s="1"/>
  <c r="N159" i="5"/>
  <c r="N166" i="5" s="1"/>
  <c r="M159" i="5"/>
  <c r="L159" i="5"/>
  <c r="K159" i="5"/>
  <c r="K166" i="5" s="1"/>
  <c r="J159" i="5"/>
  <c r="J166" i="5" s="1"/>
  <c r="I159" i="5"/>
  <c r="I166" i="5" s="1"/>
  <c r="H159" i="5"/>
  <c r="H166" i="5" s="1"/>
  <c r="G159" i="5"/>
  <c r="G166" i="5" s="1"/>
  <c r="F159" i="5"/>
  <c r="E159" i="5"/>
  <c r="D159" i="5"/>
  <c r="AE158" i="5"/>
  <c r="AD158" i="5"/>
  <c r="AC158" i="5"/>
  <c r="AA158" i="5"/>
  <c r="Z158" i="5"/>
  <c r="AA155" i="5"/>
  <c r="Z155" i="5"/>
  <c r="X155" i="5"/>
  <c r="S155" i="5"/>
  <c r="P155" i="5"/>
  <c r="AD154" i="5"/>
  <c r="V154" i="5"/>
  <c r="N154" i="5"/>
  <c r="AA153" i="5"/>
  <c r="Z153" i="5"/>
  <c r="X153" i="5"/>
  <c r="S153" i="5"/>
  <c r="P153" i="5"/>
  <c r="P152" i="5" s="1"/>
  <c r="AE151" i="5"/>
  <c r="AD151" i="5"/>
  <c r="AC151" i="5"/>
  <c r="AA151" i="5"/>
  <c r="Z151" i="5"/>
  <c r="AE148" i="5"/>
  <c r="AC148" i="5"/>
  <c r="X148" i="5"/>
  <c r="U148" i="5"/>
  <c r="P148" i="5"/>
  <c r="O148" i="5"/>
  <c r="M148" i="5"/>
  <c r="H148" i="5"/>
  <c r="AE147" i="5"/>
  <c r="AD147" i="5"/>
  <c r="AD148" i="5" s="1"/>
  <c r="AC147" i="5"/>
  <c r="AA147" i="5"/>
  <c r="AA148" i="5" s="1"/>
  <c r="Z147" i="5"/>
  <c r="Y147" i="5"/>
  <c r="Y148" i="5" s="1"/>
  <c r="X147" i="5"/>
  <c r="W147" i="5"/>
  <c r="V147" i="5"/>
  <c r="V148" i="5" s="1"/>
  <c r="U147" i="5"/>
  <c r="T147" i="5"/>
  <c r="T148" i="5" s="1"/>
  <c r="S147" i="5"/>
  <c r="S148" i="5" s="1"/>
  <c r="Q147" i="5"/>
  <c r="Q148" i="5" s="1"/>
  <c r="P147" i="5"/>
  <c r="O147" i="5"/>
  <c r="N147" i="5"/>
  <c r="N148" i="5" s="1"/>
  <c r="M147" i="5"/>
  <c r="L147" i="5"/>
  <c r="L148" i="5" s="1"/>
  <c r="K147" i="5"/>
  <c r="K148" i="5" s="1"/>
  <c r="J147" i="5"/>
  <c r="I147" i="5"/>
  <c r="I148" i="5" s="1"/>
  <c r="H147" i="5"/>
  <c r="AB145" i="5"/>
  <c r="W145" i="5"/>
  <c r="R145" i="5"/>
  <c r="M145" i="5"/>
  <c r="H145" i="5"/>
  <c r="AC143" i="5"/>
  <c r="U143" i="5"/>
  <c r="T143" i="5"/>
  <c r="M143" i="5"/>
  <c r="L143" i="5"/>
  <c r="AE142" i="5"/>
  <c r="AE356" i="5" s="1"/>
  <c r="AE358" i="5" s="1"/>
  <c r="AE361" i="5" s="1"/>
  <c r="AD142" i="5"/>
  <c r="AD356" i="5" s="1"/>
  <c r="AD358" i="5" s="1"/>
  <c r="AD361" i="5" s="1"/>
  <c r="AC142" i="5"/>
  <c r="AC356" i="5" s="1"/>
  <c r="AC358" i="5" s="1"/>
  <c r="AC361" i="5" s="1"/>
  <c r="AA142" i="5"/>
  <c r="AA356" i="5" s="1"/>
  <c r="AA358" i="5" s="1"/>
  <c r="AA361" i="5" s="1"/>
  <c r="Z142" i="5"/>
  <c r="Z356" i="5" s="1"/>
  <c r="Z358" i="5" s="1"/>
  <c r="Z361" i="5" s="1"/>
  <c r="Y142" i="5"/>
  <c r="Y356" i="5" s="1"/>
  <c r="Y358" i="5" s="1"/>
  <c r="Y361" i="5" s="1"/>
  <c r="X142" i="5"/>
  <c r="V142" i="5"/>
  <c r="V356" i="5" s="1"/>
  <c r="V358" i="5" s="1"/>
  <c r="V361" i="5" s="1"/>
  <c r="U142" i="5"/>
  <c r="U356" i="5" s="1"/>
  <c r="U358" i="5" s="1"/>
  <c r="U361" i="5" s="1"/>
  <c r="T142" i="5"/>
  <c r="T356" i="5" s="1"/>
  <c r="T358" i="5" s="1"/>
  <c r="T361" i="5" s="1"/>
  <c r="S142" i="5"/>
  <c r="S356" i="5" s="1"/>
  <c r="S358" i="5" s="1"/>
  <c r="S361" i="5" s="1"/>
  <c r="Q142" i="5"/>
  <c r="Q356" i="5" s="1"/>
  <c r="Q358" i="5" s="1"/>
  <c r="Q361" i="5" s="1"/>
  <c r="P142" i="5"/>
  <c r="O142" i="5"/>
  <c r="O356" i="5" s="1"/>
  <c r="O358" i="5" s="1"/>
  <c r="O361" i="5" s="1"/>
  <c r="N142" i="5"/>
  <c r="N356" i="5" s="1"/>
  <c r="N358" i="5" s="1"/>
  <c r="N361" i="5" s="1"/>
  <c r="M142" i="5"/>
  <c r="M356" i="5" s="1"/>
  <c r="M358" i="5" s="1"/>
  <c r="M361" i="5" s="1"/>
  <c r="L142" i="5"/>
  <c r="L356" i="5" s="1"/>
  <c r="L358" i="5" s="1"/>
  <c r="L361" i="5" s="1"/>
  <c r="K142" i="5"/>
  <c r="K356" i="5" s="1"/>
  <c r="K358" i="5" s="1"/>
  <c r="K361" i="5" s="1"/>
  <c r="J142" i="5"/>
  <c r="J356" i="5" s="1"/>
  <c r="J358" i="5" s="1"/>
  <c r="J361" i="5" s="1"/>
  <c r="I142" i="5"/>
  <c r="I356" i="5" s="1"/>
  <c r="I358" i="5" s="1"/>
  <c r="I361" i="5" s="1"/>
  <c r="H142" i="5"/>
  <c r="AE141" i="5"/>
  <c r="AE355" i="5" s="1"/>
  <c r="AE439" i="5" s="1"/>
  <c r="AD141" i="5"/>
  <c r="AD355" i="5" s="1"/>
  <c r="AD439" i="5" s="1"/>
  <c r="AC141" i="5"/>
  <c r="AC355" i="5" s="1"/>
  <c r="AC439" i="5" s="1"/>
  <c r="AB141" i="5"/>
  <c r="AA141" i="5"/>
  <c r="AA355" i="5" s="1"/>
  <c r="AA439" i="5" s="1"/>
  <c r="Z141" i="5"/>
  <c r="Z355" i="5" s="1"/>
  <c r="Z439" i="5" s="1"/>
  <c r="Y141" i="5"/>
  <c r="Y355" i="5" s="1"/>
  <c r="Y439" i="5" s="1"/>
  <c r="X141" i="5"/>
  <c r="X355" i="5" s="1"/>
  <c r="W141" i="5"/>
  <c r="W355" i="5" s="1"/>
  <c r="V141" i="5"/>
  <c r="V355" i="5" s="1"/>
  <c r="V439" i="5" s="1"/>
  <c r="U141" i="5"/>
  <c r="U355" i="5" s="1"/>
  <c r="U439" i="5" s="1"/>
  <c r="U440" i="5" s="1"/>
  <c r="T141" i="5"/>
  <c r="T355" i="5" s="1"/>
  <c r="T439" i="5" s="1"/>
  <c r="S141" i="5"/>
  <c r="S355" i="5" s="1"/>
  <c r="S439" i="5" s="1"/>
  <c r="R141" i="5"/>
  <c r="Q141" i="5"/>
  <c r="Q355" i="5" s="1"/>
  <c r="Q439" i="5" s="1"/>
  <c r="P141" i="5"/>
  <c r="P355" i="5" s="1"/>
  <c r="P439" i="5" s="1"/>
  <c r="O141" i="5"/>
  <c r="O355" i="5" s="1"/>
  <c r="O439" i="5" s="1"/>
  <c r="N141" i="5"/>
  <c r="N355" i="5" s="1"/>
  <c r="N439" i="5" s="1"/>
  <c r="M141" i="5"/>
  <c r="M355" i="5" s="1"/>
  <c r="M439" i="5" s="1"/>
  <c r="M440" i="5" s="1"/>
  <c r="L141" i="5"/>
  <c r="L355" i="5" s="1"/>
  <c r="L439" i="5" s="1"/>
  <c r="K141" i="5"/>
  <c r="K355" i="5" s="1"/>
  <c r="K439" i="5" s="1"/>
  <c r="J141" i="5"/>
  <c r="J355" i="5" s="1"/>
  <c r="J439" i="5" s="1"/>
  <c r="I141" i="5"/>
  <c r="I355" i="5" s="1"/>
  <c r="I439" i="5" s="1"/>
  <c r="H141" i="5"/>
  <c r="H355" i="5" s="1"/>
  <c r="H439" i="5" s="1"/>
  <c r="G141" i="5"/>
  <c r="G355" i="5" s="1"/>
  <c r="G439" i="5" s="1"/>
  <c r="F141" i="5"/>
  <c r="F355" i="5" s="1"/>
  <c r="F439" i="5" s="1"/>
  <c r="F440" i="5" s="1"/>
  <c r="E141" i="5"/>
  <c r="E355" i="5" s="1"/>
  <c r="E439" i="5" s="1"/>
  <c r="E440" i="5" s="1"/>
  <c r="D141" i="5"/>
  <c r="D355" i="5" s="1"/>
  <c r="D439" i="5" s="1"/>
  <c r="AB139" i="5"/>
  <c r="AB155" i="5" s="1"/>
  <c r="W139" i="5"/>
  <c r="W155" i="5" s="1"/>
  <c r="R139" i="5"/>
  <c r="L139" i="5"/>
  <c r="L155" i="5" s="1"/>
  <c r="K139" i="5"/>
  <c r="K135" i="5" s="1"/>
  <c r="J139" i="5"/>
  <c r="M139" i="5" s="1"/>
  <c r="H139" i="5"/>
  <c r="G139" i="5"/>
  <c r="G155" i="5" s="1"/>
  <c r="F139" i="5"/>
  <c r="E139" i="5"/>
  <c r="E155" i="5" s="1"/>
  <c r="D139" i="5"/>
  <c r="D155" i="5" s="1"/>
  <c r="AB138" i="5"/>
  <c r="AB154" i="5" s="1"/>
  <c r="W138" i="5"/>
  <c r="R138" i="5"/>
  <c r="M138" i="5"/>
  <c r="H138" i="5"/>
  <c r="AB137" i="5"/>
  <c r="AB153" i="5" s="1"/>
  <c r="AB152" i="5" s="1"/>
  <c r="W137" i="5"/>
  <c r="W153" i="5" s="1"/>
  <c r="W152" i="5" s="1"/>
  <c r="R137" i="5"/>
  <c r="M137" i="5"/>
  <c r="H137" i="5"/>
  <c r="AE135" i="5"/>
  <c r="AE155" i="5" s="1"/>
  <c r="AD135" i="5"/>
  <c r="AC135" i="5"/>
  <c r="AC155" i="5" s="1"/>
  <c r="AB135" i="5"/>
  <c r="AA135" i="5"/>
  <c r="AA154" i="5" s="1"/>
  <c r="Z135" i="5"/>
  <c r="Z154" i="5" s="1"/>
  <c r="Y135" i="5"/>
  <c r="Y154" i="5" s="1"/>
  <c r="X135" i="5"/>
  <c r="X154" i="5" s="1"/>
  <c r="W135" i="5"/>
  <c r="W154" i="5" s="1"/>
  <c r="V135" i="5"/>
  <c r="U135" i="5"/>
  <c r="U155" i="5" s="1"/>
  <c r="T135" i="5"/>
  <c r="T155" i="5" s="1"/>
  <c r="S135" i="5"/>
  <c r="S154" i="5" s="1"/>
  <c r="Q135" i="5"/>
  <c r="Q154" i="5" s="1"/>
  <c r="P135" i="5"/>
  <c r="P154" i="5" s="1"/>
  <c r="O135" i="5"/>
  <c r="O155" i="5" s="1"/>
  <c r="N135" i="5"/>
  <c r="L135" i="5"/>
  <c r="L153" i="5" s="1"/>
  <c r="I135" i="5"/>
  <c r="I154" i="5" s="1"/>
  <c r="G135" i="5"/>
  <c r="G153" i="5" s="1"/>
  <c r="F135" i="5"/>
  <c r="F153" i="5" s="1"/>
  <c r="E135" i="5"/>
  <c r="E153" i="5" s="1"/>
  <c r="D135" i="5"/>
  <c r="D153" i="5" s="1"/>
  <c r="AE132" i="5"/>
  <c r="AE143" i="5" s="1"/>
  <c r="AD132" i="5"/>
  <c r="AC132" i="5"/>
  <c r="AA132" i="5"/>
  <c r="Z132" i="5"/>
  <c r="Y132" i="5"/>
  <c r="X132" i="5"/>
  <c r="V132" i="5"/>
  <c r="U132" i="5"/>
  <c r="T132" i="5"/>
  <c r="S132" i="5"/>
  <c r="R132" i="5"/>
  <c r="Q132" i="5"/>
  <c r="P132" i="5"/>
  <c r="O132" i="5"/>
  <c r="O143" i="5" s="1"/>
  <c r="N132" i="5"/>
  <c r="M132" i="5"/>
  <c r="L132" i="5"/>
  <c r="K132" i="5"/>
  <c r="J132" i="5"/>
  <c r="I132" i="5"/>
  <c r="H132" i="5"/>
  <c r="G132" i="5"/>
  <c r="F132" i="5"/>
  <c r="E132" i="5"/>
  <c r="D132" i="5"/>
  <c r="AE130" i="5"/>
  <c r="AD130" i="5"/>
  <c r="AC130" i="5"/>
  <c r="AA130" i="5"/>
  <c r="Z130" i="5"/>
  <c r="AE127" i="5"/>
  <c r="AD127" i="5"/>
  <c r="AC127" i="5"/>
  <c r="AA127" i="5"/>
  <c r="Z127" i="5"/>
  <c r="Y127" i="5"/>
  <c r="X127" i="5"/>
  <c r="W127" i="5"/>
  <c r="V127" i="5"/>
  <c r="U127" i="5"/>
  <c r="T127" i="5"/>
  <c r="S127" i="5"/>
  <c r="R127" i="5"/>
  <c r="Q127" i="5"/>
  <c r="P127" i="5"/>
  <c r="O127" i="5"/>
  <c r="N127" i="5"/>
  <c r="M127" i="5"/>
  <c r="L127" i="5"/>
  <c r="K127" i="5"/>
  <c r="J127" i="5"/>
  <c r="I127" i="5"/>
  <c r="H127" i="5"/>
  <c r="G127" i="5"/>
  <c r="F127" i="5"/>
  <c r="E127" i="5"/>
  <c r="D127" i="5"/>
  <c r="AE126" i="5"/>
  <c r="AD126" i="5"/>
  <c r="AC126" i="5"/>
  <c r="AB126" i="5"/>
  <c r="AA126" i="5"/>
  <c r="Z126" i="5"/>
  <c r="Y126" i="5"/>
  <c r="X126" i="5"/>
  <c r="V126" i="5"/>
  <c r="U126" i="5"/>
  <c r="T126" i="5"/>
  <c r="S126" i="5"/>
  <c r="R126" i="5"/>
  <c r="Q126" i="5"/>
  <c r="P126" i="5"/>
  <c r="O126" i="5"/>
  <c r="N126" i="5"/>
  <c r="M126" i="5"/>
  <c r="L126" i="5"/>
  <c r="K126" i="5"/>
  <c r="J126" i="5"/>
  <c r="I126" i="5"/>
  <c r="H126" i="5"/>
  <c r="G126" i="5"/>
  <c r="F126" i="5"/>
  <c r="E126" i="5"/>
  <c r="D126" i="5"/>
  <c r="AE125" i="5"/>
  <c r="AD125" i="5"/>
  <c r="AC125" i="5"/>
  <c r="AA125" i="5"/>
  <c r="Z125" i="5"/>
  <c r="Y125" i="5"/>
  <c r="X125" i="5"/>
  <c r="V125" i="5"/>
  <c r="U125" i="5"/>
  <c r="T125" i="5"/>
  <c r="S125" i="5"/>
  <c r="R125" i="5"/>
  <c r="Q125" i="5"/>
  <c r="P125" i="5"/>
  <c r="O125" i="5"/>
  <c r="N125" i="5"/>
  <c r="M125" i="5"/>
  <c r="L125" i="5"/>
  <c r="K125" i="5"/>
  <c r="J125" i="5"/>
  <c r="I125" i="5"/>
  <c r="H125" i="5"/>
  <c r="G125" i="5"/>
  <c r="F125" i="5"/>
  <c r="E125" i="5"/>
  <c r="D125" i="5"/>
  <c r="AE124" i="5"/>
  <c r="AD124" i="5"/>
  <c r="AC124" i="5"/>
  <c r="AA124" i="5"/>
  <c r="Z124" i="5"/>
  <c r="Y124" i="5"/>
  <c r="X124" i="5"/>
  <c r="V124" i="5"/>
  <c r="U124" i="5"/>
  <c r="T124" i="5"/>
  <c r="S124" i="5"/>
  <c r="R124" i="5"/>
  <c r="Q124" i="5"/>
  <c r="P124" i="5"/>
  <c r="O124" i="5"/>
  <c r="N124" i="5"/>
  <c r="M124" i="5"/>
  <c r="L124" i="5"/>
  <c r="K124" i="5"/>
  <c r="J124" i="5"/>
  <c r="I124" i="5"/>
  <c r="H124" i="5"/>
  <c r="G124" i="5"/>
  <c r="F124" i="5"/>
  <c r="E124" i="5"/>
  <c r="D124" i="5"/>
  <c r="AE123" i="5"/>
  <c r="AD123" i="5"/>
  <c r="AC123" i="5"/>
  <c r="AA123" i="5"/>
  <c r="Z123" i="5"/>
  <c r="Y123" i="5"/>
  <c r="X123" i="5"/>
  <c r="W123" i="5"/>
  <c r="V123" i="5"/>
  <c r="U123" i="5"/>
  <c r="T123" i="5"/>
  <c r="S123" i="5"/>
  <c r="R123" i="5"/>
  <c r="Q123" i="5"/>
  <c r="P123" i="5"/>
  <c r="O123" i="5"/>
  <c r="N123" i="5"/>
  <c r="M123" i="5"/>
  <c r="L123" i="5"/>
  <c r="K123" i="5"/>
  <c r="J123" i="5"/>
  <c r="I123" i="5"/>
  <c r="H123" i="5"/>
  <c r="G123" i="5"/>
  <c r="F123" i="5"/>
  <c r="E123" i="5"/>
  <c r="D123" i="5"/>
  <c r="AE122" i="5"/>
  <c r="AD122" i="5"/>
  <c r="AC122" i="5"/>
  <c r="AB122" i="5"/>
  <c r="AA122" i="5"/>
  <c r="Z122" i="5"/>
  <c r="Y122" i="5"/>
  <c r="X122" i="5"/>
  <c r="V122" i="5"/>
  <c r="U122" i="5"/>
  <c r="T122" i="5"/>
  <c r="S122" i="5"/>
  <c r="R122" i="5"/>
  <c r="Q122" i="5"/>
  <c r="P122" i="5"/>
  <c r="O122" i="5"/>
  <c r="N122" i="5"/>
  <c r="M122" i="5"/>
  <c r="L122" i="5"/>
  <c r="K122" i="5"/>
  <c r="J122" i="5"/>
  <c r="I122" i="5"/>
  <c r="H122" i="5"/>
  <c r="G122" i="5"/>
  <c r="F122" i="5"/>
  <c r="E122" i="5"/>
  <c r="D122" i="5"/>
  <c r="AE121" i="5"/>
  <c r="AD121" i="5"/>
  <c r="AC121" i="5"/>
  <c r="AA121" i="5"/>
  <c r="Z121" i="5"/>
  <c r="AE112" i="5"/>
  <c r="AD112" i="5"/>
  <c r="AC112" i="5"/>
  <c r="AA112" i="5"/>
  <c r="Z112" i="5"/>
  <c r="AE110" i="5"/>
  <c r="Y110" i="5"/>
  <c r="Q110" i="5"/>
  <c r="O110" i="5"/>
  <c r="I110" i="5"/>
  <c r="G110" i="5"/>
  <c r="AE109" i="5"/>
  <c r="AD109" i="5"/>
  <c r="AC109" i="5"/>
  <c r="V109" i="5"/>
  <c r="U109" i="5"/>
  <c r="O109" i="5"/>
  <c r="N109" i="5"/>
  <c r="G109" i="5"/>
  <c r="F109" i="5"/>
  <c r="E109" i="5"/>
  <c r="AE108" i="5"/>
  <c r="Y108" i="5"/>
  <c r="Q108" i="5"/>
  <c r="O108" i="5"/>
  <c r="J108" i="5"/>
  <c r="I108" i="5"/>
  <c r="G108" i="5"/>
  <c r="AE107" i="5"/>
  <c r="AD107" i="5"/>
  <c r="AC107" i="5"/>
  <c r="V107" i="5"/>
  <c r="U107" i="5"/>
  <c r="O107" i="5"/>
  <c r="N107" i="5"/>
  <c r="G107" i="5"/>
  <c r="F107" i="5"/>
  <c r="E107" i="5"/>
  <c r="AE106" i="5"/>
  <c r="Z106" i="5"/>
  <c r="Y106" i="5"/>
  <c r="T106" i="5"/>
  <c r="Q106" i="5"/>
  <c r="O106" i="5"/>
  <c r="J106" i="5"/>
  <c r="I106" i="5"/>
  <c r="G106" i="5"/>
  <c r="AE105" i="5"/>
  <c r="AD105" i="5"/>
  <c r="AC105" i="5"/>
  <c r="V105" i="5"/>
  <c r="U105" i="5"/>
  <c r="O105" i="5"/>
  <c r="N105" i="5"/>
  <c r="M105" i="5"/>
  <c r="G105" i="5"/>
  <c r="F105" i="5"/>
  <c r="E105" i="5"/>
  <c r="AE104" i="5"/>
  <c r="Z104" i="5"/>
  <c r="Y104" i="5"/>
  <c r="T104" i="5"/>
  <c r="Q104" i="5"/>
  <c r="O104" i="5"/>
  <c r="L104" i="5"/>
  <c r="I104" i="5"/>
  <c r="G104" i="5"/>
  <c r="D104" i="5"/>
  <c r="AE103" i="5"/>
  <c r="AD103" i="5"/>
  <c r="AC103" i="5"/>
  <c r="AA103" i="5"/>
  <c r="Z103" i="5"/>
  <c r="AE99" i="5"/>
  <c r="AE128" i="5" s="1"/>
  <c r="AD99" i="5"/>
  <c r="AD110" i="5" s="1"/>
  <c r="AC99" i="5"/>
  <c r="AC110" i="5" s="1"/>
  <c r="AA99" i="5"/>
  <c r="AA128" i="5" s="1"/>
  <c r="Z99" i="5"/>
  <c r="Y99" i="5"/>
  <c r="Y109" i="5" s="1"/>
  <c r="X99" i="5"/>
  <c r="X128" i="5" s="1"/>
  <c r="V99" i="5"/>
  <c r="V110" i="5" s="1"/>
  <c r="U99" i="5"/>
  <c r="U110" i="5" s="1"/>
  <c r="T99" i="5"/>
  <c r="T110" i="5" s="1"/>
  <c r="S99" i="5"/>
  <c r="R99" i="5"/>
  <c r="Q99" i="5"/>
  <c r="Q109" i="5" s="1"/>
  <c r="P99" i="5"/>
  <c r="P128" i="5" s="1"/>
  <c r="O99" i="5"/>
  <c r="O128" i="5" s="1"/>
  <c r="N99" i="5"/>
  <c r="N110" i="5" s="1"/>
  <c r="L99" i="5"/>
  <c r="L110" i="5" s="1"/>
  <c r="K99" i="5"/>
  <c r="J99" i="5"/>
  <c r="I99" i="5"/>
  <c r="I109" i="5" s="1"/>
  <c r="H99" i="5"/>
  <c r="H128" i="5" s="1"/>
  <c r="G99" i="5"/>
  <c r="G128" i="5" s="1"/>
  <c r="F99" i="5"/>
  <c r="F110" i="5" s="1"/>
  <c r="E99" i="5"/>
  <c r="E110" i="5" s="1"/>
  <c r="D99" i="5"/>
  <c r="D110" i="5" s="1"/>
  <c r="AB98" i="5"/>
  <c r="AB454" i="5" s="1"/>
  <c r="M98" i="5"/>
  <c r="M99" i="5" s="1"/>
  <c r="H98" i="5"/>
  <c r="AB97" i="5"/>
  <c r="W97" i="5"/>
  <c r="W280" i="5" s="1"/>
  <c r="W283" i="5" s="1"/>
  <c r="AB96" i="5"/>
  <c r="AB127" i="5" s="1"/>
  <c r="W96" i="5"/>
  <c r="W264" i="5" s="1"/>
  <c r="AB95" i="5"/>
  <c r="W95" i="5"/>
  <c r="AB94" i="5"/>
  <c r="W94" i="5"/>
  <c r="AB93" i="5"/>
  <c r="W93" i="5"/>
  <c r="W210" i="5" s="1"/>
  <c r="AB92" i="5"/>
  <c r="AB123" i="5" s="1"/>
  <c r="W92" i="5"/>
  <c r="W192" i="5" s="1"/>
  <c r="AB91" i="5"/>
  <c r="W91" i="5"/>
  <c r="AE90" i="5"/>
  <c r="AD90" i="5"/>
  <c r="AC90" i="5"/>
  <c r="AA90" i="5"/>
  <c r="Z90" i="5"/>
  <c r="AC88" i="5"/>
  <c r="Z88" i="5"/>
  <c r="U88" i="5"/>
  <c r="T88" i="5"/>
  <c r="R88" i="5"/>
  <c r="M88" i="5"/>
  <c r="J88" i="5"/>
  <c r="AE87" i="5"/>
  <c r="AD87" i="5"/>
  <c r="AC87" i="5"/>
  <c r="AB87" i="5"/>
  <c r="AA87" i="5"/>
  <c r="Z87" i="5"/>
  <c r="Y87" i="5"/>
  <c r="X87" i="5"/>
  <c r="V87" i="5"/>
  <c r="U87" i="5"/>
  <c r="T87" i="5"/>
  <c r="S87" i="5"/>
  <c r="R87" i="5"/>
  <c r="Q87" i="5"/>
  <c r="P87" i="5"/>
  <c r="O87" i="5"/>
  <c r="N87" i="5"/>
  <c r="M87" i="5"/>
  <c r="L87" i="5"/>
  <c r="K87" i="5"/>
  <c r="J87" i="5"/>
  <c r="I87" i="5"/>
  <c r="AE86" i="5"/>
  <c r="AD86" i="5"/>
  <c r="AC86" i="5"/>
  <c r="AA86" i="5"/>
  <c r="Z86" i="5"/>
  <c r="Y86" i="5"/>
  <c r="X86" i="5"/>
  <c r="V86" i="5"/>
  <c r="U86" i="5"/>
  <c r="T86" i="5"/>
  <c r="S86" i="5"/>
  <c r="R86" i="5"/>
  <c r="Q86" i="5"/>
  <c r="P86" i="5"/>
  <c r="O86" i="5"/>
  <c r="N86" i="5"/>
  <c r="M86" i="5"/>
  <c r="L86" i="5"/>
  <c r="K86" i="5"/>
  <c r="J86" i="5"/>
  <c r="I86" i="5"/>
  <c r="AE85" i="5"/>
  <c r="AD85" i="5"/>
  <c r="AC85" i="5"/>
  <c r="AA85" i="5"/>
  <c r="Z85" i="5"/>
  <c r="Y85" i="5"/>
  <c r="X85" i="5"/>
  <c r="V85" i="5"/>
  <c r="U85" i="5"/>
  <c r="T85" i="5"/>
  <c r="S85" i="5"/>
  <c r="R85" i="5"/>
  <c r="Q85" i="5"/>
  <c r="P85" i="5"/>
  <c r="O85" i="5"/>
  <c r="N85" i="5"/>
  <c r="M85" i="5"/>
  <c r="L85" i="5"/>
  <c r="K85" i="5"/>
  <c r="J85" i="5"/>
  <c r="I85" i="5"/>
  <c r="AE84" i="5"/>
  <c r="AD84" i="5"/>
  <c r="AC84" i="5"/>
  <c r="AA84" i="5"/>
  <c r="Z84" i="5"/>
  <c r="Y84" i="5"/>
  <c r="X84" i="5"/>
  <c r="V84" i="5"/>
  <c r="U84" i="5"/>
  <c r="T84" i="5"/>
  <c r="S84" i="5"/>
  <c r="R84" i="5"/>
  <c r="Q84" i="5"/>
  <c r="P84" i="5"/>
  <c r="O84" i="5"/>
  <c r="N84" i="5"/>
  <c r="M84" i="5"/>
  <c r="L84" i="5"/>
  <c r="K84" i="5"/>
  <c r="J84" i="5"/>
  <c r="I84" i="5"/>
  <c r="AE83" i="5"/>
  <c r="AD83" i="5"/>
  <c r="AC83" i="5"/>
  <c r="AA83" i="5"/>
  <c r="Z83" i="5"/>
  <c r="Y83" i="5"/>
  <c r="X83" i="5"/>
  <c r="W83" i="5"/>
  <c r="V83" i="5"/>
  <c r="U83" i="5"/>
  <c r="T83" i="5"/>
  <c r="S83" i="5"/>
  <c r="R83" i="5"/>
  <c r="Q83" i="5"/>
  <c r="P83" i="5"/>
  <c r="O83" i="5"/>
  <c r="N83" i="5"/>
  <c r="M83" i="5"/>
  <c r="L83" i="5"/>
  <c r="K83" i="5"/>
  <c r="J83" i="5"/>
  <c r="I83" i="5"/>
  <c r="AE82" i="5"/>
  <c r="AD82" i="5"/>
  <c r="AC82" i="5"/>
  <c r="AB82" i="5"/>
  <c r="AA82" i="5"/>
  <c r="Z82" i="5"/>
  <c r="Y82" i="5"/>
  <c r="X82" i="5"/>
  <c r="W82" i="5"/>
  <c r="V82" i="5"/>
  <c r="U82" i="5"/>
  <c r="T82" i="5"/>
  <c r="S82" i="5"/>
  <c r="R82" i="5"/>
  <c r="Q82" i="5"/>
  <c r="P82" i="5"/>
  <c r="O82" i="5"/>
  <c r="N82" i="5"/>
  <c r="M82" i="5"/>
  <c r="L82" i="5"/>
  <c r="K82" i="5"/>
  <c r="J82" i="5"/>
  <c r="I82" i="5"/>
  <c r="AE81" i="5"/>
  <c r="AD81" i="5"/>
  <c r="AC81" i="5"/>
  <c r="AA81" i="5"/>
  <c r="Z81" i="5"/>
  <c r="Z79" i="5"/>
  <c r="X79" i="5"/>
  <c r="R79" i="5"/>
  <c r="P79" i="5"/>
  <c r="J79" i="5"/>
  <c r="H79" i="5"/>
  <c r="AE78" i="5"/>
  <c r="AD78" i="5"/>
  <c r="X78" i="5"/>
  <c r="V78" i="5"/>
  <c r="P78" i="5"/>
  <c r="O78" i="5"/>
  <c r="N78" i="5"/>
  <c r="H78" i="5"/>
  <c r="G78" i="5"/>
  <c r="F78" i="5"/>
  <c r="AC77" i="5"/>
  <c r="AA77" i="5"/>
  <c r="Z77" i="5"/>
  <c r="X77" i="5"/>
  <c r="R77" i="5"/>
  <c r="P77" i="5"/>
  <c r="J77" i="5"/>
  <c r="H77" i="5"/>
  <c r="AE76" i="5"/>
  <c r="AD76" i="5"/>
  <c r="X76" i="5"/>
  <c r="V76" i="5"/>
  <c r="P76" i="5"/>
  <c r="O76" i="5"/>
  <c r="N76" i="5"/>
  <c r="H76" i="5"/>
  <c r="G76" i="5"/>
  <c r="F76" i="5"/>
  <c r="AC75" i="5"/>
  <c r="AA75" i="5"/>
  <c r="Z75" i="5"/>
  <c r="X75" i="5"/>
  <c r="U75" i="5"/>
  <c r="R75" i="5"/>
  <c r="P75" i="5"/>
  <c r="M75" i="5"/>
  <c r="J75" i="5"/>
  <c r="H75" i="5"/>
  <c r="E75" i="5"/>
  <c r="AE74" i="5"/>
  <c r="AD74" i="5"/>
  <c r="X74" i="5"/>
  <c r="V74" i="5"/>
  <c r="P74" i="5"/>
  <c r="O74" i="5"/>
  <c r="N74" i="5"/>
  <c r="H74" i="5"/>
  <c r="G74" i="5"/>
  <c r="F74" i="5"/>
  <c r="AC73" i="5"/>
  <c r="AA73" i="5"/>
  <c r="Z73" i="5"/>
  <c r="X73" i="5"/>
  <c r="U73" i="5"/>
  <c r="R73" i="5"/>
  <c r="P73" i="5"/>
  <c r="M73" i="5"/>
  <c r="J73" i="5"/>
  <c r="H73" i="5"/>
  <c r="E73" i="5"/>
  <c r="AE72" i="5"/>
  <c r="AD72" i="5"/>
  <c r="AC72" i="5"/>
  <c r="AA72" i="5"/>
  <c r="Z72" i="5"/>
  <c r="AE70" i="5"/>
  <c r="AE79" i="5" s="1"/>
  <c r="AD70" i="5"/>
  <c r="AD79" i="5" s="1"/>
  <c r="AC70" i="5"/>
  <c r="AC79" i="5" s="1"/>
  <c r="AA70" i="5"/>
  <c r="AA79" i="5" s="1"/>
  <c r="Z70" i="5"/>
  <c r="Z78" i="5" s="1"/>
  <c r="Y70" i="5"/>
  <c r="Y88" i="5" s="1"/>
  <c r="X70" i="5"/>
  <c r="V70" i="5"/>
  <c r="V79" i="5" s="1"/>
  <c r="U70" i="5"/>
  <c r="U79" i="5" s="1"/>
  <c r="T70" i="5"/>
  <c r="S70" i="5"/>
  <c r="R70" i="5"/>
  <c r="R78" i="5" s="1"/>
  <c r="Q70" i="5"/>
  <c r="P70" i="5"/>
  <c r="O70" i="5"/>
  <c r="O79" i="5" s="1"/>
  <c r="N70" i="5"/>
  <c r="N79" i="5" s="1"/>
  <c r="M70" i="5"/>
  <c r="M79" i="5" s="1"/>
  <c r="L70" i="5"/>
  <c r="K70" i="5"/>
  <c r="J70" i="5"/>
  <c r="J78" i="5" s="1"/>
  <c r="I70" i="5"/>
  <c r="H70" i="5"/>
  <c r="G70" i="5"/>
  <c r="G79" i="5" s="1"/>
  <c r="F70" i="5"/>
  <c r="F79" i="5" s="1"/>
  <c r="E70" i="5"/>
  <c r="E79" i="5" s="1"/>
  <c r="D70" i="5"/>
  <c r="AB69" i="5"/>
  <c r="W69" i="5"/>
  <c r="W278" i="5" s="1"/>
  <c r="AB68" i="5"/>
  <c r="AB164" i="5" s="1"/>
  <c r="W68" i="5"/>
  <c r="W164" i="5" s="1"/>
  <c r="AB67" i="5"/>
  <c r="AB86" i="5" s="1"/>
  <c r="W67" i="5"/>
  <c r="W242" i="5" s="1"/>
  <c r="AB66" i="5"/>
  <c r="AB162" i="5" s="1"/>
  <c r="W66" i="5"/>
  <c r="AB65" i="5"/>
  <c r="W65" i="5"/>
  <c r="W161" i="5" s="1"/>
  <c r="AB64" i="5"/>
  <c r="AB83" i="5" s="1"/>
  <c r="W64" i="5"/>
  <c r="AB63" i="5"/>
  <c r="AB159" i="5" s="1"/>
  <c r="W63" i="5"/>
  <c r="AE62" i="5"/>
  <c r="AD62" i="5"/>
  <c r="AC62" i="5"/>
  <c r="AA62" i="5"/>
  <c r="Z62" i="5"/>
  <c r="AC59" i="5"/>
  <c r="AA59" i="5"/>
  <c r="Z59" i="5"/>
  <c r="X59" i="5"/>
  <c r="U59" i="5"/>
  <c r="S59" i="5"/>
  <c r="R59" i="5"/>
  <c r="P59" i="5"/>
  <c r="M59" i="5"/>
  <c r="K59" i="5"/>
  <c r="J59" i="5"/>
  <c r="H59" i="5"/>
  <c r="E59" i="5"/>
  <c r="AE58" i="5"/>
  <c r="O58" i="5"/>
  <c r="L58" i="5"/>
  <c r="D58" i="5"/>
  <c r="AC56" i="5"/>
  <c r="AA56" i="5"/>
  <c r="Z56" i="5"/>
  <c r="X56" i="5"/>
  <c r="U56" i="5"/>
  <c r="S56" i="5"/>
  <c r="R56" i="5"/>
  <c r="P56" i="5"/>
  <c r="M56" i="5"/>
  <c r="K56" i="5"/>
  <c r="J56" i="5"/>
  <c r="H56" i="5"/>
  <c r="E56" i="5"/>
  <c r="AE45" i="5"/>
  <c r="AD45" i="5"/>
  <c r="AC45" i="5"/>
  <c r="AC58" i="5" s="1"/>
  <c r="AB45" i="5"/>
  <c r="AA45" i="5"/>
  <c r="AA58" i="5" s="1"/>
  <c r="Z45" i="5"/>
  <c r="Z58" i="5" s="1"/>
  <c r="Y45" i="5"/>
  <c r="Y58" i="5" s="1"/>
  <c r="X45" i="5"/>
  <c r="X58" i="5" s="1"/>
  <c r="W45" i="5"/>
  <c r="V45" i="5"/>
  <c r="U45" i="5"/>
  <c r="U58" i="5" s="1"/>
  <c r="T45" i="5"/>
  <c r="S45" i="5"/>
  <c r="S58" i="5" s="1"/>
  <c r="R45" i="5"/>
  <c r="R58" i="5" s="1"/>
  <c r="Q45" i="5"/>
  <c r="Q58" i="5" s="1"/>
  <c r="P45" i="5"/>
  <c r="P58" i="5" s="1"/>
  <c r="O45" i="5"/>
  <c r="N45" i="5"/>
  <c r="M45" i="5"/>
  <c r="M58" i="5" s="1"/>
  <c r="L45" i="5"/>
  <c r="K45" i="5"/>
  <c r="K58" i="5" s="1"/>
  <c r="J45" i="5"/>
  <c r="J58" i="5" s="1"/>
  <c r="I45" i="5"/>
  <c r="I58" i="5" s="1"/>
  <c r="H45" i="5"/>
  <c r="H58" i="5" s="1"/>
  <c r="G45" i="5"/>
  <c r="F45" i="5"/>
  <c r="E45" i="5"/>
  <c r="E58" i="5" s="1"/>
  <c r="D45" i="5"/>
  <c r="AE44" i="5"/>
  <c r="AD44" i="5"/>
  <c r="AC44" i="5"/>
  <c r="AA44" i="5"/>
  <c r="Z44" i="5"/>
  <c r="AE41" i="5"/>
  <c r="AD41" i="5"/>
  <c r="AC41" i="5"/>
  <c r="AA41" i="5"/>
  <c r="Z41" i="5"/>
  <c r="Y41" i="5"/>
  <c r="X41" i="5"/>
  <c r="V41" i="5"/>
  <c r="U41" i="5"/>
  <c r="T41" i="5"/>
  <c r="S41" i="5"/>
  <c r="Q41" i="5"/>
  <c r="P41" i="5"/>
  <c r="O41" i="5"/>
  <c r="N41" i="5"/>
  <c r="M41" i="5"/>
  <c r="L41" i="5"/>
  <c r="K41" i="5"/>
  <c r="J41" i="5"/>
  <c r="I41" i="5"/>
  <c r="H41" i="5"/>
  <c r="G41" i="5"/>
  <c r="AE40" i="5"/>
  <c r="AD40" i="5"/>
  <c r="AC40" i="5"/>
  <c r="AB40" i="5"/>
  <c r="AA40" i="5"/>
  <c r="Z40" i="5"/>
  <c r="Y40" i="5"/>
  <c r="X40" i="5"/>
  <c r="V40" i="5"/>
  <c r="U40" i="5"/>
  <c r="T40" i="5"/>
  <c r="S40" i="5"/>
  <c r="Q40" i="5"/>
  <c r="P40" i="5"/>
  <c r="O40" i="5"/>
  <c r="N40" i="5"/>
  <c r="M40" i="5"/>
  <c r="L40" i="5"/>
  <c r="K40" i="5"/>
  <c r="J40" i="5"/>
  <c r="I40" i="5"/>
  <c r="H40" i="5"/>
  <c r="AE37" i="5"/>
  <c r="AD37" i="5"/>
  <c r="AC37" i="5"/>
  <c r="AA37" i="5"/>
  <c r="Z37" i="5"/>
  <c r="Y37" i="5"/>
  <c r="X37" i="5"/>
  <c r="W37" i="5"/>
  <c r="V37" i="5"/>
  <c r="U37" i="5"/>
  <c r="T37" i="5"/>
  <c r="S37" i="5"/>
  <c r="Q37" i="5"/>
  <c r="P37" i="5"/>
  <c r="O37" i="5"/>
  <c r="N37" i="5"/>
  <c r="M37" i="5"/>
  <c r="AE34" i="5"/>
  <c r="AD34" i="5"/>
  <c r="AC34" i="5"/>
  <c r="AA34" i="5"/>
  <c r="Z34" i="5"/>
  <c r="AE30" i="5"/>
  <c r="AD30" i="5"/>
  <c r="AC30" i="5"/>
  <c r="AB30" i="5"/>
  <c r="AA30" i="5"/>
  <c r="Z30" i="5"/>
  <c r="Y30" i="5"/>
  <c r="X30" i="5"/>
  <c r="W30" i="5"/>
  <c r="V30" i="5"/>
  <c r="U30" i="5"/>
  <c r="T30" i="5"/>
  <c r="S30" i="5"/>
  <c r="R30" i="5"/>
  <c r="Q30" i="5"/>
  <c r="P30" i="5"/>
  <c r="O30" i="5"/>
  <c r="N30" i="5"/>
  <c r="M30" i="5"/>
  <c r="L30" i="5"/>
  <c r="K30" i="5"/>
  <c r="J30" i="5"/>
  <c r="I30" i="5"/>
  <c r="H30" i="5"/>
  <c r="AE29" i="5"/>
  <c r="Z29" i="5"/>
  <c r="Y29" i="5"/>
  <c r="X29" i="5"/>
  <c r="W29" i="5"/>
  <c r="V29" i="5"/>
  <c r="U29" i="5"/>
  <c r="T29" i="5"/>
  <c r="S29" i="5"/>
  <c r="Q29" i="5"/>
  <c r="P29" i="5"/>
  <c r="O29" i="5"/>
  <c r="N29" i="5"/>
  <c r="J29" i="5"/>
  <c r="I29" i="5"/>
  <c r="H29" i="5"/>
  <c r="AB27" i="5"/>
  <c r="AB26" i="5"/>
  <c r="W26" i="5"/>
  <c r="R26" i="5"/>
  <c r="M26" i="5"/>
  <c r="H26" i="5"/>
  <c r="AE25" i="5"/>
  <c r="AE441" i="5" s="1"/>
  <c r="AD25" i="5"/>
  <c r="AC25" i="5"/>
  <c r="AC441" i="5" s="1"/>
  <c r="AA25" i="5"/>
  <c r="Z25" i="5"/>
  <c r="Z441" i="5" s="1"/>
  <c r="Y25" i="5"/>
  <c r="Y441" i="5" s="1"/>
  <c r="X25" i="5"/>
  <c r="X441" i="5" s="1"/>
  <c r="X442" i="5" s="1"/>
  <c r="W25" i="5"/>
  <c r="W441" i="5" s="1"/>
  <c r="R25" i="5"/>
  <c r="M25" i="5"/>
  <c r="M441" i="5" s="1"/>
  <c r="M442" i="5" s="1"/>
  <c r="L25" i="5"/>
  <c r="L441" i="5" s="1"/>
  <c r="K25" i="5"/>
  <c r="J25" i="5"/>
  <c r="J441" i="5" s="1"/>
  <c r="I25" i="5"/>
  <c r="I441" i="5" s="1"/>
  <c r="H25" i="5"/>
  <c r="H441" i="5" s="1"/>
  <c r="AB24" i="5"/>
  <c r="AB25" i="5" s="1"/>
  <c r="AB23" i="5"/>
  <c r="AB22" i="5"/>
  <c r="W22" i="5"/>
  <c r="R22" i="5"/>
  <c r="M22" i="5"/>
  <c r="H22" i="5"/>
  <c r="AB21" i="5"/>
  <c r="W21" i="5"/>
  <c r="R21" i="5"/>
  <c r="M21" i="5"/>
  <c r="H21" i="5"/>
  <c r="AB20" i="5"/>
  <c r="W20" i="5"/>
  <c r="R20" i="5"/>
  <c r="M20" i="5"/>
  <c r="H20" i="5"/>
  <c r="AB19" i="5"/>
  <c r="W19" i="5"/>
  <c r="R19" i="5"/>
  <c r="M19" i="5"/>
  <c r="H19" i="5"/>
  <c r="AB18" i="5"/>
  <c r="W18" i="5"/>
  <c r="R18" i="5"/>
  <c r="M18" i="5"/>
  <c r="H18" i="5"/>
  <c r="AB17" i="5"/>
  <c r="W17" i="5"/>
  <c r="R17" i="5"/>
  <c r="M17" i="5"/>
  <c r="H17" i="5"/>
  <c r="AB16" i="5"/>
  <c r="AB37" i="5" s="1"/>
  <c r="R16" i="5"/>
  <c r="G16" i="5"/>
  <c r="AB15" i="5"/>
  <c r="AB328" i="5" s="1"/>
  <c r="AB14" i="5"/>
  <c r="W14" i="5"/>
  <c r="W47" i="12" s="1"/>
  <c r="W50" i="12" s="1"/>
  <c r="R14" i="5"/>
  <c r="G14" i="5"/>
  <c r="F14" i="5"/>
  <c r="F47" i="12" s="1"/>
  <c r="F50" i="12" s="1"/>
  <c r="E14" i="5"/>
  <c r="E41" i="5" s="1"/>
  <c r="D14" i="5"/>
  <c r="D47" i="12" s="1"/>
  <c r="D50" i="12" s="1"/>
  <c r="AB13" i="5"/>
  <c r="AB12" i="5"/>
  <c r="W12" i="5"/>
  <c r="R12" i="5"/>
  <c r="M12" i="5"/>
  <c r="H12" i="5"/>
  <c r="AB11" i="5"/>
  <c r="W11" i="5"/>
  <c r="R11" i="5"/>
  <c r="M11" i="5"/>
  <c r="H11" i="5"/>
  <c r="AB10" i="5"/>
  <c r="W10" i="5"/>
  <c r="R10" i="5"/>
  <c r="M10" i="5"/>
  <c r="H10" i="5"/>
  <c r="AB9" i="5"/>
  <c r="W9" i="5"/>
  <c r="R9" i="5"/>
  <c r="M9" i="5"/>
  <c r="L9" i="5"/>
  <c r="K9" i="5"/>
  <c r="H9" i="5"/>
  <c r="G9" i="5"/>
  <c r="F9" i="5"/>
  <c r="E9" i="5"/>
  <c r="D9" i="5"/>
  <c r="AB8" i="5"/>
  <c r="W8" i="5"/>
  <c r="R8" i="5"/>
  <c r="M8" i="5"/>
  <c r="H8" i="5"/>
  <c r="AB7" i="5"/>
  <c r="W7" i="5"/>
  <c r="R7" i="5"/>
  <c r="M7" i="5"/>
  <c r="H7" i="5"/>
  <c r="AB5" i="5"/>
  <c r="W5" i="5"/>
  <c r="W41" i="5" s="1"/>
  <c r="R5" i="5"/>
  <c r="BX48" i="4"/>
  <c r="BS48" i="4"/>
  <c r="BN48" i="4"/>
  <c r="BI48" i="4"/>
  <c r="BD48" i="4"/>
  <c r="AY48" i="4"/>
  <c r="AT48" i="4"/>
  <c r="AO48" i="4"/>
  <c r="AJ48" i="4"/>
  <c r="AE48" i="4"/>
  <c r="Z48" i="4"/>
  <c r="U48" i="4"/>
  <c r="P48" i="4"/>
  <c r="K48" i="4"/>
  <c r="F48" i="4"/>
  <c r="BX47" i="4"/>
  <c r="BS47" i="4"/>
  <c r="BN47" i="4"/>
  <c r="BI47" i="4"/>
  <c r="BD47" i="4"/>
  <c r="BX43" i="4"/>
  <c r="BS43" i="4"/>
  <c r="BN43" i="4"/>
  <c r="BI43" i="4"/>
  <c r="BD43" i="4"/>
  <c r="AY43" i="4"/>
  <c r="BX40" i="4"/>
  <c r="BS40" i="4"/>
  <c r="BN40" i="4"/>
  <c r="BI40" i="4"/>
  <c r="BD40" i="4"/>
  <c r="AY40" i="4"/>
  <c r="AT40" i="4"/>
  <c r="AO40" i="4"/>
  <c r="AJ40" i="4"/>
  <c r="AE40" i="4"/>
  <c r="Z40" i="4"/>
  <c r="U40" i="4"/>
  <c r="P40" i="4"/>
  <c r="K40" i="4"/>
  <c r="F40" i="4"/>
  <c r="BX39" i="4"/>
  <c r="BS39" i="4"/>
  <c r="BN39" i="4"/>
  <c r="BI39" i="4"/>
  <c r="BD39" i="4"/>
  <c r="AY39" i="4"/>
  <c r="AT39" i="4"/>
  <c r="AO39" i="4"/>
  <c r="AJ39" i="4"/>
  <c r="AE39" i="4"/>
  <c r="Z39" i="4"/>
  <c r="U39" i="4"/>
  <c r="P39" i="4"/>
  <c r="K39" i="4"/>
  <c r="F39" i="4"/>
  <c r="BY35" i="4"/>
  <c r="CA33" i="4"/>
  <c r="BZ33" i="4"/>
  <c r="BY33" i="4"/>
  <c r="BW33" i="4"/>
  <c r="BV33" i="4"/>
  <c r="BU33" i="4"/>
  <c r="BT33" i="4"/>
  <c r="BR33" i="4"/>
  <c r="BQ33" i="4"/>
  <c r="BP33" i="4"/>
  <c r="BO33" i="4"/>
  <c r="BM33" i="4"/>
  <c r="BL33" i="4"/>
  <c r="BK33" i="4"/>
  <c r="BJ33" i="4"/>
  <c r="BH33" i="4"/>
  <c r="BG33" i="4"/>
  <c r="BF33" i="4"/>
  <c r="BE33" i="4"/>
  <c r="BC33" i="4"/>
  <c r="BB33" i="4"/>
  <c r="BA33" i="4"/>
  <c r="AZ33" i="4"/>
  <c r="AY33" i="4"/>
  <c r="AX33" i="4"/>
  <c r="AW33" i="4"/>
  <c r="AV33" i="4"/>
  <c r="AU33" i="4"/>
  <c r="AS33" i="4"/>
  <c r="AR33" i="4"/>
  <c r="AQ33" i="4"/>
  <c r="AP33" i="4"/>
  <c r="AO33" i="4"/>
  <c r="AN33" i="4"/>
  <c r="AM33" i="4"/>
  <c r="AL33" i="4"/>
  <c r="AK33" i="4"/>
  <c r="AI33" i="4"/>
  <c r="AH33" i="4"/>
  <c r="AG33" i="4"/>
  <c r="AF33" i="4"/>
  <c r="AD33" i="4"/>
  <c r="AC33" i="4"/>
  <c r="AB33" i="4"/>
  <c r="AA33" i="4"/>
  <c r="Y33" i="4"/>
  <c r="X33" i="4"/>
  <c r="W33" i="4"/>
  <c r="V33" i="4"/>
  <c r="T33" i="4"/>
  <c r="S33" i="4"/>
  <c r="R33" i="4"/>
  <c r="Q33" i="4"/>
  <c r="O33" i="4"/>
  <c r="N33" i="4"/>
  <c r="M33" i="4"/>
  <c r="L33" i="4"/>
  <c r="K33" i="4"/>
  <c r="J33" i="4"/>
  <c r="I33" i="4"/>
  <c r="H33" i="4"/>
  <c r="G33" i="4"/>
  <c r="E33" i="4"/>
  <c r="D33" i="4"/>
  <c r="C33" i="4"/>
  <c r="B33" i="4"/>
  <c r="CA32" i="4"/>
  <c r="BZ32" i="4"/>
  <c r="BY32" i="4"/>
  <c r="BW32" i="4"/>
  <c r="BV32" i="4"/>
  <c r="BU32" i="4"/>
  <c r="BT32" i="4"/>
  <c r="BP32" i="4"/>
  <c r="BO32" i="4"/>
  <c r="BM32" i="4"/>
  <c r="BK32" i="4"/>
  <c r="BH32" i="4"/>
  <c r="BE32" i="4"/>
  <c r="BC32" i="4"/>
  <c r="AZ32" i="4"/>
  <c r="AW32" i="4"/>
  <c r="AU32" i="4"/>
  <c r="AR32" i="4"/>
  <c r="AM32" i="4"/>
  <c r="AG32" i="4"/>
  <c r="AB32" i="4"/>
  <c r="Y32" i="4"/>
  <c r="W32" i="4"/>
  <c r="T32" i="4"/>
  <c r="Q32" i="4"/>
  <c r="O32" i="4"/>
  <c r="L32" i="4"/>
  <c r="I32" i="4"/>
  <c r="G32" i="4"/>
  <c r="D32" i="4"/>
  <c r="CA31" i="4"/>
  <c r="BZ31" i="4"/>
  <c r="BY31" i="4"/>
  <c r="BW31" i="4"/>
  <c r="BV31" i="4"/>
  <c r="BU31" i="4"/>
  <c r="BT31" i="4"/>
  <c r="BR31" i="4"/>
  <c r="BQ31" i="4"/>
  <c r="BP31" i="4"/>
  <c r="BO31" i="4"/>
  <c r="BM31" i="4"/>
  <c r="BL31" i="4"/>
  <c r="BK31" i="4"/>
  <c r="BJ31" i="4"/>
  <c r="BH31" i="4"/>
  <c r="BG31" i="4"/>
  <c r="BF31" i="4"/>
  <c r="BE31" i="4"/>
  <c r="BC31" i="4"/>
  <c r="BB31" i="4"/>
  <c r="BA31" i="4"/>
  <c r="AZ31" i="4"/>
  <c r="AX31" i="4"/>
  <c r="AW31" i="4"/>
  <c r="AV31" i="4"/>
  <c r="AU31" i="4"/>
  <c r="AS31" i="4"/>
  <c r="AR31" i="4"/>
  <c r="AQ31" i="4"/>
  <c r="AP31" i="4"/>
  <c r="AN31" i="4"/>
  <c r="AM31" i="4"/>
  <c r="AL31" i="4"/>
  <c r="AK31" i="4"/>
  <c r="AI31" i="4"/>
  <c r="AH31" i="4"/>
  <c r="AG31" i="4"/>
  <c r="AF31" i="4"/>
  <c r="AD31" i="4"/>
  <c r="AC31" i="4"/>
  <c r="AB31" i="4"/>
  <c r="AA31" i="4"/>
  <c r="Y31" i="4"/>
  <c r="X31" i="4"/>
  <c r="W31" i="4"/>
  <c r="V31" i="4"/>
  <c r="T31" i="4"/>
  <c r="S31" i="4"/>
  <c r="R31" i="4"/>
  <c r="Q31" i="4"/>
  <c r="O31" i="4"/>
  <c r="N31" i="4"/>
  <c r="M31" i="4"/>
  <c r="L31" i="4"/>
  <c r="J31" i="4"/>
  <c r="I31" i="4"/>
  <c r="H31" i="4"/>
  <c r="G31" i="4"/>
  <c r="E31" i="4"/>
  <c r="D31" i="4"/>
  <c r="C31" i="4"/>
  <c r="B31" i="4"/>
  <c r="BY30" i="4"/>
  <c r="BW30" i="4"/>
  <c r="BV30" i="4"/>
  <c r="BU30" i="4"/>
  <c r="BT30" i="4"/>
  <c r="BR30" i="4"/>
  <c r="BQ30" i="4"/>
  <c r="BP30" i="4"/>
  <c r="BO30" i="4"/>
  <c r="BM30" i="4"/>
  <c r="BL30" i="4"/>
  <c r="BK30" i="4"/>
  <c r="BJ30" i="4"/>
  <c r="BI30" i="4"/>
  <c r="BH30" i="4"/>
  <c r="BG30" i="4"/>
  <c r="BF30" i="4"/>
  <c r="BE30" i="4"/>
  <c r="BC30" i="4"/>
  <c r="BB30" i="4"/>
  <c r="BA30" i="4"/>
  <c r="AZ30" i="4"/>
  <c r="AY30" i="4"/>
  <c r="AX30" i="4"/>
  <c r="AW30" i="4"/>
  <c r="AV30" i="4"/>
  <c r="AU30" i="4"/>
  <c r="AT30" i="4"/>
  <c r="AS30" i="4"/>
  <c r="AR30" i="4"/>
  <c r="AQ30" i="4"/>
  <c r="AP30" i="4"/>
  <c r="AO30" i="4"/>
  <c r="AN30" i="4"/>
  <c r="AM30" i="4"/>
  <c r="AL30" i="4"/>
  <c r="AK30" i="4"/>
  <c r="AI30" i="4"/>
  <c r="AH30" i="4"/>
  <c r="AG30" i="4"/>
  <c r="AF30" i="4"/>
  <c r="AD30" i="4"/>
  <c r="AC30" i="4"/>
  <c r="AB30" i="4"/>
  <c r="AA30" i="4"/>
  <c r="Y30" i="4"/>
  <c r="X30" i="4"/>
  <c r="W30" i="4"/>
  <c r="V30" i="4"/>
  <c r="U30" i="4"/>
  <c r="T30" i="4"/>
  <c r="S30" i="4"/>
  <c r="R30" i="4"/>
  <c r="Q30" i="4"/>
  <c r="O30" i="4"/>
  <c r="N30" i="4"/>
  <c r="M30" i="4"/>
  <c r="L30" i="4"/>
  <c r="K30" i="4"/>
  <c r="J30" i="4"/>
  <c r="I30" i="4"/>
  <c r="H30" i="4"/>
  <c r="G30" i="4"/>
  <c r="F30" i="4"/>
  <c r="E30" i="4"/>
  <c r="D30" i="4"/>
  <c r="C30" i="4"/>
  <c r="B30" i="4"/>
  <c r="BY29" i="4"/>
  <c r="BW29" i="4"/>
  <c r="BV29" i="4"/>
  <c r="BU29" i="4"/>
  <c r="BT29" i="4"/>
  <c r="BS29" i="4"/>
  <c r="BR29" i="4"/>
  <c r="BQ29" i="4"/>
  <c r="BP29" i="4"/>
  <c r="BO29" i="4"/>
  <c r="BN29" i="4"/>
  <c r="BL29" i="4"/>
  <c r="BK29" i="4"/>
  <c r="BJ29" i="4"/>
  <c r="BH29" i="4"/>
  <c r="BG29" i="4"/>
  <c r="BF29" i="4"/>
  <c r="BE29" i="4"/>
  <c r="BD29" i="4"/>
  <c r="BC29" i="4"/>
  <c r="BB29" i="4"/>
  <c r="BA29" i="4"/>
  <c r="AZ29" i="4"/>
  <c r="AX29" i="4"/>
  <c r="AW29" i="4"/>
  <c r="AV29" i="4"/>
  <c r="AU29" i="4"/>
  <c r="AT29" i="4"/>
  <c r="AS29" i="4"/>
  <c r="AR29" i="4"/>
  <c r="AQ29" i="4"/>
  <c r="AP29" i="4"/>
  <c r="AO29" i="4"/>
  <c r="AN29" i="4"/>
  <c r="AM29" i="4"/>
  <c r="AL29" i="4"/>
  <c r="AK29" i="4"/>
  <c r="AJ29" i="4"/>
  <c r="AI29" i="4"/>
  <c r="AH29" i="4"/>
  <c r="AG29" i="4"/>
  <c r="AF29" i="4"/>
  <c r="AD29" i="4"/>
  <c r="AC29" i="4"/>
  <c r="AB29" i="4"/>
  <c r="AA29" i="4"/>
  <c r="Y29" i="4"/>
  <c r="X29" i="4"/>
  <c r="W29" i="4"/>
  <c r="V29" i="4"/>
  <c r="T29" i="4"/>
  <c r="S29" i="4"/>
  <c r="R29" i="4"/>
  <c r="Q29" i="4"/>
  <c r="P29" i="4"/>
  <c r="O29" i="4"/>
  <c r="N29" i="4"/>
  <c r="M29" i="4"/>
  <c r="L29" i="4"/>
  <c r="J29" i="4"/>
  <c r="I29" i="4"/>
  <c r="H29" i="4"/>
  <c r="G29" i="4"/>
  <c r="F29" i="4"/>
  <c r="E29" i="4"/>
  <c r="D29" i="4"/>
  <c r="C29" i="4"/>
  <c r="B29" i="4"/>
  <c r="BY28" i="4"/>
  <c r="BX28" i="4"/>
  <c r="BW28" i="4"/>
  <c r="BV28" i="4"/>
  <c r="BU28" i="4"/>
  <c r="BT28" i="4"/>
  <c r="BR28" i="4"/>
  <c r="BQ28" i="4"/>
  <c r="BP28" i="4"/>
  <c r="BO28" i="4"/>
  <c r="BN28" i="4"/>
  <c r="BL28" i="4"/>
  <c r="BK28" i="4"/>
  <c r="BJ28" i="4"/>
  <c r="BH28" i="4"/>
  <c r="BG28" i="4"/>
  <c r="BF28" i="4"/>
  <c r="BE28" i="4"/>
  <c r="BC28" i="4"/>
  <c r="BB28" i="4"/>
  <c r="BA28" i="4"/>
  <c r="AZ28" i="4"/>
  <c r="AY28" i="4"/>
  <c r="AX28" i="4"/>
  <c r="AW28" i="4"/>
  <c r="AV28" i="4"/>
  <c r="AU28" i="4"/>
  <c r="AS28" i="4"/>
  <c r="AR28" i="4"/>
  <c r="AQ28" i="4"/>
  <c r="AP28" i="4"/>
  <c r="AO28" i="4"/>
  <c r="AN28" i="4"/>
  <c r="AM28" i="4"/>
  <c r="AL28" i="4"/>
  <c r="AK28" i="4"/>
  <c r="AJ28" i="4"/>
  <c r="AI28" i="4"/>
  <c r="AH28" i="4"/>
  <c r="AG28" i="4"/>
  <c r="AF28" i="4"/>
  <c r="AE28" i="4"/>
  <c r="AD28" i="4"/>
  <c r="AC28" i="4"/>
  <c r="AB28" i="4"/>
  <c r="AA28" i="4"/>
  <c r="Y28" i="4"/>
  <c r="X28" i="4"/>
  <c r="W28" i="4"/>
  <c r="V28" i="4"/>
  <c r="T28" i="4"/>
  <c r="S28" i="4"/>
  <c r="R28" i="4"/>
  <c r="Q28" i="4"/>
  <c r="O28" i="4"/>
  <c r="N28" i="4"/>
  <c r="M28" i="4"/>
  <c r="L28" i="4"/>
  <c r="K28" i="4"/>
  <c r="J28" i="4"/>
  <c r="I28" i="4"/>
  <c r="H28" i="4"/>
  <c r="G28" i="4"/>
  <c r="E28" i="4"/>
  <c r="D28" i="4"/>
  <c r="C28" i="4"/>
  <c r="B28" i="4"/>
  <c r="BY27" i="4"/>
  <c r="BW27" i="4"/>
  <c r="BV27" i="4"/>
  <c r="BU27" i="4"/>
  <c r="BT27" i="4"/>
  <c r="BS27" i="4"/>
  <c r="BR27" i="4"/>
  <c r="BQ27" i="4"/>
  <c r="BP27" i="4"/>
  <c r="BO27" i="4"/>
  <c r="BL27" i="4"/>
  <c r="BK27" i="4"/>
  <c r="BJ27" i="4"/>
  <c r="BH27" i="4"/>
  <c r="BG27" i="4"/>
  <c r="BF27" i="4"/>
  <c r="BE27" i="4"/>
  <c r="BC27" i="4"/>
  <c r="BB27" i="4"/>
  <c r="BA27" i="4"/>
  <c r="AZ27" i="4"/>
  <c r="AX27" i="4"/>
  <c r="AW27" i="4"/>
  <c r="AV27" i="4"/>
  <c r="AU27" i="4"/>
  <c r="AT27" i="4"/>
  <c r="AS27" i="4"/>
  <c r="AR27" i="4"/>
  <c r="AQ27" i="4"/>
  <c r="AP27" i="4"/>
  <c r="AN27" i="4"/>
  <c r="AM27" i="4"/>
  <c r="AL27" i="4"/>
  <c r="AK27" i="4"/>
  <c r="AJ27" i="4"/>
  <c r="AI27" i="4"/>
  <c r="AH27" i="4"/>
  <c r="AG27" i="4"/>
  <c r="AF27" i="4"/>
  <c r="AE27" i="4"/>
  <c r="AD27" i="4"/>
  <c r="AC27" i="4"/>
  <c r="AB27" i="4"/>
  <c r="AA27" i="4"/>
  <c r="Z27" i="4"/>
  <c r="Y27" i="4"/>
  <c r="X27" i="4"/>
  <c r="W27" i="4"/>
  <c r="V27" i="4"/>
  <c r="T27" i="4"/>
  <c r="S27" i="4"/>
  <c r="R27" i="4"/>
  <c r="Q27" i="4"/>
  <c r="O27" i="4"/>
  <c r="N27" i="4"/>
  <c r="M27" i="4"/>
  <c r="L27" i="4"/>
  <c r="J27" i="4"/>
  <c r="I27" i="4"/>
  <c r="H27" i="4"/>
  <c r="G27" i="4"/>
  <c r="F27" i="4"/>
  <c r="E27" i="4"/>
  <c r="D27" i="4"/>
  <c r="C27" i="4"/>
  <c r="B27" i="4"/>
  <c r="BY26" i="4"/>
  <c r="BW26" i="4"/>
  <c r="BV26" i="4"/>
  <c r="BU26" i="4"/>
  <c r="BT26" i="4"/>
  <c r="BR26" i="4"/>
  <c r="BO26" i="4"/>
  <c r="BK26" i="4"/>
  <c r="BF26" i="4"/>
  <c r="BE26" i="4"/>
  <c r="BC26" i="4"/>
  <c r="BA26" i="4"/>
  <c r="AX26" i="4"/>
  <c r="AW26" i="4"/>
  <c r="AU26" i="4"/>
  <c r="AS26" i="4"/>
  <c r="AP26" i="4"/>
  <c r="AM26" i="4"/>
  <c r="AK26" i="4"/>
  <c r="AH26" i="4"/>
  <c r="AG26" i="4"/>
  <c r="AC26" i="4"/>
  <c r="Y26" i="4"/>
  <c r="W26" i="4"/>
  <c r="R26" i="4"/>
  <c r="Q26" i="4"/>
  <c r="O26" i="4"/>
  <c r="M26" i="4"/>
  <c r="J26" i="4"/>
  <c r="I26" i="4"/>
  <c r="G26" i="4"/>
  <c r="E26" i="4"/>
  <c r="B26" i="4"/>
  <c r="BW23" i="4"/>
  <c r="BV23" i="4"/>
  <c r="BV35" i="4" s="1"/>
  <c r="BU23" i="4"/>
  <c r="BT23" i="4"/>
  <c r="BX22" i="4"/>
  <c r="BS22" i="4"/>
  <c r="BN22" i="4"/>
  <c r="BI22" i="4"/>
  <c r="BI33" i="4" s="1"/>
  <c r="BD22" i="4"/>
  <c r="AY22" i="4"/>
  <c r="AT22" i="4"/>
  <c r="AT33" i="4" s="1"/>
  <c r="AO22" i="4"/>
  <c r="AJ22" i="4"/>
  <c r="AE22" i="4"/>
  <c r="Z22" i="4"/>
  <c r="U22" i="4"/>
  <c r="U33" i="4" s="1"/>
  <c r="P22" i="4"/>
  <c r="K22" i="4"/>
  <c r="F22" i="4"/>
  <c r="F33" i="4" s="1"/>
  <c r="BX21" i="4"/>
  <c r="BS21" i="4"/>
  <c r="BN21" i="4"/>
  <c r="BN31" i="4" s="1"/>
  <c r="BI21" i="4"/>
  <c r="BD21" i="4"/>
  <c r="AY21" i="4"/>
  <c r="AT21" i="4"/>
  <c r="AO21" i="4"/>
  <c r="AJ21" i="4"/>
  <c r="AE21" i="4"/>
  <c r="Z21" i="4"/>
  <c r="Z31" i="4" s="1"/>
  <c r="U21" i="4"/>
  <c r="P21" i="4"/>
  <c r="K21" i="4"/>
  <c r="F21" i="4"/>
  <c r="BX20" i="4"/>
  <c r="BS20" i="4"/>
  <c r="BN20" i="4"/>
  <c r="BI20" i="4"/>
  <c r="BD20" i="4"/>
  <c r="AY20" i="4"/>
  <c r="AT20" i="4"/>
  <c r="AO20" i="4"/>
  <c r="AJ20" i="4"/>
  <c r="AJ17" i="4" s="1"/>
  <c r="AJ23" i="4" s="1"/>
  <c r="AE20" i="4"/>
  <c r="Z20" i="4"/>
  <c r="U20" i="4"/>
  <c r="P20" i="4"/>
  <c r="K20" i="4"/>
  <c r="F20" i="4"/>
  <c r="BX19" i="4"/>
  <c r="BS19" i="4"/>
  <c r="BS17" i="4" s="1"/>
  <c r="BS23" i="4" s="1"/>
  <c r="BN19" i="4"/>
  <c r="BI19" i="4"/>
  <c r="BD19" i="4"/>
  <c r="AY19" i="4"/>
  <c r="AT19" i="4"/>
  <c r="AO19" i="4"/>
  <c r="AJ19" i="4"/>
  <c r="AE19" i="4"/>
  <c r="AE17" i="4" s="1"/>
  <c r="AE23" i="4" s="1"/>
  <c r="Z19" i="4"/>
  <c r="U19" i="4"/>
  <c r="P19" i="4"/>
  <c r="K19" i="4"/>
  <c r="F19" i="4"/>
  <c r="BX18" i="4"/>
  <c r="BS18" i="4"/>
  <c r="BN18" i="4"/>
  <c r="BN17" i="4" s="1"/>
  <c r="BN23" i="4" s="1"/>
  <c r="BI18" i="4"/>
  <c r="BI17" i="4" s="1"/>
  <c r="BI23" i="4" s="1"/>
  <c r="BD18" i="4"/>
  <c r="AY18" i="4"/>
  <c r="AY17" i="4" s="1"/>
  <c r="AY23" i="4" s="1"/>
  <c r="AT18" i="4"/>
  <c r="AO18" i="4"/>
  <c r="AO17" i="4" s="1"/>
  <c r="AO23" i="4" s="1"/>
  <c r="AJ18" i="4"/>
  <c r="AE18" i="4"/>
  <c r="Z18" i="4"/>
  <c r="Z17" i="4" s="1"/>
  <c r="Z23" i="4" s="1"/>
  <c r="U18" i="4"/>
  <c r="U17" i="4" s="1"/>
  <c r="U23" i="4" s="1"/>
  <c r="P18" i="4"/>
  <c r="K18" i="4"/>
  <c r="K17" i="4" s="1"/>
  <c r="K23" i="4" s="1"/>
  <c r="F18" i="4"/>
  <c r="BX17" i="4"/>
  <c r="BX23" i="4" s="1"/>
  <c r="BR17" i="4"/>
  <c r="BR23" i="4" s="1"/>
  <c r="BQ17" i="4"/>
  <c r="BQ23" i="4" s="1"/>
  <c r="BP17" i="4"/>
  <c r="BP23" i="4" s="1"/>
  <c r="BL17" i="4"/>
  <c r="BL23" i="4" s="1"/>
  <c r="BK17" i="4"/>
  <c r="BK23" i="4" s="1"/>
  <c r="BJ17" i="4"/>
  <c r="BJ23" i="4" s="1"/>
  <c r="BH17" i="4"/>
  <c r="BH23" i="4" s="1"/>
  <c r="BG17" i="4"/>
  <c r="BG23" i="4" s="1"/>
  <c r="BF17" i="4"/>
  <c r="BF23" i="4" s="1"/>
  <c r="BE17" i="4"/>
  <c r="BE23" i="4" s="1"/>
  <c r="BD17" i="4"/>
  <c r="BD23" i="4" s="1"/>
  <c r="BC17" i="4"/>
  <c r="BC23" i="4" s="1"/>
  <c r="BB17" i="4"/>
  <c r="BB23" i="4" s="1"/>
  <c r="BA17" i="4"/>
  <c r="BA23" i="4" s="1"/>
  <c r="AZ17" i="4"/>
  <c r="AZ23" i="4" s="1"/>
  <c r="AX17" i="4"/>
  <c r="AX23" i="4" s="1"/>
  <c r="AW17" i="4"/>
  <c r="AW23" i="4" s="1"/>
  <c r="AV17" i="4"/>
  <c r="AV23" i="4" s="1"/>
  <c r="AU17" i="4"/>
  <c r="AU23" i="4" s="1"/>
  <c r="AT17" i="4"/>
  <c r="AT23" i="4" s="1"/>
  <c r="AS17" i="4"/>
  <c r="AS23" i="4" s="1"/>
  <c r="AR17" i="4"/>
  <c r="AR23" i="4" s="1"/>
  <c r="AQ17" i="4"/>
  <c r="AQ23" i="4" s="1"/>
  <c r="AP17" i="4"/>
  <c r="AP23" i="4" s="1"/>
  <c r="AN17" i="4"/>
  <c r="AN23" i="4" s="1"/>
  <c r="AM17" i="4"/>
  <c r="AM23" i="4" s="1"/>
  <c r="AL17" i="4"/>
  <c r="AL23" i="4" s="1"/>
  <c r="AK17" i="4"/>
  <c r="AK23" i="4" s="1"/>
  <c r="AI17" i="4"/>
  <c r="AI23" i="4" s="1"/>
  <c r="AH17" i="4"/>
  <c r="AH23" i="4" s="1"/>
  <c r="AG17" i="4"/>
  <c r="AG23" i="4" s="1"/>
  <c r="AF17" i="4"/>
  <c r="AF23" i="4" s="1"/>
  <c r="AD17" i="4"/>
  <c r="AD23" i="4" s="1"/>
  <c r="AC17" i="4"/>
  <c r="AC23" i="4" s="1"/>
  <c r="AB17" i="4"/>
  <c r="AB23" i="4" s="1"/>
  <c r="AA17" i="4"/>
  <c r="AA23" i="4" s="1"/>
  <c r="Y17" i="4"/>
  <c r="Y23" i="4" s="1"/>
  <c r="X17" i="4"/>
  <c r="X23" i="4" s="1"/>
  <c r="W17" i="4"/>
  <c r="W23" i="4" s="1"/>
  <c r="V17" i="4"/>
  <c r="V23" i="4" s="1"/>
  <c r="T17" i="4"/>
  <c r="T23" i="4" s="1"/>
  <c r="S17" i="4"/>
  <c r="S23" i="4" s="1"/>
  <c r="R17" i="4"/>
  <c r="R23" i="4" s="1"/>
  <c r="Q17" i="4"/>
  <c r="Q23" i="4" s="1"/>
  <c r="P17" i="4"/>
  <c r="P23" i="4" s="1"/>
  <c r="O17" i="4"/>
  <c r="O23" i="4" s="1"/>
  <c r="N17" i="4"/>
  <c r="N23" i="4" s="1"/>
  <c r="M17" i="4"/>
  <c r="M23" i="4" s="1"/>
  <c r="L17" i="4"/>
  <c r="L23" i="4" s="1"/>
  <c r="J17" i="4"/>
  <c r="J23" i="4" s="1"/>
  <c r="I17" i="4"/>
  <c r="I23" i="4" s="1"/>
  <c r="H17" i="4"/>
  <c r="H23" i="4" s="1"/>
  <c r="G17" i="4"/>
  <c r="G23" i="4" s="1"/>
  <c r="F17" i="4"/>
  <c r="F23" i="4" s="1"/>
  <c r="E17" i="4"/>
  <c r="E23" i="4" s="1"/>
  <c r="D17" i="4"/>
  <c r="D23" i="4" s="1"/>
  <c r="C17" i="4"/>
  <c r="C23" i="4" s="1"/>
  <c r="B17" i="4"/>
  <c r="B23" i="4" s="1"/>
  <c r="BW14" i="4"/>
  <c r="BW35" i="4" s="1"/>
  <c r="BV14" i="4"/>
  <c r="BU14" i="4"/>
  <c r="BU35" i="4" s="1"/>
  <c r="BT14" i="4"/>
  <c r="BT35" i="4" s="1"/>
  <c r="BR14" i="4"/>
  <c r="BK14" i="4"/>
  <c r="BK35" i="4" s="1"/>
  <c r="BH14" i="4"/>
  <c r="BH35" i="4" s="1"/>
  <c r="BE14" i="4"/>
  <c r="BE35" i="4" s="1"/>
  <c r="BC14" i="4"/>
  <c r="AZ14" i="4"/>
  <c r="AZ35" i="4" s="1"/>
  <c r="AW14" i="4"/>
  <c r="AU14" i="4"/>
  <c r="AU35" i="4" s="1"/>
  <c r="AR14" i="4"/>
  <c r="AM14" i="4"/>
  <c r="AG14" i="4"/>
  <c r="AG35" i="4" s="1"/>
  <c r="AB14" i="4"/>
  <c r="AB35" i="4" s="1"/>
  <c r="Y14" i="4"/>
  <c r="Y35" i="4" s="1"/>
  <c r="W14" i="4"/>
  <c r="W35" i="4" s="1"/>
  <c r="T14" i="4"/>
  <c r="Q14" i="4"/>
  <c r="Q35" i="4" s="1"/>
  <c r="O14" i="4"/>
  <c r="L14" i="4"/>
  <c r="I14" i="4"/>
  <c r="I35" i="4" s="1"/>
  <c r="G14" i="4"/>
  <c r="G35" i="4" s="1"/>
  <c r="D14" i="4"/>
  <c r="BX13" i="4"/>
  <c r="BX33" i="4" s="1"/>
  <c r="BS13" i="4"/>
  <c r="BS33" i="4" s="1"/>
  <c r="BN13" i="4"/>
  <c r="BN33" i="4" s="1"/>
  <c r="BI13" i="4"/>
  <c r="BD13" i="4"/>
  <c r="BD33" i="4" s="1"/>
  <c r="AY13" i="4"/>
  <c r="AT13" i="4"/>
  <c r="AO13" i="4"/>
  <c r="AJ13" i="4"/>
  <c r="AJ33" i="4" s="1"/>
  <c r="AE13" i="4"/>
  <c r="AE33" i="4" s="1"/>
  <c r="Z13" i="4"/>
  <c r="Z33" i="4" s="1"/>
  <c r="U13" i="4"/>
  <c r="P13" i="4"/>
  <c r="P33" i="4" s="1"/>
  <c r="K13" i="4"/>
  <c r="F13" i="4"/>
  <c r="BX12" i="4"/>
  <c r="BX31" i="4" s="1"/>
  <c r="BS12" i="4"/>
  <c r="BS31" i="4" s="1"/>
  <c r="BN12" i="4"/>
  <c r="BI12" i="4"/>
  <c r="BI31" i="4" s="1"/>
  <c r="BD12" i="4"/>
  <c r="BD31" i="4" s="1"/>
  <c r="AY12" i="4"/>
  <c r="AY31" i="4" s="1"/>
  <c r="AT12" i="4"/>
  <c r="AT31" i="4" s="1"/>
  <c r="AO12" i="4"/>
  <c r="AO31" i="4" s="1"/>
  <c r="AJ12" i="4"/>
  <c r="AJ31" i="4" s="1"/>
  <c r="AE12" i="4"/>
  <c r="AE31" i="4" s="1"/>
  <c r="Z12" i="4"/>
  <c r="U12" i="4"/>
  <c r="U31" i="4" s="1"/>
  <c r="P12" i="4"/>
  <c r="P31" i="4" s="1"/>
  <c r="K12" i="4"/>
  <c r="K31" i="4" s="1"/>
  <c r="F12" i="4"/>
  <c r="F31" i="4" s="1"/>
  <c r="BX11" i="4"/>
  <c r="BX30" i="4" s="1"/>
  <c r="BS11" i="4"/>
  <c r="BS30" i="4" s="1"/>
  <c r="BN11" i="4"/>
  <c r="BN30" i="4" s="1"/>
  <c r="BI11" i="4"/>
  <c r="BD11" i="4"/>
  <c r="BD30" i="4" s="1"/>
  <c r="AY11" i="4"/>
  <c r="AT11" i="4"/>
  <c r="AO11" i="4"/>
  <c r="AJ11" i="4"/>
  <c r="AJ30" i="4" s="1"/>
  <c r="AE11" i="4"/>
  <c r="AE30" i="4" s="1"/>
  <c r="Z11" i="4"/>
  <c r="Z30" i="4" s="1"/>
  <c r="U11" i="4"/>
  <c r="P11" i="4"/>
  <c r="P30" i="4" s="1"/>
  <c r="K11" i="4"/>
  <c r="F11" i="4"/>
  <c r="BX10" i="4"/>
  <c r="BX29" i="4" s="1"/>
  <c r="BS10" i="4"/>
  <c r="BN10" i="4"/>
  <c r="BI10" i="4"/>
  <c r="BI29" i="4" s="1"/>
  <c r="BD10" i="4"/>
  <c r="AY10" i="4"/>
  <c r="AY29" i="4" s="1"/>
  <c r="AT10" i="4"/>
  <c r="AO10" i="4"/>
  <c r="AJ10" i="4"/>
  <c r="AJ7" i="4" s="1"/>
  <c r="AE10" i="4"/>
  <c r="AE29" i="4" s="1"/>
  <c r="Z10" i="4"/>
  <c r="Z29" i="4" s="1"/>
  <c r="U10" i="4"/>
  <c r="U29" i="4" s="1"/>
  <c r="P10" i="4"/>
  <c r="K10" i="4"/>
  <c r="K29" i="4" s="1"/>
  <c r="F10" i="4"/>
  <c r="BX9" i="4"/>
  <c r="BS9" i="4"/>
  <c r="BS28" i="4" s="1"/>
  <c r="BN9" i="4"/>
  <c r="BI9" i="4"/>
  <c r="BI28" i="4" s="1"/>
  <c r="BD9" i="4"/>
  <c r="BD28" i="4" s="1"/>
  <c r="AY9" i="4"/>
  <c r="AT9" i="4"/>
  <c r="AT28" i="4" s="1"/>
  <c r="AO9" i="4"/>
  <c r="AJ9" i="4"/>
  <c r="AE9" i="4"/>
  <c r="AE7" i="4" s="1"/>
  <c r="Z9" i="4"/>
  <c r="Z28" i="4" s="1"/>
  <c r="U9" i="4"/>
  <c r="U28" i="4" s="1"/>
  <c r="P9" i="4"/>
  <c r="P28" i="4" s="1"/>
  <c r="K9" i="4"/>
  <c r="F9" i="4"/>
  <c r="F28" i="4" s="1"/>
  <c r="BX8" i="4"/>
  <c r="BX27" i="4" s="1"/>
  <c r="BS8" i="4"/>
  <c r="BN8" i="4"/>
  <c r="BN27" i="4" s="1"/>
  <c r="BI8" i="4"/>
  <c r="BI7" i="4" s="1"/>
  <c r="BD8" i="4"/>
  <c r="BD27" i="4" s="1"/>
  <c r="AY8" i="4"/>
  <c r="AY7" i="4" s="1"/>
  <c r="AT8" i="4"/>
  <c r="AO8" i="4"/>
  <c r="AO27" i="4" s="1"/>
  <c r="AJ8" i="4"/>
  <c r="AE8" i="4"/>
  <c r="Z8" i="4"/>
  <c r="Z7" i="4" s="1"/>
  <c r="U8" i="4"/>
  <c r="U7" i="4" s="1"/>
  <c r="P8" i="4"/>
  <c r="P27" i="4" s="1"/>
  <c r="K8" i="4"/>
  <c r="K7" i="4" s="1"/>
  <c r="F8" i="4"/>
  <c r="BX7" i="4"/>
  <c r="BX26" i="4" s="1"/>
  <c r="BR7" i="4"/>
  <c r="BR32" i="4" s="1"/>
  <c r="BQ7" i="4"/>
  <c r="BQ26" i="4" s="1"/>
  <c r="BP7" i="4"/>
  <c r="BP26" i="4" s="1"/>
  <c r="BL7" i="4"/>
  <c r="BL26" i="4" s="1"/>
  <c r="BK7" i="4"/>
  <c r="BJ7" i="4"/>
  <c r="BJ32" i="4" s="1"/>
  <c r="BH7" i="4"/>
  <c r="BH26" i="4" s="1"/>
  <c r="BG7" i="4"/>
  <c r="BG26" i="4" s="1"/>
  <c r="BF7" i="4"/>
  <c r="BF32" i="4" s="1"/>
  <c r="BE7" i="4"/>
  <c r="BD7" i="4"/>
  <c r="BD26" i="4" s="1"/>
  <c r="BC7" i="4"/>
  <c r="BB7" i="4"/>
  <c r="BB32" i="4" s="1"/>
  <c r="BA7" i="4"/>
  <c r="BA32" i="4" s="1"/>
  <c r="AZ7" i="4"/>
  <c r="AZ26" i="4" s="1"/>
  <c r="AX7" i="4"/>
  <c r="AX32" i="4" s="1"/>
  <c r="AW7" i="4"/>
  <c r="AV7" i="4"/>
  <c r="AV26" i="4" s="1"/>
  <c r="AU7" i="4"/>
  <c r="AT7" i="4"/>
  <c r="AT32" i="4" s="1"/>
  <c r="AS7" i="4"/>
  <c r="AS32" i="4" s="1"/>
  <c r="AR7" i="4"/>
  <c r="AR26" i="4" s="1"/>
  <c r="AQ7" i="4"/>
  <c r="AQ26" i="4" s="1"/>
  <c r="AP7" i="4"/>
  <c r="AP32" i="4" s="1"/>
  <c r="AN7" i="4"/>
  <c r="AN26" i="4" s="1"/>
  <c r="AM7" i="4"/>
  <c r="AL7" i="4"/>
  <c r="AL32" i="4" s="1"/>
  <c r="AK7" i="4"/>
  <c r="AK32" i="4" s="1"/>
  <c r="AI7" i="4"/>
  <c r="AI26" i="4" s="1"/>
  <c r="AH7" i="4"/>
  <c r="AH32" i="4" s="1"/>
  <c r="AG7" i="4"/>
  <c r="AF7" i="4"/>
  <c r="AF26" i="4" s="1"/>
  <c r="AD7" i="4"/>
  <c r="AD32" i="4" s="1"/>
  <c r="AC7" i="4"/>
  <c r="AC32" i="4" s="1"/>
  <c r="AB7" i="4"/>
  <c r="AB26" i="4" s="1"/>
  <c r="AA7" i="4"/>
  <c r="AA26" i="4" s="1"/>
  <c r="Y7" i="4"/>
  <c r="X7" i="4"/>
  <c r="X26" i="4" s="1"/>
  <c r="W7" i="4"/>
  <c r="V7" i="4"/>
  <c r="V32" i="4" s="1"/>
  <c r="T7" i="4"/>
  <c r="T26" i="4" s="1"/>
  <c r="S7" i="4"/>
  <c r="S26" i="4" s="1"/>
  <c r="R7" i="4"/>
  <c r="R32" i="4" s="1"/>
  <c r="Q7" i="4"/>
  <c r="P7" i="4"/>
  <c r="P26" i="4" s="1"/>
  <c r="O7" i="4"/>
  <c r="N7" i="4"/>
  <c r="N32" i="4" s="1"/>
  <c r="M7" i="4"/>
  <c r="M32" i="4" s="1"/>
  <c r="L7" i="4"/>
  <c r="L26" i="4" s="1"/>
  <c r="J7" i="4"/>
  <c r="J32" i="4" s="1"/>
  <c r="I7" i="4"/>
  <c r="H7" i="4"/>
  <c r="H26" i="4" s="1"/>
  <c r="G7" i="4"/>
  <c r="F7" i="4"/>
  <c r="F32" i="4" s="1"/>
  <c r="E7" i="4"/>
  <c r="E32" i="4" s="1"/>
  <c r="D7" i="4"/>
  <c r="D26" i="4" s="1"/>
  <c r="C7" i="4"/>
  <c r="C26" i="4" s="1"/>
  <c r="B7" i="4"/>
  <c r="B32" i="4" s="1"/>
  <c r="AE26" i="4" l="1"/>
  <c r="AE32" i="4"/>
  <c r="AE14" i="4"/>
  <c r="AE35" i="4" s="1"/>
  <c r="AY26" i="4"/>
  <c r="AY32" i="4"/>
  <c r="AY14" i="4"/>
  <c r="AY35" i="4" s="1"/>
  <c r="K26" i="4"/>
  <c r="K32" i="4"/>
  <c r="K14" i="4"/>
  <c r="K35" i="4" s="1"/>
  <c r="D35" i="4"/>
  <c r="BC35" i="4"/>
  <c r="BI32" i="4"/>
  <c r="BI14" i="4"/>
  <c r="BI35" i="4" s="1"/>
  <c r="BI26" i="4"/>
  <c r="AM35" i="4"/>
  <c r="Z26" i="4"/>
  <c r="Z32" i="4"/>
  <c r="Z14" i="4"/>
  <c r="Z35" i="4" s="1"/>
  <c r="L35" i="4"/>
  <c r="O35" i="4"/>
  <c r="AR35" i="4"/>
  <c r="BR35" i="4"/>
  <c r="U32" i="4"/>
  <c r="U14" i="4"/>
  <c r="U35" i="4" s="1"/>
  <c r="U26" i="4"/>
  <c r="AJ26" i="4"/>
  <c r="AJ32" i="4"/>
  <c r="AJ14" i="4"/>
  <c r="AJ35" i="4" s="1"/>
  <c r="T35" i="4"/>
  <c r="AW35" i="4"/>
  <c r="V59" i="5"/>
  <c r="V56" i="5"/>
  <c r="W214" i="5"/>
  <c r="E166" i="5"/>
  <c r="F59" i="5"/>
  <c r="F56" i="5"/>
  <c r="N59" i="5"/>
  <c r="N56" i="5"/>
  <c r="AD59" i="5"/>
  <c r="AD56" i="5"/>
  <c r="F58" i="5"/>
  <c r="AB84" i="5"/>
  <c r="AB161" i="5"/>
  <c r="AB75" i="5"/>
  <c r="AB124" i="5"/>
  <c r="K78" i="5"/>
  <c r="K76" i="5"/>
  <c r="K74" i="5"/>
  <c r="K88" i="5"/>
  <c r="S78" i="5"/>
  <c r="S76" i="5"/>
  <c r="S74" i="5"/>
  <c r="S88" i="5"/>
  <c r="AB70" i="5"/>
  <c r="AB79" i="5" s="1"/>
  <c r="S73" i="5"/>
  <c r="S75" i="5"/>
  <c r="K79" i="5"/>
  <c r="W327" i="5"/>
  <c r="W337" i="5" s="1"/>
  <c r="W284" i="5"/>
  <c r="M166" i="5"/>
  <c r="J321" i="5"/>
  <c r="J331" i="5" s="1"/>
  <c r="H14" i="4"/>
  <c r="H35" i="4" s="1"/>
  <c r="P14" i="4"/>
  <c r="P35" i="4" s="1"/>
  <c r="X14" i="4"/>
  <c r="X35" i="4" s="1"/>
  <c r="AF14" i="4"/>
  <c r="AF35" i="4" s="1"/>
  <c r="AN14" i="4"/>
  <c r="AN35" i="4" s="1"/>
  <c r="AV14" i="4"/>
  <c r="AV35" i="4" s="1"/>
  <c r="BD14" i="4"/>
  <c r="BD35" i="4" s="1"/>
  <c r="BL14" i="4"/>
  <c r="BL35" i="4" s="1"/>
  <c r="F26" i="4"/>
  <c r="N26" i="4"/>
  <c r="V26" i="4"/>
  <c r="AD26" i="4"/>
  <c r="AL26" i="4"/>
  <c r="AT26" i="4"/>
  <c r="BB26" i="4"/>
  <c r="BJ26" i="4"/>
  <c r="K27" i="4"/>
  <c r="AY27" i="4"/>
  <c r="H32" i="4"/>
  <c r="P32" i="4"/>
  <c r="X32" i="4"/>
  <c r="AF32" i="4"/>
  <c r="AN32" i="4"/>
  <c r="AV32" i="4"/>
  <c r="BD32" i="4"/>
  <c r="BL32" i="4"/>
  <c r="E16" i="5"/>
  <c r="AC29" i="5"/>
  <c r="G59" i="5"/>
  <c r="G56" i="5"/>
  <c r="O59" i="5"/>
  <c r="O56" i="5"/>
  <c r="W59" i="5"/>
  <c r="W56" i="5"/>
  <c r="AE59" i="5"/>
  <c r="AE56" i="5"/>
  <c r="G58" i="5"/>
  <c r="W224" i="5"/>
  <c r="W162" i="5"/>
  <c r="W85" i="5"/>
  <c r="D79" i="5"/>
  <c r="D77" i="5"/>
  <c r="D75" i="5"/>
  <c r="D73" i="5"/>
  <c r="D128" i="5"/>
  <c r="D78" i="5"/>
  <c r="D76" i="5"/>
  <c r="D74" i="5"/>
  <c r="L79" i="5"/>
  <c r="L77" i="5"/>
  <c r="L75" i="5"/>
  <c r="L73" i="5"/>
  <c r="L128" i="5"/>
  <c r="L78" i="5"/>
  <c r="L76" i="5"/>
  <c r="L74" i="5"/>
  <c r="T79" i="5"/>
  <c r="T77" i="5"/>
  <c r="T75" i="5"/>
  <c r="T73" i="5"/>
  <c r="T128" i="5"/>
  <c r="T78" i="5"/>
  <c r="T76" i="5"/>
  <c r="T74" i="5"/>
  <c r="Z109" i="5"/>
  <c r="Z107" i="5"/>
  <c r="Z105" i="5"/>
  <c r="Z110" i="5"/>
  <c r="Z128" i="5"/>
  <c r="Z148" i="5"/>
  <c r="Z143" i="5"/>
  <c r="F155" i="5"/>
  <c r="X321" i="5"/>
  <c r="X331" i="5" s="1"/>
  <c r="AA443" i="5"/>
  <c r="AA365" i="5"/>
  <c r="AA308" i="5"/>
  <c r="AA304" i="5"/>
  <c r="AA306" i="5"/>
  <c r="AA302" i="5"/>
  <c r="Y313" i="5"/>
  <c r="N315" i="5"/>
  <c r="S315" i="5"/>
  <c r="V315" i="5"/>
  <c r="AA315" i="5"/>
  <c r="J148" i="5"/>
  <c r="J143" i="5"/>
  <c r="R322" i="5"/>
  <c r="R332" i="5" s="1"/>
  <c r="R203" i="5"/>
  <c r="M293" i="5"/>
  <c r="L251" i="5"/>
  <c r="L325" i="5"/>
  <c r="L335" i="5" s="1"/>
  <c r="S443" i="5"/>
  <c r="S365" i="5"/>
  <c r="S306" i="5"/>
  <c r="S302" i="5"/>
  <c r="S304" i="5"/>
  <c r="S308" i="5"/>
  <c r="K444" i="11"/>
  <c r="K318" i="11"/>
  <c r="K303" i="11"/>
  <c r="K365" i="11"/>
  <c r="K302" i="11"/>
  <c r="K308" i="11"/>
  <c r="AO7" i="4"/>
  <c r="BN7" i="4"/>
  <c r="B14" i="4"/>
  <c r="B35" i="4" s="1"/>
  <c r="J14" i="4"/>
  <c r="J35" i="4" s="1"/>
  <c r="R14" i="4"/>
  <c r="R35" i="4" s="1"/>
  <c r="AH14" i="4"/>
  <c r="AH35" i="4" s="1"/>
  <c r="AP14" i="4"/>
  <c r="AP35" i="4" s="1"/>
  <c r="AX14" i="4"/>
  <c r="AX35" i="4" s="1"/>
  <c r="BF14" i="4"/>
  <c r="BF35" i="4" s="1"/>
  <c r="BP14" i="4"/>
  <c r="BP35" i="4" s="1"/>
  <c r="BX14" i="4"/>
  <c r="BX35" i="4" s="1"/>
  <c r="U27" i="4"/>
  <c r="BI27" i="4"/>
  <c r="AB345" i="5"/>
  <c r="AB132" i="5"/>
  <c r="R37" i="5"/>
  <c r="R147" i="5"/>
  <c r="R148" i="5" s="1"/>
  <c r="R40" i="5"/>
  <c r="K441" i="5"/>
  <c r="K29" i="5"/>
  <c r="AA441" i="5"/>
  <c r="AA29" i="5"/>
  <c r="N58" i="5"/>
  <c r="K77" i="5"/>
  <c r="S79" i="5"/>
  <c r="AB125" i="5"/>
  <c r="M110" i="5"/>
  <c r="M108" i="5"/>
  <c r="M106" i="5"/>
  <c r="M104" i="5"/>
  <c r="M128" i="5"/>
  <c r="J109" i="5"/>
  <c r="J107" i="5"/>
  <c r="J105" i="5"/>
  <c r="J110" i="5"/>
  <c r="J128" i="5"/>
  <c r="S110" i="5"/>
  <c r="S108" i="5"/>
  <c r="S106" i="5"/>
  <c r="S104" i="5"/>
  <c r="S109" i="5"/>
  <c r="S107" i="5"/>
  <c r="S105" i="5"/>
  <c r="M109" i="5"/>
  <c r="V155" i="5"/>
  <c r="V153" i="5"/>
  <c r="AD155" i="5"/>
  <c r="AD153" i="5"/>
  <c r="H135" i="5"/>
  <c r="H153" i="5" s="1"/>
  <c r="S152" i="5"/>
  <c r="K321" i="5"/>
  <c r="K331" i="5" s="1"/>
  <c r="K179" i="5"/>
  <c r="AB322" i="5"/>
  <c r="AB332" i="5" s="1"/>
  <c r="L37" i="5"/>
  <c r="G147" i="5"/>
  <c r="G148" i="5" s="1"/>
  <c r="G40" i="5"/>
  <c r="G23" i="5"/>
  <c r="R109" i="5"/>
  <c r="R107" i="5"/>
  <c r="R105" i="5"/>
  <c r="R110" i="5"/>
  <c r="R128" i="5"/>
  <c r="H299" i="5"/>
  <c r="H304" i="5" s="1"/>
  <c r="M203" i="5"/>
  <c r="C14" i="4"/>
  <c r="C35" i="4" s="1"/>
  <c r="S14" i="4"/>
  <c r="S35" i="4" s="1"/>
  <c r="AA14" i="4"/>
  <c r="AA35" i="4" s="1"/>
  <c r="AI14" i="4"/>
  <c r="AI35" i="4" s="1"/>
  <c r="AQ14" i="4"/>
  <c r="AQ35" i="4" s="1"/>
  <c r="BG14" i="4"/>
  <c r="BG35" i="4" s="1"/>
  <c r="BQ14" i="4"/>
  <c r="BQ35" i="4" s="1"/>
  <c r="C32" i="4"/>
  <c r="S32" i="4"/>
  <c r="AA32" i="4"/>
  <c r="AI32" i="4"/>
  <c r="AQ32" i="4"/>
  <c r="BG32" i="4"/>
  <c r="G47" i="12"/>
  <c r="G50" i="12" s="1"/>
  <c r="G142" i="5"/>
  <c r="M29" i="5"/>
  <c r="X88" i="5"/>
  <c r="K73" i="5"/>
  <c r="K75" i="5"/>
  <c r="W174" i="5"/>
  <c r="W99" i="5"/>
  <c r="W104" i="5" s="1"/>
  <c r="W122" i="5"/>
  <c r="W246" i="5"/>
  <c r="W126" i="5"/>
  <c r="K110" i="5"/>
  <c r="K108" i="5"/>
  <c r="K106" i="5"/>
  <c r="K104" i="5"/>
  <c r="K109" i="5"/>
  <c r="K107" i="5"/>
  <c r="K105" i="5"/>
  <c r="R108" i="5"/>
  <c r="K128" i="5"/>
  <c r="N155" i="5"/>
  <c r="N153" i="5"/>
  <c r="N152" i="5" s="1"/>
  <c r="N362" i="5"/>
  <c r="X356" i="5"/>
  <c r="X143" i="5"/>
  <c r="X152" i="5"/>
  <c r="Z166" i="5"/>
  <c r="Y322" i="5"/>
  <c r="Y332" i="5" s="1"/>
  <c r="Y197" i="5"/>
  <c r="Z323" i="5"/>
  <c r="Z333" i="5" s="1"/>
  <c r="Y236" i="5"/>
  <c r="Y227" i="5"/>
  <c r="Y225" i="5"/>
  <c r="G232" i="5"/>
  <c r="L230" i="5"/>
  <c r="G229" i="5"/>
  <c r="G227" i="5"/>
  <c r="O232" i="5"/>
  <c r="T230" i="5"/>
  <c r="O230" i="5"/>
  <c r="O227" i="5"/>
  <c r="O229" i="5"/>
  <c r="W232" i="5"/>
  <c r="W230" i="5"/>
  <c r="W229" i="5"/>
  <c r="R104" i="5"/>
  <c r="AB441" i="5"/>
  <c r="AB29" i="5"/>
  <c r="V58" i="5"/>
  <c r="P88" i="5"/>
  <c r="S128" i="5"/>
  <c r="K154" i="5"/>
  <c r="K155" i="5"/>
  <c r="K153" i="5"/>
  <c r="K152" i="5" s="1"/>
  <c r="Z152" i="5"/>
  <c r="AC436" i="5"/>
  <c r="AC444" i="5" s="1"/>
  <c r="AC175" i="5"/>
  <c r="AC173" i="5"/>
  <c r="AC182" i="5"/>
  <c r="AC189" i="5"/>
  <c r="AC200" i="5"/>
  <c r="AC191" i="5"/>
  <c r="E193" i="5"/>
  <c r="E196" i="5"/>
  <c r="E322" i="5" s="1"/>
  <c r="E332" i="5" s="1"/>
  <c r="M196" i="5"/>
  <c r="M193" i="5"/>
  <c r="U196" i="5"/>
  <c r="U193" i="5"/>
  <c r="AD196" i="5"/>
  <c r="AD193" i="5"/>
  <c r="AD191" i="5"/>
  <c r="R323" i="5"/>
  <c r="R333" i="5" s="1"/>
  <c r="R215" i="5"/>
  <c r="AC323" i="5"/>
  <c r="AC333" i="5" s="1"/>
  <c r="AC215" i="5"/>
  <c r="AA245" i="5"/>
  <c r="AA243" i="5"/>
  <c r="AB242" i="5"/>
  <c r="AA254" i="5"/>
  <c r="W345" i="5"/>
  <c r="W132" i="5"/>
  <c r="W148" i="5" s="1"/>
  <c r="W40" i="5"/>
  <c r="W342" i="5"/>
  <c r="BX32" i="4"/>
  <c r="E14" i="4"/>
  <c r="E35" i="4" s="1"/>
  <c r="M14" i="4"/>
  <c r="M35" i="4" s="1"/>
  <c r="AC14" i="4"/>
  <c r="AC35" i="4" s="1"/>
  <c r="AK14" i="4"/>
  <c r="AK35" i="4" s="1"/>
  <c r="AS14" i="4"/>
  <c r="AS35" i="4" s="1"/>
  <c r="BA14" i="4"/>
  <c r="BA35" i="4" s="1"/>
  <c r="BQ32" i="4"/>
  <c r="R441" i="5"/>
  <c r="R29" i="5"/>
  <c r="D59" i="5"/>
  <c r="D56" i="5"/>
  <c r="L59" i="5"/>
  <c r="L56" i="5"/>
  <c r="T59" i="5"/>
  <c r="T56" i="5"/>
  <c r="T58" i="5"/>
  <c r="AB59" i="5"/>
  <c r="AB56" i="5"/>
  <c r="AB58" i="5"/>
  <c r="W58" i="5"/>
  <c r="I88" i="5"/>
  <c r="Q88" i="5"/>
  <c r="S77" i="5"/>
  <c r="J104" i="5"/>
  <c r="Z108" i="5"/>
  <c r="W125" i="5"/>
  <c r="D152" i="5"/>
  <c r="M153" i="5"/>
  <c r="H356" i="5"/>
  <c r="H358" i="5" s="1"/>
  <c r="H361" i="5" s="1"/>
  <c r="H143" i="5"/>
  <c r="P356" i="5"/>
  <c r="P358" i="5" s="1"/>
  <c r="P361" i="5" s="1"/>
  <c r="P143" i="5"/>
  <c r="AA152" i="5"/>
  <c r="D436" i="5"/>
  <c r="D440" i="5" s="1"/>
  <c r="D173" i="5"/>
  <c r="D182" i="5"/>
  <c r="L436" i="5"/>
  <c r="L173" i="5"/>
  <c r="L182" i="5"/>
  <c r="T436" i="5"/>
  <c r="T440" i="5" s="1"/>
  <c r="T182" i="5"/>
  <c r="T173" i="5"/>
  <c r="H437" i="5"/>
  <c r="H178" i="5"/>
  <c r="H321" i="5" s="1"/>
  <c r="H331" i="5" s="1"/>
  <c r="M176" i="5"/>
  <c r="H175" i="5"/>
  <c r="H173" i="5"/>
  <c r="Y321" i="5"/>
  <c r="Y331" i="5" s="1"/>
  <c r="D200" i="5"/>
  <c r="D191" i="5"/>
  <c r="L200" i="5"/>
  <c r="L189" i="5"/>
  <c r="L191" i="5"/>
  <c r="Y189" i="5"/>
  <c r="T191" i="5"/>
  <c r="T200" i="5"/>
  <c r="J322" i="5"/>
  <c r="J332" i="5" s="1"/>
  <c r="J197" i="5"/>
  <c r="K323" i="5"/>
  <c r="K333" i="5" s="1"/>
  <c r="K215" i="5"/>
  <c r="W313" i="5"/>
  <c r="Y324" i="5"/>
  <c r="Y334" i="5" s="1"/>
  <c r="Y233" i="5"/>
  <c r="AD233" i="5"/>
  <c r="M324" i="5"/>
  <c r="M334" i="5" s="1"/>
  <c r="E47" i="12"/>
  <c r="E50" i="12" s="1"/>
  <c r="E142" i="5"/>
  <c r="AA110" i="5"/>
  <c r="AA108" i="5"/>
  <c r="AA106" i="5"/>
  <c r="AA104" i="5"/>
  <c r="AA109" i="5"/>
  <c r="AA107" i="5"/>
  <c r="AA105" i="5"/>
  <c r="R47" i="12"/>
  <c r="R50" i="12" s="1"/>
  <c r="R41" i="5"/>
  <c r="R142" i="5"/>
  <c r="AD441" i="5"/>
  <c r="AD29" i="5"/>
  <c r="AB108" i="5"/>
  <c r="BS7" i="4"/>
  <c r="F14" i="4"/>
  <c r="F35" i="4" s="1"/>
  <c r="N14" i="4"/>
  <c r="N35" i="4" s="1"/>
  <c r="V14" i="4"/>
  <c r="V35" i="4" s="1"/>
  <c r="AD14" i="4"/>
  <c r="AD35" i="4" s="1"/>
  <c r="AL14" i="4"/>
  <c r="AL35" i="4" s="1"/>
  <c r="AT14" i="4"/>
  <c r="AT35" i="4" s="1"/>
  <c r="BB14" i="4"/>
  <c r="BB35" i="4" s="1"/>
  <c r="BJ14" i="4"/>
  <c r="BJ35" i="4" s="1"/>
  <c r="AB41" i="5"/>
  <c r="AB142" i="5"/>
  <c r="AD58" i="5"/>
  <c r="AA78" i="5"/>
  <c r="AA76" i="5"/>
  <c r="AA74" i="5"/>
  <c r="AA88" i="5"/>
  <c r="L88" i="5"/>
  <c r="R106" i="5"/>
  <c r="M107" i="5"/>
  <c r="E152" i="5"/>
  <c r="F154" i="5"/>
  <c r="F152" i="5" s="1"/>
  <c r="D166" i="5"/>
  <c r="L166" i="5"/>
  <c r="T166" i="5"/>
  <c r="M215" i="5"/>
  <c r="M323" i="5"/>
  <c r="M333" i="5" s="1"/>
  <c r="K284" i="5"/>
  <c r="K327" i="5"/>
  <c r="K337" i="5" s="1"/>
  <c r="P284" i="5"/>
  <c r="S284" i="5"/>
  <c r="S327" i="5"/>
  <c r="S337" i="5" s="1"/>
  <c r="N327" i="5"/>
  <c r="N337" i="5" s="1"/>
  <c r="N284" i="5"/>
  <c r="AB74" i="5"/>
  <c r="AB78" i="5"/>
  <c r="I128" i="5"/>
  <c r="Q128" i="5"/>
  <c r="Y128" i="5"/>
  <c r="J440" i="5"/>
  <c r="Z440" i="5"/>
  <c r="F142" i="5"/>
  <c r="V362" i="5"/>
  <c r="AD362" i="5"/>
  <c r="D154" i="5"/>
  <c r="L154" i="5"/>
  <c r="L152" i="5" s="1"/>
  <c r="T154" i="5"/>
  <c r="W159" i="5"/>
  <c r="AB160" i="5"/>
  <c r="AB166" i="5" s="1"/>
  <c r="J436" i="5"/>
  <c r="J444" i="5" s="1"/>
  <c r="J182" i="5"/>
  <c r="R436" i="5"/>
  <c r="R444" i="5" s="1"/>
  <c r="R182" i="5"/>
  <c r="AA436" i="5"/>
  <c r="AA444" i="5" s="1"/>
  <c r="AA182" i="5"/>
  <c r="AA173" i="5"/>
  <c r="U321" i="5"/>
  <c r="U331" i="5" s="1"/>
  <c r="R185" i="5"/>
  <c r="J200" i="5"/>
  <c r="J189" i="5"/>
  <c r="R200" i="5"/>
  <c r="R191" i="5"/>
  <c r="R189" i="5"/>
  <c r="AA191" i="5"/>
  <c r="AA189" i="5"/>
  <c r="K193" i="5"/>
  <c r="K196" i="5"/>
  <c r="J193" i="5"/>
  <c r="W206" i="5"/>
  <c r="G211" i="5"/>
  <c r="N233" i="5"/>
  <c r="I324" i="5"/>
  <c r="I334" i="5" s="1"/>
  <c r="R239" i="5"/>
  <c r="M295" i="5"/>
  <c r="M239" i="5"/>
  <c r="I325" i="5"/>
  <c r="I335" i="5" s="1"/>
  <c r="Q327" i="5"/>
  <c r="Q337" i="5" s="1"/>
  <c r="Q284" i="5"/>
  <c r="M348" i="5"/>
  <c r="M340" i="5"/>
  <c r="M342" i="5" s="1"/>
  <c r="F16" i="5"/>
  <c r="L442" i="5"/>
  <c r="F41" i="5"/>
  <c r="I56" i="5"/>
  <c r="Q56" i="5"/>
  <c r="Y56" i="5"/>
  <c r="I59" i="5"/>
  <c r="Q59" i="5"/>
  <c r="Y59" i="5"/>
  <c r="I73" i="5"/>
  <c r="Q73" i="5"/>
  <c r="Y73" i="5"/>
  <c r="E74" i="5"/>
  <c r="M74" i="5"/>
  <c r="U74" i="5"/>
  <c r="AC74" i="5"/>
  <c r="I75" i="5"/>
  <c r="Q75" i="5"/>
  <c r="Y75" i="5"/>
  <c r="E76" i="5"/>
  <c r="M76" i="5"/>
  <c r="U76" i="5"/>
  <c r="AC76" i="5"/>
  <c r="I77" i="5"/>
  <c r="Q77" i="5"/>
  <c r="Y77" i="5"/>
  <c r="E78" i="5"/>
  <c r="M78" i="5"/>
  <c r="U78" i="5"/>
  <c r="AC78" i="5"/>
  <c r="I79" i="5"/>
  <c r="Q79" i="5"/>
  <c r="Y79" i="5"/>
  <c r="W84" i="5"/>
  <c r="H104" i="5"/>
  <c r="P104" i="5"/>
  <c r="X104" i="5"/>
  <c r="D105" i="5"/>
  <c r="L105" i="5"/>
  <c r="T105" i="5"/>
  <c r="H106" i="5"/>
  <c r="P106" i="5"/>
  <c r="X106" i="5"/>
  <c r="D107" i="5"/>
  <c r="L107" i="5"/>
  <c r="T107" i="5"/>
  <c r="H108" i="5"/>
  <c r="P108" i="5"/>
  <c r="X108" i="5"/>
  <c r="D109" i="5"/>
  <c r="L109" i="5"/>
  <c r="T109" i="5"/>
  <c r="AB109" i="5"/>
  <c r="H110" i="5"/>
  <c r="P110" i="5"/>
  <c r="X110" i="5"/>
  <c r="M135" i="5"/>
  <c r="M154" i="5" s="1"/>
  <c r="K440" i="5"/>
  <c r="S440" i="5"/>
  <c r="AA440" i="5"/>
  <c r="O362" i="5"/>
  <c r="W142" i="5"/>
  <c r="AE362" i="5"/>
  <c r="K143" i="5"/>
  <c r="S143" i="5"/>
  <c r="AA143" i="5"/>
  <c r="I153" i="5"/>
  <c r="I152" i="5" s="1"/>
  <c r="Q153" i="5"/>
  <c r="Y153" i="5"/>
  <c r="E154" i="5"/>
  <c r="U154" i="5"/>
  <c r="AC154" i="5"/>
  <c r="I155" i="5"/>
  <c r="Q155" i="5"/>
  <c r="Y155" i="5"/>
  <c r="K436" i="5"/>
  <c r="K444" i="5" s="1"/>
  <c r="K173" i="5"/>
  <c r="S436" i="5"/>
  <c r="S182" i="5"/>
  <c r="S173" i="5"/>
  <c r="W170" i="5"/>
  <c r="AB170" i="5"/>
  <c r="F175" i="5"/>
  <c r="J176" i="5"/>
  <c r="V321" i="5"/>
  <c r="V331" i="5" s="1"/>
  <c r="V179" i="5"/>
  <c r="M182" i="5"/>
  <c r="K191" i="5"/>
  <c r="S191" i="5"/>
  <c r="S189" i="5"/>
  <c r="AB188" i="5"/>
  <c r="P189" i="5"/>
  <c r="D196" i="5"/>
  <c r="D322" i="5" s="1"/>
  <c r="D332" i="5" s="1"/>
  <c r="D193" i="5"/>
  <c r="L196" i="5"/>
  <c r="L193" i="5"/>
  <c r="I322" i="5"/>
  <c r="I332" i="5" s="1"/>
  <c r="X197" i="5"/>
  <c r="X322" i="5"/>
  <c r="X332" i="5" s="1"/>
  <c r="AC197" i="5"/>
  <c r="X211" i="5"/>
  <c r="AC207" i="5"/>
  <c r="X218" i="5"/>
  <c r="I207" i="5"/>
  <c r="H211" i="5"/>
  <c r="L214" i="5"/>
  <c r="V218" i="5"/>
  <c r="AE232" i="5"/>
  <c r="AE230" i="5"/>
  <c r="AE229" i="5"/>
  <c r="J247" i="5"/>
  <c r="J250" i="5"/>
  <c r="R247" i="5"/>
  <c r="R250" i="5"/>
  <c r="AA247" i="5"/>
  <c r="AA250" i="5"/>
  <c r="W296" i="5"/>
  <c r="W257" i="5"/>
  <c r="O269" i="5"/>
  <c r="O326" i="5"/>
  <c r="O336" i="5" s="1"/>
  <c r="I284" i="5"/>
  <c r="I327" i="5"/>
  <c r="I337" i="5" s="1"/>
  <c r="AE315" i="5"/>
  <c r="L316" i="5"/>
  <c r="T316" i="5"/>
  <c r="AC316" i="5"/>
  <c r="R317" i="5"/>
  <c r="Z317" i="5"/>
  <c r="Z308" i="5"/>
  <c r="U443" i="5"/>
  <c r="U365" i="5"/>
  <c r="U308" i="5"/>
  <c r="U306" i="5"/>
  <c r="U304" i="5"/>
  <c r="U302" i="5"/>
  <c r="AC440" i="5"/>
  <c r="I362" i="5"/>
  <c r="Q362" i="5"/>
  <c r="Y362" i="5"/>
  <c r="AB147" i="5"/>
  <c r="AB148" i="5" s="1"/>
  <c r="G154" i="5"/>
  <c r="G152" i="5" s="1"/>
  <c r="O154" i="5"/>
  <c r="AE154" i="5"/>
  <c r="AB163" i="5"/>
  <c r="U442" i="5"/>
  <c r="AD436" i="5"/>
  <c r="AD175" i="5"/>
  <c r="Z175" i="5"/>
  <c r="Z437" i="5"/>
  <c r="Z438" i="5" s="1"/>
  <c r="Z178" i="5"/>
  <c r="Z176" i="5"/>
  <c r="L321" i="5"/>
  <c r="L331" i="5" s="1"/>
  <c r="AB183" i="5"/>
  <c r="M302" i="5"/>
  <c r="M299" i="5"/>
  <c r="M311" i="5"/>
  <c r="M185" i="5"/>
  <c r="U189" i="5"/>
  <c r="Z322" i="5"/>
  <c r="Z332" i="5" s="1"/>
  <c r="Z197" i="5"/>
  <c r="AE197" i="5"/>
  <c r="K212" i="5"/>
  <c r="K211" i="5"/>
  <c r="S212" i="5"/>
  <c r="S214" i="5"/>
  <c r="X212" i="5"/>
  <c r="AA212" i="5"/>
  <c r="AA214" i="5"/>
  <c r="AD323" i="5"/>
  <c r="AD333" i="5" s="1"/>
  <c r="AD215" i="5"/>
  <c r="I236" i="5"/>
  <c r="I227" i="5"/>
  <c r="I225" i="5"/>
  <c r="Q236" i="5"/>
  <c r="Q227" i="5"/>
  <c r="Z236" i="5"/>
  <c r="Z227" i="5"/>
  <c r="AE225" i="5"/>
  <c r="Z225" i="5"/>
  <c r="Q225" i="5"/>
  <c r="AB314" i="5"/>
  <c r="K245" i="5"/>
  <c r="K243" i="5"/>
  <c r="S245" i="5"/>
  <c r="S254" i="5"/>
  <c r="S243" i="5"/>
  <c r="X243" i="5"/>
  <c r="T325" i="5"/>
  <c r="T335" i="5" s="1"/>
  <c r="T251" i="5"/>
  <c r="AD299" i="5"/>
  <c r="AD311" i="5"/>
  <c r="K303" i="5"/>
  <c r="K312" i="5"/>
  <c r="K299" i="5"/>
  <c r="P312" i="5"/>
  <c r="S303" i="5"/>
  <c r="S312" i="5"/>
  <c r="X312" i="5"/>
  <c r="AB303" i="5"/>
  <c r="AB312" i="5"/>
  <c r="Q313" i="5"/>
  <c r="Z443" i="5"/>
  <c r="Z365" i="5"/>
  <c r="Z318" i="5"/>
  <c r="Z302" i="5"/>
  <c r="Y341" i="5"/>
  <c r="Y366" i="5" s="1"/>
  <c r="Y342" i="5"/>
  <c r="AB447" i="5"/>
  <c r="F465" i="5"/>
  <c r="N465" i="5"/>
  <c r="N88" i="5"/>
  <c r="V88" i="5"/>
  <c r="AD88" i="5"/>
  <c r="AB99" i="5"/>
  <c r="AB107" i="5" s="1"/>
  <c r="E128" i="5"/>
  <c r="U128" i="5"/>
  <c r="AC128" i="5"/>
  <c r="N440" i="5"/>
  <c r="V440" i="5"/>
  <c r="J362" i="5"/>
  <c r="Z362" i="5"/>
  <c r="N143" i="5"/>
  <c r="V143" i="5"/>
  <c r="AD143" i="5"/>
  <c r="T153" i="5"/>
  <c r="N436" i="5"/>
  <c r="N175" i="5"/>
  <c r="V436" i="5"/>
  <c r="V175" i="5"/>
  <c r="U173" i="5"/>
  <c r="AD173" i="5"/>
  <c r="J175" i="5"/>
  <c r="J437" i="5"/>
  <c r="J438" i="5" s="1"/>
  <c r="R437" i="5"/>
  <c r="R438" i="5" s="1"/>
  <c r="R175" i="5"/>
  <c r="R178" i="5"/>
  <c r="R176" i="5"/>
  <c r="AA437" i="5"/>
  <c r="AA438" i="5" s="1"/>
  <c r="AA176" i="5"/>
  <c r="AA178" i="5"/>
  <c r="M321" i="5"/>
  <c r="M331" i="5" s="1"/>
  <c r="AC179" i="5"/>
  <c r="R311" i="5"/>
  <c r="R299" i="5"/>
  <c r="R302" i="5"/>
  <c r="J191" i="5"/>
  <c r="AC193" i="5"/>
  <c r="P322" i="5"/>
  <c r="P332" i="5" s="1"/>
  <c r="AA322" i="5"/>
  <c r="AA332" i="5" s="1"/>
  <c r="AA197" i="5"/>
  <c r="T197" i="5"/>
  <c r="AA200" i="5"/>
  <c r="W312" i="5"/>
  <c r="W303" i="5"/>
  <c r="P207" i="5"/>
  <c r="P209" i="5"/>
  <c r="D211" i="5"/>
  <c r="T212" i="5"/>
  <c r="T211" i="5"/>
  <c r="AB210" i="5"/>
  <c r="P211" i="5"/>
  <c r="P215" i="5"/>
  <c r="P323" i="5"/>
  <c r="P333" i="5" s="1"/>
  <c r="J236" i="5"/>
  <c r="J227" i="5"/>
  <c r="J225" i="5"/>
  <c r="R236" i="5"/>
  <c r="R227" i="5"/>
  <c r="R225" i="5"/>
  <c r="AA227" i="5"/>
  <c r="I229" i="5"/>
  <c r="I230" i="5"/>
  <c r="Q229" i="5"/>
  <c r="Q230" i="5"/>
  <c r="Q232" i="5"/>
  <c r="Y229" i="5"/>
  <c r="AD230" i="5"/>
  <c r="Y230" i="5"/>
  <c r="P324" i="5"/>
  <c r="P334" i="5" s="1"/>
  <c r="I233" i="5"/>
  <c r="G272" i="5"/>
  <c r="L261" i="5"/>
  <c r="G263" i="5"/>
  <c r="O272" i="5"/>
  <c r="T261" i="5"/>
  <c r="O263" i="5"/>
  <c r="O261" i="5"/>
  <c r="W260" i="5"/>
  <c r="AA268" i="5"/>
  <c r="AA263" i="5"/>
  <c r="M284" i="5"/>
  <c r="M327" i="5"/>
  <c r="M337" i="5" s="1"/>
  <c r="R284" i="5"/>
  <c r="U284" i="5"/>
  <c r="U327" i="5"/>
  <c r="U337" i="5" s="1"/>
  <c r="Z284" i="5"/>
  <c r="R304" i="5"/>
  <c r="U303" i="5"/>
  <c r="AC327" i="5"/>
  <c r="AC337" i="5" s="1"/>
  <c r="K341" i="5"/>
  <c r="K366" i="5" s="1"/>
  <c r="K342" i="5"/>
  <c r="W243" i="5"/>
  <c r="W245" i="5"/>
  <c r="W254" i="5"/>
  <c r="I74" i="5"/>
  <c r="Q74" i="5"/>
  <c r="Y74" i="5"/>
  <c r="I76" i="5"/>
  <c r="Q76" i="5"/>
  <c r="Y76" i="5"/>
  <c r="E77" i="5"/>
  <c r="M77" i="5"/>
  <c r="U77" i="5"/>
  <c r="I78" i="5"/>
  <c r="Q78" i="5"/>
  <c r="Y78" i="5"/>
  <c r="AB85" i="5"/>
  <c r="O88" i="5"/>
  <c r="AE88" i="5"/>
  <c r="W196" i="5"/>
  <c r="W268" i="5"/>
  <c r="H105" i="5"/>
  <c r="P105" i="5"/>
  <c r="X105" i="5"/>
  <c r="D106" i="5"/>
  <c r="L106" i="5"/>
  <c r="H107" i="5"/>
  <c r="P107" i="5"/>
  <c r="X107" i="5"/>
  <c r="D108" i="5"/>
  <c r="L108" i="5"/>
  <c r="T108" i="5"/>
  <c r="H109" i="5"/>
  <c r="P109" i="5"/>
  <c r="X109" i="5"/>
  <c r="F128" i="5"/>
  <c r="N128" i="5"/>
  <c r="V128" i="5"/>
  <c r="AD128" i="5"/>
  <c r="O440" i="5"/>
  <c r="AE440" i="5"/>
  <c r="K362" i="5"/>
  <c r="S362" i="5"/>
  <c r="AA368" i="5"/>
  <c r="AA362" i="5"/>
  <c r="U153" i="5"/>
  <c r="U152" i="5" s="1"/>
  <c r="AC153" i="5"/>
  <c r="AC152" i="5" s="1"/>
  <c r="W165" i="5"/>
  <c r="X444" i="5"/>
  <c r="M173" i="5"/>
  <c r="V173" i="5"/>
  <c r="K437" i="5"/>
  <c r="K438" i="5" s="1"/>
  <c r="K176" i="5"/>
  <c r="S437" i="5"/>
  <c r="S438" i="5" s="1"/>
  <c r="S176" i="5"/>
  <c r="AB174" i="5"/>
  <c r="K175" i="5"/>
  <c r="AA175" i="5"/>
  <c r="O176" i="5"/>
  <c r="AE176" i="5"/>
  <c r="AD321" i="5"/>
  <c r="AD331" i="5" s="1"/>
  <c r="AD179" i="5"/>
  <c r="E182" i="5"/>
  <c r="U182" i="5"/>
  <c r="K189" i="5"/>
  <c r="X189" i="5"/>
  <c r="R193" i="5"/>
  <c r="Q322" i="5"/>
  <c r="Q332" i="5" s="1"/>
  <c r="Q197" i="5"/>
  <c r="L209" i="5"/>
  <c r="L207" i="5"/>
  <c r="T218" i="5"/>
  <c r="T209" i="5"/>
  <c r="T207" i="5"/>
  <c r="AB206" i="5"/>
  <c r="Q207" i="5"/>
  <c r="E211" i="5"/>
  <c r="E214" i="5"/>
  <c r="E323" i="5" s="1"/>
  <c r="E333" i="5" s="1"/>
  <c r="AC212" i="5"/>
  <c r="AC209" i="5"/>
  <c r="AC211" i="5"/>
  <c r="M212" i="5"/>
  <c r="T214" i="5"/>
  <c r="P225" i="5"/>
  <c r="K236" i="5"/>
  <c r="S236" i="5"/>
  <c r="S225" i="5"/>
  <c r="AA229" i="5"/>
  <c r="Z325" i="5"/>
  <c r="Z335" i="5" s="1"/>
  <c r="Z251" i="5"/>
  <c r="K326" i="5"/>
  <c r="K336" i="5" s="1"/>
  <c r="K269" i="5"/>
  <c r="S263" i="5"/>
  <c r="S265" i="5"/>
  <c r="W302" i="5"/>
  <c r="W299" i="5"/>
  <c r="W311" i="5"/>
  <c r="D299" i="5"/>
  <c r="I312" i="5"/>
  <c r="AD312" i="5"/>
  <c r="AD303" i="5"/>
  <c r="O313" i="5"/>
  <c r="Z306" i="5"/>
  <c r="N342" i="5"/>
  <c r="N341" i="5"/>
  <c r="W70" i="5"/>
  <c r="W73" i="5" s="1"/>
  <c r="F73" i="5"/>
  <c r="N73" i="5"/>
  <c r="V73" i="5"/>
  <c r="AD73" i="5"/>
  <c r="J74" i="5"/>
  <c r="R74" i="5"/>
  <c r="Z74" i="5"/>
  <c r="F75" i="5"/>
  <c r="N75" i="5"/>
  <c r="V75" i="5"/>
  <c r="AD75" i="5"/>
  <c r="J76" i="5"/>
  <c r="R76" i="5"/>
  <c r="Z76" i="5"/>
  <c r="F77" i="5"/>
  <c r="N77" i="5"/>
  <c r="V77" i="5"/>
  <c r="AD77" i="5"/>
  <c r="W87" i="5"/>
  <c r="E104" i="5"/>
  <c r="U104" i="5"/>
  <c r="AC104" i="5"/>
  <c r="I105" i="5"/>
  <c r="Q105" i="5"/>
  <c r="Y105" i="5"/>
  <c r="E106" i="5"/>
  <c r="U106" i="5"/>
  <c r="AC106" i="5"/>
  <c r="I107" i="5"/>
  <c r="Q107" i="5"/>
  <c r="Y107" i="5"/>
  <c r="E108" i="5"/>
  <c r="U108" i="5"/>
  <c r="AC108" i="5"/>
  <c r="W124" i="5"/>
  <c r="J135" i="5"/>
  <c r="R135" i="5"/>
  <c r="R154" i="5" s="1"/>
  <c r="X439" i="5"/>
  <c r="X440" i="5" s="1"/>
  <c r="AB355" i="5"/>
  <c r="AB439" i="5" s="1"/>
  <c r="D142" i="5"/>
  <c r="L362" i="5"/>
  <c r="T362" i="5"/>
  <c r="W163" i="5"/>
  <c r="H436" i="5"/>
  <c r="H442" i="5" s="1"/>
  <c r="H182" i="5"/>
  <c r="P436" i="5"/>
  <c r="P182" i="5"/>
  <c r="Y436" i="5"/>
  <c r="Y444" i="5" s="1"/>
  <c r="Y182" i="5"/>
  <c r="E173" i="5"/>
  <c r="N173" i="5"/>
  <c r="D437" i="5"/>
  <c r="D438" i="5" s="1"/>
  <c r="D175" i="5"/>
  <c r="L437" i="5"/>
  <c r="L438" i="5" s="1"/>
  <c r="L175" i="5"/>
  <c r="T437" i="5"/>
  <c r="T438" i="5" s="1"/>
  <c r="AC437" i="5"/>
  <c r="AC438" i="5" s="1"/>
  <c r="T176" i="5"/>
  <c r="D178" i="5"/>
  <c r="D321" i="5" s="1"/>
  <c r="D331" i="5" s="1"/>
  <c r="S178" i="5"/>
  <c r="X179" i="5" s="1"/>
  <c r="F182" i="5"/>
  <c r="V182" i="5"/>
  <c r="M191" i="5"/>
  <c r="T193" i="5"/>
  <c r="V197" i="5"/>
  <c r="S211" i="5"/>
  <c r="D214" i="5"/>
  <c r="D323" i="5" s="1"/>
  <c r="D333" i="5" s="1"/>
  <c r="U214" i="5"/>
  <c r="AE218" i="5"/>
  <c r="AD225" i="5"/>
  <c r="AD229" i="5"/>
  <c r="AD227" i="5"/>
  <c r="X225" i="5"/>
  <c r="AE227" i="5"/>
  <c r="K230" i="5"/>
  <c r="K232" i="5"/>
  <c r="K229" i="5"/>
  <c r="S230" i="5"/>
  <c r="S232" i="5"/>
  <c r="AA230" i="5"/>
  <c r="AA232" i="5"/>
  <c r="K254" i="5"/>
  <c r="I272" i="5"/>
  <c r="I263" i="5"/>
  <c r="Q272" i="5"/>
  <c r="Q263" i="5"/>
  <c r="Q261" i="5"/>
  <c r="Y272" i="5"/>
  <c r="Y263" i="5"/>
  <c r="K263" i="5"/>
  <c r="AD326" i="5"/>
  <c r="AD336" i="5" s="1"/>
  <c r="AD269" i="5"/>
  <c r="S268" i="5"/>
  <c r="Y284" i="5"/>
  <c r="O299" i="5"/>
  <c r="O311" i="5"/>
  <c r="E443" i="5"/>
  <c r="E365" i="5"/>
  <c r="E308" i="5"/>
  <c r="E306" i="5"/>
  <c r="E304" i="5"/>
  <c r="E302" i="5"/>
  <c r="D16" i="5"/>
  <c r="J442" i="5"/>
  <c r="L29" i="5"/>
  <c r="D41" i="5"/>
  <c r="W188" i="5"/>
  <c r="W160" i="5"/>
  <c r="G73" i="5"/>
  <c r="O73" i="5"/>
  <c r="AE73" i="5"/>
  <c r="G75" i="5"/>
  <c r="O75" i="5"/>
  <c r="W75" i="5"/>
  <c r="AE75" i="5"/>
  <c r="G77" i="5"/>
  <c r="O77" i="5"/>
  <c r="AE77" i="5"/>
  <c r="W86" i="5"/>
  <c r="F104" i="5"/>
  <c r="N104" i="5"/>
  <c r="V104" i="5"/>
  <c r="AD104" i="5"/>
  <c r="F106" i="5"/>
  <c r="N106" i="5"/>
  <c r="V106" i="5"/>
  <c r="AD106" i="5"/>
  <c r="F108" i="5"/>
  <c r="N108" i="5"/>
  <c r="V108" i="5"/>
  <c r="AD108" i="5"/>
  <c r="Q440" i="5"/>
  <c r="Y440" i="5"/>
  <c r="M362" i="5"/>
  <c r="U362" i="5"/>
  <c r="AC362" i="5"/>
  <c r="I143" i="5"/>
  <c r="Q143" i="5"/>
  <c r="Y143" i="5"/>
  <c r="O153" i="5"/>
  <c r="O152" i="5" s="1"/>
  <c r="AE153" i="5"/>
  <c r="I436" i="5"/>
  <c r="I444" i="5" s="1"/>
  <c r="I182" i="5"/>
  <c r="Q436" i="5"/>
  <c r="Q444" i="5" s="1"/>
  <c r="Q182" i="5"/>
  <c r="Z436" i="5"/>
  <c r="Z444" i="5" s="1"/>
  <c r="Z182" i="5"/>
  <c r="F173" i="5"/>
  <c r="X173" i="5"/>
  <c r="E437" i="5"/>
  <c r="E438" i="5" s="1"/>
  <c r="E175" i="5"/>
  <c r="M437" i="5"/>
  <c r="M438" i="5" s="1"/>
  <c r="M175" i="5"/>
  <c r="U437" i="5"/>
  <c r="U438" i="5" s="1"/>
  <c r="U175" i="5"/>
  <c r="P175" i="5"/>
  <c r="U176" i="5"/>
  <c r="E178" i="5"/>
  <c r="E321" i="5" s="1"/>
  <c r="E331" i="5" s="1"/>
  <c r="T178" i="5"/>
  <c r="Y179" i="5" s="1"/>
  <c r="K182" i="5"/>
  <c r="Z200" i="5"/>
  <c r="Z191" i="5"/>
  <c r="Z189" i="5"/>
  <c r="M189" i="5"/>
  <c r="AA193" i="5"/>
  <c r="S196" i="5"/>
  <c r="S200" i="5"/>
  <c r="F211" i="5"/>
  <c r="F218" i="5"/>
  <c r="N207" i="5"/>
  <c r="N211" i="5"/>
  <c r="V207" i="5"/>
  <c r="V211" i="5"/>
  <c r="AD207" i="5"/>
  <c r="AD209" i="5"/>
  <c r="O214" i="5"/>
  <c r="O211" i="5"/>
  <c r="O212" i="5"/>
  <c r="AE214" i="5"/>
  <c r="AE211" i="5"/>
  <c r="U211" i="5"/>
  <c r="P212" i="5"/>
  <c r="V323" i="5"/>
  <c r="V333" i="5" s="1"/>
  <c r="V215" i="5"/>
  <c r="Q215" i="5"/>
  <c r="AB449" i="5"/>
  <c r="AB461" i="5" s="1"/>
  <c r="AB218" i="5"/>
  <c r="P218" i="5"/>
  <c r="U233" i="5"/>
  <c r="AD236" i="5"/>
  <c r="H250" i="5"/>
  <c r="H247" i="5"/>
  <c r="P250" i="5"/>
  <c r="P247" i="5"/>
  <c r="Y247" i="5"/>
  <c r="Y250" i="5"/>
  <c r="AB246" i="5"/>
  <c r="Q251" i="5"/>
  <c r="M315" i="5"/>
  <c r="M306" i="5"/>
  <c r="R315" i="5"/>
  <c r="M326" i="5"/>
  <c r="M336" i="5" s="1"/>
  <c r="M269" i="5"/>
  <c r="U326" i="5"/>
  <c r="U336" i="5" s="1"/>
  <c r="AE269" i="5"/>
  <c r="AE326" i="5"/>
  <c r="AE336" i="5" s="1"/>
  <c r="AD284" i="5"/>
  <c r="AB308" i="5"/>
  <c r="F299" i="5"/>
  <c r="J316" i="5"/>
  <c r="R307" i="5"/>
  <c r="R316" i="5"/>
  <c r="AA307" i="5"/>
  <c r="AA316" i="5"/>
  <c r="P317" i="5"/>
  <c r="U317" i="5"/>
  <c r="X308" i="5"/>
  <c r="X317" i="5"/>
  <c r="AC317" i="5"/>
  <c r="J299" i="5"/>
  <c r="P42" i="12"/>
  <c r="P40" i="12" s="1"/>
  <c r="P44" i="12" s="1"/>
  <c r="O40" i="12"/>
  <c r="O44" i="12" s="1"/>
  <c r="R51" i="12"/>
  <c r="X229" i="5"/>
  <c r="M230" i="5"/>
  <c r="X232" i="5"/>
  <c r="Y243" i="5"/>
  <c r="G245" i="5"/>
  <c r="AC245" i="5"/>
  <c r="AC251" i="5"/>
  <c r="L254" i="5"/>
  <c r="H272" i="5"/>
  <c r="M261" i="5"/>
  <c r="H263" i="5"/>
  <c r="P272" i="5"/>
  <c r="U261" i="5"/>
  <c r="P263" i="5"/>
  <c r="X272" i="5"/>
  <c r="AC261" i="5"/>
  <c r="AB260" i="5"/>
  <c r="X263" i="5"/>
  <c r="X261" i="5"/>
  <c r="AC269" i="5"/>
  <c r="AC326" i="5"/>
  <c r="AC336" i="5" s="1"/>
  <c r="Y269" i="5"/>
  <c r="L284" i="5"/>
  <c r="L327" i="5"/>
  <c r="L337" i="5" s="1"/>
  <c r="V302" i="5"/>
  <c r="AE302" i="5"/>
  <c r="AE299" i="5"/>
  <c r="L303" i="5"/>
  <c r="L312" i="5"/>
  <c r="T312" i="5"/>
  <c r="AD315" i="5"/>
  <c r="AD306" i="5"/>
  <c r="K307" i="5"/>
  <c r="S307" i="5"/>
  <c r="AB307" i="5"/>
  <c r="T299" i="5"/>
  <c r="T307" i="5" s="1"/>
  <c r="M317" i="5"/>
  <c r="X215" i="5"/>
  <c r="M313" i="5"/>
  <c r="M304" i="5"/>
  <c r="M221" i="5"/>
  <c r="H227" i="5"/>
  <c r="J229" i="5"/>
  <c r="J230" i="5"/>
  <c r="R229" i="5"/>
  <c r="R230" i="5"/>
  <c r="Z229" i="5"/>
  <c r="Z230" i="5"/>
  <c r="P229" i="5"/>
  <c r="H232" i="5"/>
  <c r="H324" i="5" s="1"/>
  <c r="H334" i="5" s="1"/>
  <c r="Z232" i="5"/>
  <c r="AB462" i="5"/>
  <c r="I245" i="5"/>
  <c r="AE245" i="5"/>
  <c r="K247" i="5"/>
  <c r="S247" i="5"/>
  <c r="D250" i="5"/>
  <c r="D325" i="5" s="1"/>
  <c r="D335" i="5" s="1"/>
  <c r="AB463" i="5"/>
  <c r="AB254" i="5"/>
  <c r="AB296" i="5"/>
  <c r="AB257" i="5"/>
  <c r="Z261" i="5"/>
  <c r="N326" i="5"/>
  <c r="N336" i="5" s="1"/>
  <c r="N269" i="5"/>
  <c r="V326" i="5"/>
  <c r="V336" i="5" s="1"/>
  <c r="W275" i="5"/>
  <c r="G299" i="5"/>
  <c r="P299" i="5"/>
  <c r="P306" i="5" s="1"/>
  <c r="X302" i="5"/>
  <c r="X299" i="5"/>
  <c r="J305" i="5"/>
  <c r="Z305" i="5"/>
  <c r="F306" i="5"/>
  <c r="O315" i="5"/>
  <c r="O306" i="5"/>
  <c r="D307" i="5"/>
  <c r="V299" i="5"/>
  <c r="V303" i="5"/>
  <c r="Z304" i="5"/>
  <c r="J308" i="5"/>
  <c r="AC311" i="5"/>
  <c r="AE313" i="5"/>
  <c r="O341" i="5"/>
  <c r="O366" i="5" s="1"/>
  <c r="I395" i="5"/>
  <c r="D459" i="5"/>
  <c r="D455" i="5"/>
  <c r="D465" i="5" s="1"/>
  <c r="L459" i="5"/>
  <c r="L455" i="5"/>
  <c r="L465" i="5" s="1"/>
  <c r="T459" i="5"/>
  <c r="T455" i="5"/>
  <c r="T465" i="5" s="1"/>
  <c r="AC465" i="5"/>
  <c r="I465" i="5"/>
  <c r="D254" i="5"/>
  <c r="O254" i="5"/>
  <c r="O265" i="5"/>
  <c r="W316" i="5"/>
  <c r="Q299" i="5"/>
  <c r="Q311" i="5"/>
  <c r="Y299" i="5"/>
  <c r="Y304" i="5" s="1"/>
  <c r="Y311" i="5"/>
  <c r="AD313" i="5"/>
  <c r="AD304" i="5"/>
  <c r="K305" i="5"/>
  <c r="S305" i="5"/>
  <c r="AA305" i="5"/>
  <c r="G306" i="5"/>
  <c r="P315" i="5"/>
  <c r="U315" i="5"/>
  <c r="X315" i="5"/>
  <c r="X306" i="5"/>
  <c r="AC315" i="5"/>
  <c r="L299" i="5"/>
  <c r="W307" i="5"/>
  <c r="N311" i="5"/>
  <c r="K316" i="5"/>
  <c r="D340" i="5"/>
  <c r="D345" i="5"/>
  <c r="L341" i="5"/>
  <c r="L366" i="5" s="1"/>
  <c r="U340" i="5"/>
  <c r="V341" i="5" s="1"/>
  <c r="V366" i="5" s="1"/>
  <c r="AC345" i="5"/>
  <c r="AC340" i="5"/>
  <c r="Y364" i="5"/>
  <c r="AB357" i="5"/>
  <c r="AB364" i="5" s="1"/>
  <c r="AD465" i="5"/>
  <c r="G436" i="5"/>
  <c r="G440" i="5" s="1"/>
  <c r="O436" i="5"/>
  <c r="O444" i="5" s="1"/>
  <c r="AE436" i="5"/>
  <c r="AE444" i="5" s="1"/>
  <c r="G437" i="5"/>
  <c r="G438" i="5" s="1"/>
  <c r="G178" i="5"/>
  <c r="G321" i="5" s="1"/>
  <c r="G331" i="5" s="1"/>
  <c r="O437" i="5"/>
  <c r="O438" i="5" s="1"/>
  <c r="O178" i="5"/>
  <c r="AE437" i="5"/>
  <c r="AE178" i="5"/>
  <c r="P176" i="5"/>
  <c r="Y176" i="5"/>
  <c r="P178" i="5"/>
  <c r="G182" i="5"/>
  <c r="W185" i="5"/>
  <c r="O189" i="5"/>
  <c r="AE189" i="5"/>
  <c r="Q189" i="5"/>
  <c r="O197" i="5"/>
  <c r="AB460" i="5"/>
  <c r="S207" i="5"/>
  <c r="S209" i="5"/>
  <c r="Q212" i="5"/>
  <c r="Z212" i="5"/>
  <c r="W221" i="5"/>
  <c r="N225" i="5"/>
  <c r="V225" i="5"/>
  <c r="L227" i="5"/>
  <c r="V227" i="5"/>
  <c r="AB228" i="5"/>
  <c r="J232" i="5"/>
  <c r="AB237" i="5"/>
  <c r="AC243" i="5"/>
  <c r="AD325" i="5"/>
  <c r="AD335" i="5" s="1"/>
  <c r="AD251" i="5"/>
  <c r="AE261" i="5"/>
  <c r="N263" i="5"/>
  <c r="H265" i="5"/>
  <c r="P265" i="5"/>
  <c r="X265" i="5"/>
  <c r="AB264" i="5"/>
  <c r="AB265" i="5" s="1"/>
  <c r="P268" i="5"/>
  <c r="W452" i="5"/>
  <c r="W464" i="5" s="1"/>
  <c r="W272" i="5"/>
  <c r="AB275" i="5"/>
  <c r="V284" i="5"/>
  <c r="AB453" i="5"/>
  <c r="AB283" i="5"/>
  <c r="I299" i="5"/>
  <c r="I308" i="5" s="1"/>
  <c r="I311" i="5"/>
  <c r="N313" i="5"/>
  <c r="N304" i="5"/>
  <c r="S313" i="5"/>
  <c r="V313" i="5"/>
  <c r="V304" i="5"/>
  <c r="AA313" i="5"/>
  <c r="AE304" i="5"/>
  <c r="L305" i="5"/>
  <c r="L314" i="5"/>
  <c r="T305" i="5"/>
  <c r="T314" i="5"/>
  <c r="H306" i="5"/>
  <c r="O316" i="5"/>
  <c r="X316" i="5"/>
  <c r="AD308" i="5"/>
  <c r="AE311" i="5"/>
  <c r="J314" i="5"/>
  <c r="Z314" i="5"/>
  <c r="AB316" i="5"/>
  <c r="E345" i="5"/>
  <c r="E340" i="5"/>
  <c r="X437" i="5"/>
  <c r="X438" i="5" s="1"/>
  <c r="Q176" i="5"/>
  <c r="AB311" i="5"/>
  <c r="I189" i="5"/>
  <c r="J218" i="5"/>
  <c r="J209" i="5"/>
  <c r="R218" i="5"/>
  <c r="R209" i="5"/>
  <c r="Z218" i="5"/>
  <c r="Z209" i="5"/>
  <c r="K207" i="5"/>
  <c r="K209" i="5"/>
  <c r="I212" i="5"/>
  <c r="R212" i="5"/>
  <c r="AB313" i="5"/>
  <c r="P236" i="5"/>
  <c r="I254" i="5"/>
  <c r="N243" i="5"/>
  <c r="Q254" i="5"/>
  <c r="V243" i="5"/>
  <c r="Y254" i="5"/>
  <c r="AD243" i="5"/>
  <c r="T243" i="5"/>
  <c r="N325" i="5"/>
  <c r="N335" i="5" s="1"/>
  <c r="N251" i="5"/>
  <c r="V325" i="5"/>
  <c r="V335" i="5" s="1"/>
  <c r="V251" i="5"/>
  <c r="AE325" i="5"/>
  <c r="AE335" i="5" s="1"/>
  <c r="AE251" i="5"/>
  <c r="X247" i="5"/>
  <c r="AE254" i="5"/>
  <c r="AD261" i="5"/>
  <c r="R261" i="5"/>
  <c r="I265" i="5"/>
  <c r="Q265" i="5"/>
  <c r="Y265" i="5"/>
  <c r="AE265" i="5"/>
  <c r="Q268" i="5"/>
  <c r="AB452" i="5"/>
  <c r="AB464" i="5" s="1"/>
  <c r="AB272" i="5"/>
  <c r="S311" i="5"/>
  <c r="AA311" i="5"/>
  <c r="Z303" i="5"/>
  <c r="Z312" i="5"/>
  <c r="F304" i="5"/>
  <c r="K313" i="5"/>
  <c r="O304" i="5"/>
  <c r="T313" i="5"/>
  <c r="D305" i="5"/>
  <c r="P316" i="5"/>
  <c r="Y316" i="5"/>
  <c r="V308" i="5"/>
  <c r="AE308" i="5"/>
  <c r="AE317" i="5"/>
  <c r="N299" i="5"/>
  <c r="N302" i="5" s="1"/>
  <c r="AB299" i="5"/>
  <c r="AB304" i="5" s="1"/>
  <c r="AC303" i="5"/>
  <c r="U305" i="5"/>
  <c r="I306" i="5"/>
  <c r="M307" i="5"/>
  <c r="Q308" i="5"/>
  <c r="P311" i="5"/>
  <c r="Y312" i="5"/>
  <c r="R313" i="5"/>
  <c r="K314" i="5"/>
  <c r="AA314" i="5"/>
  <c r="T315" i="5"/>
  <c r="V317" i="5"/>
  <c r="T327" i="5"/>
  <c r="T337" i="5" s="1"/>
  <c r="V342" i="5"/>
  <c r="L342" i="5"/>
  <c r="AE345" i="5"/>
  <c r="AE340" i="5"/>
  <c r="M382" i="5"/>
  <c r="M395" i="5" s="1"/>
  <c r="AB382" i="5"/>
  <c r="S442" i="5"/>
  <c r="Q437" i="5"/>
  <c r="Q438" i="5" s="1"/>
  <c r="Y437" i="5"/>
  <c r="Y438" i="5" s="1"/>
  <c r="I176" i="5"/>
  <c r="I178" i="5"/>
  <c r="J211" i="5"/>
  <c r="R211" i="5"/>
  <c r="Z211" i="5"/>
  <c r="J212" i="5"/>
  <c r="J214" i="5"/>
  <c r="N215" i="5"/>
  <c r="AC225" i="5"/>
  <c r="AB224" i="5"/>
  <c r="X227" i="5"/>
  <c r="R233" i="5"/>
  <c r="J254" i="5"/>
  <c r="J245" i="5"/>
  <c r="R254" i="5"/>
  <c r="R245" i="5"/>
  <c r="Z254" i="5"/>
  <c r="Z245" i="5"/>
  <c r="O245" i="5"/>
  <c r="Y245" i="5"/>
  <c r="O251" i="5"/>
  <c r="O325" i="5"/>
  <c r="O335" i="5" s="1"/>
  <c r="K250" i="5"/>
  <c r="N261" i="5"/>
  <c r="V261" i="5"/>
  <c r="S261" i="5"/>
  <c r="AD263" i="5"/>
  <c r="J265" i="5"/>
  <c r="R265" i="5"/>
  <c r="Z265" i="5"/>
  <c r="G265" i="5"/>
  <c r="R268" i="5"/>
  <c r="I269" i="5"/>
  <c r="T269" i="5"/>
  <c r="R272" i="5"/>
  <c r="AA327" i="5"/>
  <c r="AA337" i="5" s="1"/>
  <c r="AA284" i="5"/>
  <c r="J284" i="5"/>
  <c r="X284" i="5"/>
  <c r="M308" i="5"/>
  <c r="K311" i="5"/>
  <c r="T311" i="5"/>
  <c r="J303" i="5"/>
  <c r="J312" i="5"/>
  <c r="R303" i="5"/>
  <c r="R312" i="5"/>
  <c r="AA303" i="5"/>
  <c r="AA312" i="5"/>
  <c r="G304" i="5"/>
  <c r="L313" i="5"/>
  <c r="U313" i="5"/>
  <c r="X304" i="5"/>
  <c r="AC313" i="5"/>
  <c r="I316" i="5"/>
  <c r="Q316" i="5"/>
  <c r="Z307" i="5"/>
  <c r="F308" i="5"/>
  <c r="O308" i="5"/>
  <c r="O317" i="5"/>
  <c r="W308" i="5"/>
  <c r="W317" i="5"/>
  <c r="AC299" i="5"/>
  <c r="AC307" i="5" s="1"/>
  <c r="J302" i="5"/>
  <c r="N303" i="5"/>
  <c r="V305" i="5"/>
  <c r="N307" i="5"/>
  <c r="AD307" i="5"/>
  <c r="U311" i="5"/>
  <c r="P314" i="5"/>
  <c r="K317" i="5"/>
  <c r="AA317" i="5"/>
  <c r="X323" i="5"/>
  <c r="X333" i="5" s="1"/>
  <c r="X341" i="5"/>
  <c r="G433" i="5"/>
  <c r="H397" i="5"/>
  <c r="O342" i="5"/>
  <c r="AB395" i="5"/>
  <c r="R344" i="5"/>
  <c r="R372" i="5"/>
  <c r="R395" i="5" s="1"/>
  <c r="P345" i="5"/>
  <c r="H382" i="5"/>
  <c r="H395" i="5" s="1"/>
  <c r="X465" i="5"/>
  <c r="AB107" i="11"/>
  <c r="AB104" i="11"/>
  <c r="Q155" i="11"/>
  <c r="Q135" i="11"/>
  <c r="M322" i="11"/>
  <c r="M332" i="11" s="1"/>
  <c r="M197" i="11"/>
  <c r="U322" i="11"/>
  <c r="U332" i="11" s="1"/>
  <c r="U197" i="11"/>
  <c r="AB248" i="11"/>
  <c r="AB247" i="11"/>
  <c r="W317" i="11"/>
  <c r="G340" i="5"/>
  <c r="Q342" i="5"/>
  <c r="R350" i="5"/>
  <c r="R351" i="5" s="1"/>
  <c r="R397" i="5"/>
  <c r="O442" i="5"/>
  <c r="P465" i="5"/>
  <c r="H154" i="11"/>
  <c r="H139" i="11"/>
  <c r="G135" i="11"/>
  <c r="G155" i="11" s="1"/>
  <c r="M257" i="5"/>
  <c r="I340" i="5"/>
  <c r="H345" i="5"/>
  <c r="W397" i="5"/>
  <c r="W433" i="5" s="1"/>
  <c r="M408" i="5"/>
  <c r="M417" i="5" s="1"/>
  <c r="AB408" i="5"/>
  <c r="Q465" i="5"/>
  <c r="F153" i="11"/>
  <c r="F154" i="11"/>
  <c r="F155" i="11"/>
  <c r="F437" i="5"/>
  <c r="F438" i="5" s="1"/>
  <c r="N437" i="5"/>
  <c r="N438" i="5" s="1"/>
  <c r="V437" i="5"/>
  <c r="V438" i="5" s="1"/>
  <c r="AD437" i="5"/>
  <c r="AD438" i="5" s="1"/>
  <c r="W447" i="5"/>
  <c r="W439" i="5"/>
  <c r="W461" i="5"/>
  <c r="W462" i="5"/>
  <c r="W463" i="5"/>
  <c r="Z341" i="5"/>
  <c r="Z366" i="5" s="1"/>
  <c r="Z368" i="5" s="1"/>
  <c r="T340" i="5"/>
  <c r="AB340" i="5"/>
  <c r="AB342" i="5" s="1"/>
  <c r="T345" i="5"/>
  <c r="W372" i="5"/>
  <c r="W395" i="5" s="1"/>
  <c r="W460" i="5"/>
  <c r="E455" i="5"/>
  <c r="E465" i="5" s="1"/>
  <c r="E462" i="5"/>
  <c r="M462" i="5"/>
  <c r="M455" i="5"/>
  <c r="M465" i="5" s="1"/>
  <c r="U462" i="5"/>
  <c r="U455" i="5"/>
  <c r="U465" i="5" s="1"/>
  <c r="T442" i="5"/>
  <c r="X459" i="5"/>
  <c r="W161" i="11"/>
  <c r="W84" i="11"/>
  <c r="W165" i="11"/>
  <c r="W79" i="11"/>
  <c r="W75" i="11"/>
  <c r="AB84" i="11"/>
  <c r="K148" i="11"/>
  <c r="S148" i="11"/>
  <c r="AA148" i="11"/>
  <c r="M311" i="11"/>
  <c r="M185" i="11"/>
  <c r="W454" i="11"/>
  <c r="W283" i="11"/>
  <c r="W287" i="11"/>
  <c r="H299" i="11"/>
  <c r="H305" i="11" s="1"/>
  <c r="Y313" i="11"/>
  <c r="L433" i="5"/>
  <c r="L431" i="5" s="1"/>
  <c r="AE433" i="5"/>
  <c r="AE431" i="5" s="1"/>
  <c r="F462" i="5"/>
  <c r="AB161" i="11"/>
  <c r="AB75" i="11"/>
  <c r="AB79" i="11"/>
  <c r="L73" i="11"/>
  <c r="AB73" i="11"/>
  <c r="S74" i="11"/>
  <c r="J75" i="11"/>
  <c r="Z75" i="11"/>
  <c r="Q76" i="11"/>
  <c r="H77" i="11"/>
  <c r="X77" i="11"/>
  <c r="O78" i="11"/>
  <c r="F79" i="11"/>
  <c r="AB82" i="11"/>
  <c r="AB105" i="11"/>
  <c r="AB109" i="11"/>
  <c r="D128" i="11"/>
  <c r="M108" i="11"/>
  <c r="M107" i="11"/>
  <c r="M106" i="11"/>
  <c r="M105" i="11"/>
  <c r="M104" i="11"/>
  <c r="U108" i="11"/>
  <c r="U107" i="11"/>
  <c r="U106" i="11"/>
  <c r="U105" i="11"/>
  <c r="U104" i="11"/>
  <c r="U153" i="11"/>
  <c r="U152" i="11" s="1"/>
  <c r="U155" i="11"/>
  <c r="U154" i="11"/>
  <c r="AA136" i="11"/>
  <c r="U143" i="11"/>
  <c r="R292" i="11"/>
  <c r="W311" i="11" s="1"/>
  <c r="R185" i="11"/>
  <c r="P313" i="11"/>
  <c r="M317" i="11"/>
  <c r="Y299" i="11"/>
  <c r="Y304" i="11" s="1"/>
  <c r="O418" i="11"/>
  <c r="O434" i="11"/>
  <c r="O432" i="11" s="1"/>
  <c r="F418" i="11"/>
  <c r="F434" i="11"/>
  <c r="F432" i="11" s="1"/>
  <c r="AC433" i="5"/>
  <c r="AC431" i="5" s="1"/>
  <c r="D417" i="5"/>
  <c r="K417" i="5"/>
  <c r="W419" i="5"/>
  <c r="G459" i="5"/>
  <c r="G455" i="5"/>
  <c r="G465" i="5" s="1"/>
  <c r="O459" i="5"/>
  <c r="O455" i="5"/>
  <c r="O465" i="5" s="1"/>
  <c r="AE459" i="5"/>
  <c r="AE455" i="5"/>
  <c r="AE465" i="5" s="1"/>
  <c r="V455" i="5"/>
  <c r="V465" i="5" s="1"/>
  <c r="AC460" i="5"/>
  <c r="W162" i="11"/>
  <c r="W76" i="11"/>
  <c r="X79" i="11"/>
  <c r="P79" i="11"/>
  <c r="H79" i="11"/>
  <c r="Y78" i="11"/>
  <c r="Q78" i="11"/>
  <c r="I78" i="11"/>
  <c r="Z77" i="11"/>
  <c r="R77" i="11"/>
  <c r="J77" i="11"/>
  <c r="AA76" i="11"/>
  <c r="S76" i="11"/>
  <c r="K76" i="11"/>
  <c r="T75" i="11"/>
  <c r="L75" i="11"/>
  <c r="D75" i="11"/>
  <c r="U74" i="11"/>
  <c r="M74" i="11"/>
  <c r="E74" i="11"/>
  <c r="V73" i="11"/>
  <c r="N73" i="11"/>
  <c r="F73" i="11"/>
  <c r="O79" i="11"/>
  <c r="G79" i="11"/>
  <c r="X78" i="11"/>
  <c r="P78" i="11"/>
  <c r="H78" i="11"/>
  <c r="Y77" i="11"/>
  <c r="Q77" i="11"/>
  <c r="I77" i="11"/>
  <c r="Z76" i="11"/>
  <c r="R76" i="11"/>
  <c r="J76" i="11"/>
  <c r="AA75" i="11"/>
  <c r="S75" i="11"/>
  <c r="K75" i="11"/>
  <c r="T74" i="11"/>
  <c r="L74" i="11"/>
  <c r="D74" i="11"/>
  <c r="U73" i="11"/>
  <c r="M73" i="11"/>
  <c r="E73" i="11"/>
  <c r="U79" i="11"/>
  <c r="M79" i="11"/>
  <c r="E79" i="11"/>
  <c r="V78" i="11"/>
  <c r="N78" i="11"/>
  <c r="F78" i="11"/>
  <c r="O77" i="11"/>
  <c r="G77" i="11"/>
  <c r="X76" i="11"/>
  <c r="P76" i="11"/>
  <c r="H76" i="11"/>
  <c r="Y75" i="11"/>
  <c r="Q75" i="11"/>
  <c r="I75" i="11"/>
  <c r="Z74" i="11"/>
  <c r="R74" i="11"/>
  <c r="J74" i="11"/>
  <c r="AA73" i="11"/>
  <c r="S73" i="11"/>
  <c r="K73" i="11"/>
  <c r="T79" i="11"/>
  <c r="L79" i="11"/>
  <c r="D79" i="11"/>
  <c r="U78" i="11"/>
  <c r="M78" i="11"/>
  <c r="E78" i="11"/>
  <c r="V77" i="11"/>
  <c r="N77" i="11"/>
  <c r="F77" i="11"/>
  <c r="O76" i="11"/>
  <c r="G76" i="11"/>
  <c r="X75" i="11"/>
  <c r="P75" i="11"/>
  <c r="H75" i="11"/>
  <c r="Y74" i="11"/>
  <c r="Q74" i="11"/>
  <c r="I74" i="11"/>
  <c r="Z73" i="11"/>
  <c r="R73" i="11"/>
  <c r="J73" i="11"/>
  <c r="AB70" i="11"/>
  <c r="AB88" i="11" s="1"/>
  <c r="O73" i="11"/>
  <c r="F74" i="11"/>
  <c r="V74" i="11"/>
  <c r="M75" i="11"/>
  <c r="D76" i="11"/>
  <c r="T76" i="11"/>
  <c r="K77" i="11"/>
  <c r="AA77" i="11"/>
  <c r="R78" i="11"/>
  <c r="I79" i="11"/>
  <c r="Y79" i="11"/>
  <c r="W106" i="11"/>
  <c r="W124" i="11"/>
  <c r="W110" i="11"/>
  <c r="E108" i="11"/>
  <c r="E107" i="11"/>
  <c r="E106" i="11"/>
  <c r="E105" i="11"/>
  <c r="E104" i="11"/>
  <c r="N107" i="11"/>
  <c r="N106" i="11"/>
  <c r="N105" i="11"/>
  <c r="N104" i="11"/>
  <c r="V107" i="11"/>
  <c r="V106" i="11"/>
  <c r="V105" i="11"/>
  <c r="V104" i="11"/>
  <c r="N108" i="11"/>
  <c r="E109" i="11"/>
  <c r="W109" i="11"/>
  <c r="AB122" i="11"/>
  <c r="V154" i="11"/>
  <c r="V136" i="11"/>
  <c r="V153" i="11"/>
  <c r="H135" i="11"/>
  <c r="H153" i="11" s="1"/>
  <c r="W154" i="11"/>
  <c r="D143" i="11"/>
  <c r="K324" i="11"/>
  <c r="K334" i="11" s="1"/>
  <c r="K233" i="11"/>
  <c r="P233" i="11"/>
  <c r="S324" i="11"/>
  <c r="S334" i="11" s="1"/>
  <c r="S233" i="11"/>
  <c r="X233" i="11"/>
  <c r="X303" i="11"/>
  <c r="K305" i="11"/>
  <c r="J317" i="11"/>
  <c r="J433" i="5"/>
  <c r="J431" i="5" s="1"/>
  <c r="AB397" i="5"/>
  <c r="AB433" i="5" s="1"/>
  <c r="AB431" i="5" s="1"/>
  <c r="N433" i="5"/>
  <c r="N431" i="5" s="1"/>
  <c r="Y455" i="5"/>
  <c r="Y465" i="5" s="1"/>
  <c r="AB115" i="11"/>
  <c r="AB106" i="11"/>
  <c r="AB124" i="11"/>
  <c r="F107" i="11"/>
  <c r="F106" i="11"/>
  <c r="F105" i="11"/>
  <c r="F104" i="11"/>
  <c r="O106" i="11"/>
  <c r="O105" i="11"/>
  <c r="O104" i="11"/>
  <c r="O110" i="11"/>
  <c r="W107" i="11"/>
  <c r="O108" i="11"/>
  <c r="F109" i="11"/>
  <c r="K143" i="11"/>
  <c r="K133" i="11"/>
  <c r="S143" i="11"/>
  <c r="S133" i="11"/>
  <c r="AA143" i="11"/>
  <c r="AA133" i="11"/>
  <c r="L136" i="11"/>
  <c r="M362" i="11"/>
  <c r="U362" i="11"/>
  <c r="E143" i="11"/>
  <c r="M313" i="11"/>
  <c r="H307" i="11"/>
  <c r="M327" i="11"/>
  <c r="M337" i="11" s="1"/>
  <c r="M284" i="11"/>
  <c r="U327" i="11"/>
  <c r="U337" i="11" s="1"/>
  <c r="U284" i="11"/>
  <c r="O417" i="5"/>
  <c r="Z417" i="5"/>
  <c r="H448" i="5"/>
  <c r="H460" i="5" s="1"/>
  <c r="P459" i="5"/>
  <c r="AB147" i="11"/>
  <c r="AB40" i="11"/>
  <c r="AB442" i="11"/>
  <c r="AB29" i="11"/>
  <c r="AB39" i="11"/>
  <c r="H74" i="11"/>
  <c r="X74" i="11"/>
  <c r="O75" i="11"/>
  <c r="F76" i="11"/>
  <c r="V76" i="11"/>
  <c r="M77" i="11"/>
  <c r="D78" i="11"/>
  <c r="T78" i="11"/>
  <c r="K79" i="11"/>
  <c r="AA79" i="11"/>
  <c r="AB85" i="11"/>
  <c r="K88" i="11"/>
  <c r="W125" i="11"/>
  <c r="W116" i="11"/>
  <c r="H105" i="11"/>
  <c r="H104" i="11"/>
  <c r="H110" i="11"/>
  <c r="H128" i="11"/>
  <c r="H109" i="11"/>
  <c r="G106" i="11"/>
  <c r="G105" i="11"/>
  <c r="G104" i="11"/>
  <c r="G110" i="11"/>
  <c r="H107" i="11"/>
  <c r="G109" i="11"/>
  <c r="E110" i="11"/>
  <c r="W119" i="11"/>
  <c r="M128" i="11"/>
  <c r="L148" i="11"/>
  <c r="L133" i="11"/>
  <c r="T148" i="11"/>
  <c r="T133" i="11"/>
  <c r="AB132" i="11"/>
  <c r="AB133" i="11" s="1"/>
  <c r="X133" i="11"/>
  <c r="M135" i="11"/>
  <c r="M136" i="11" s="1"/>
  <c r="F438" i="11"/>
  <c r="F439" i="11" s="1"/>
  <c r="F440" i="11"/>
  <c r="F441" i="11" s="1"/>
  <c r="N440" i="11"/>
  <c r="N441" i="11" s="1"/>
  <c r="N438" i="11"/>
  <c r="N439" i="11" s="1"/>
  <c r="V438" i="11"/>
  <c r="V439" i="11" s="1"/>
  <c r="V440" i="11"/>
  <c r="V441" i="11" s="1"/>
  <c r="N362" i="11"/>
  <c r="V362" i="11"/>
  <c r="F143" i="11"/>
  <c r="K166" i="11"/>
  <c r="S166" i="11"/>
  <c r="Z395" i="5"/>
  <c r="G417" i="5"/>
  <c r="H417" i="5" s="1"/>
  <c r="H408" i="5"/>
  <c r="P417" i="5"/>
  <c r="Q442" i="5"/>
  <c r="J455" i="5"/>
  <c r="J465" i="5" s="1"/>
  <c r="R455" i="5"/>
  <c r="R465" i="5" s="1"/>
  <c r="Z455" i="5"/>
  <c r="Z465" i="5" s="1"/>
  <c r="AB37" i="11"/>
  <c r="AB166" i="11"/>
  <c r="O88" i="11"/>
  <c r="W70" i="11"/>
  <c r="W88" i="11" s="1"/>
  <c r="D73" i="11"/>
  <c r="T73" i="11"/>
  <c r="K74" i="11"/>
  <c r="AA74" i="11"/>
  <c r="R75" i="11"/>
  <c r="I76" i="11"/>
  <c r="Y76" i="11"/>
  <c r="P77" i="11"/>
  <c r="G78" i="11"/>
  <c r="W78" i="11"/>
  <c r="N79" i="11"/>
  <c r="M109" i="11"/>
  <c r="F110" i="11"/>
  <c r="V110" i="11"/>
  <c r="N128" i="11"/>
  <c r="N136" i="11"/>
  <c r="N154" i="11"/>
  <c r="N152" i="11" s="1"/>
  <c r="S136" i="11"/>
  <c r="W153" i="11"/>
  <c r="G440" i="11"/>
  <c r="G441" i="11" s="1"/>
  <c r="G438" i="11"/>
  <c r="G439" i="11" s="1"/>
  <c r="O440" i="11"/>
  <c r="O441" i="11" s="1"/>
  <c r="O438" i="11"/>
  <c r="O439" i="11" s="1"/>
  <c r="G356" i="11"/>
  <c r="G358" i="11" s="1"/>
  <c r="G361" i="11" s="1"/>
  <c r="G362" i="11" s="1"/>
  <c r="G143" i="11"/>
  <c r="O356" i="11"/>
  <c r="O358" i="11" s="1"/>
  <c r="O361" i="11" s="1"/>
  <c r="O143" i="11"/>
  <c r="W356" i="11"/>
  <c r="W358" i="11" s="1"/>
  <c r="W361" i="11" s="1"/>
  <c r="W143" i="11"/>
  <c r="L143" i="11"/>
  <c r="M312" i="11"/>
  <c r="G323" i="11"/>
  <c r="G333" i="11" s="1"/>
  <c r="L215" i="11"/>
  <c r="O323" i="11"/>
  <c r="O333" i="11" s="1"/>
  <c r="O215" i="11"/>
  <c r="W323" i="11"/>
  <c r="W333" i="11" s="1"/>
  <c r="W215" i="11"/>
  <c r="AD417" i="5"/>
  <c r="K455" i="5"/>
  <c r="K465" i="5" s="1"/>
  <c r="S455" i="5"/>
  <c r="S465" i="5" s="1"/>
  <c r="AA455" i="5"/>
  <c r="AA465" i="5" s="1"/>
  <c r="G73" i="11"/>
  <c r="W73" i="11"/>
  <c r="N74" i="11"/>
  <c r="E75" i="11"/>
  <c r="U75" i="11"/>
  <c r="L76" i="11"/>
  <c r="AB76" i="11"/>
  <c r="S77" i="11"/>
  <c r="J78" i="11"/>
  <c r="Z78" i="11"/>
  <c r="Q79" i="11"/>
  <c r="F108" i="11"/>
  <c r="V108" i="11"/>
  <c r="N109" i="11"/>
  <c r="AB116" i="11"/>
  <c r="O128" i="11"/>
  <c r="E153" i="11"/>
  <c r="E152" i="11" s="1"/>
  <c r="E154" i="11"/>
  <c r="O135" i="11"/>
  <c r="AB153" i="11"/>
  <c r="AB135" i="11"/>
  <c r="P155" i="11"/>
  <c r="P135" i="11"/>
  <c r="U136" i="11" s="1"/>
  <c r="H440" i="11"/>
  <c r="H441" i="11" s="1"/>
  <c r="H438" i="11"/>
  <c r="H439" i="11" s="1"/>
  <c r="P440" i="11"/>
  <c r="P441" i="11" s="1"/>
  <c r="P438" i="11"/>
  <c r="P439" i="11" s="1"/>
  <c r="X440" i="11"/>
  <c r="X441" i="11" s="1"/>
  <c r="X438" i="11"/>
  <c r="X439" i="11" s="1"/>
  <c r="AB355" i="11"/>
  <c r="M143" i="11"/>
  <c r="H323" i="11"/>
  <c r="H333" i="11" s="1"/>
  <c r="M215" i="11"/>
  <c r="P323" i="11"/>
  <c r="P333" i="11" s="1"/>
  <c r="P215" i="11"/>
  <c r="U215" i="11"/>
  <c r="X323" i="11"/>
  <c r="X333" i="11" s="1"/>
  <c r="X215" i="11"/>
  <c r="K459" i="5"/>
  <c r="S459" i="5"/>
  <c r="AA459" i="5"/>
  <c r="D105" i="11"/>
  <c r="L105" i="11"/>
  <c r="T105" i="11"/>
  <c r="K106" i="11"/>
  <c r="S106" i="11"/>
  <c r="AA106" i="11"/>
  <c r="J107" i="11"/>
  <c r="R107" i="11"/>
  <c r="Z107" i="11"/>
  <c r="I108" i="11"/>
  <c r="Q108" i="11"/>
  <c r="Y108" i="11"/>
  <c r="P109" i="11"/>
  <c r="X109" i="11"/>
  <c r="P128" i="11"/>
  <c r="X128" i="11"/>
  <c r="I133" i="11"/>
  <c r="Q133" i="11"/>
  <c r="Y133" i="11"/>
  <c r="X155" i="11"/>
  <c r="X154" i="11"/>
  <c r="J155" i="11"/>
  <c r="R139" i="11"/>
  <c r="I438" i="11"/>
  <c r="I439" i="11" s="1"/>
  <c r="I440" i="11"/>
  <c r="I441" i="11" s="1"/>
  <c r="Q438" i="11"/>
  <c r="Q439" i="11" s="1"/>
  <c r="Q440" i="11"/>
  <c r="Q441" i="11" s="1"/>
  <c r="Y438" i="11"/>
  <c r="Y439" i="11" s="1"/>
  <c r="Y440" i="11"/>
  <c r="Y441" i="11" s="1"/>
  <c r="P362" i="11"/>
  <c r="AB356" i="11"/>
  <c r="X358" i="11"/>
  <c r="X361" i="11" s="1"/>
  <c r="AB203" i="11"/>
  <c r="AB293" i="11"/>
  <c r="AB215" i="11"/>
  <c r="W313" i="11"/>
  <c r="W245" i="11"/>
  <c r="W243" i="11"/>
  <c r="J251" i="11"/>
  <c r="P326" i="11"/>
  <c r="P336" i="11" s="1"/>
  <c r="U269" i="11"/>
  <c r="P269" i="11"/>
  <c r="X326" i="11"/>
  <c r="X336" i="11" s="1"/>
  <c r="X269" i="11"/>
  <c r="V269" i="11"/>
  <c r="F303" i="11"/>
  <c r="Y303" i="11"/>
  <c r="Y312" i="11"/>
  <c r="K307" i="11"/>
  <c r="K316" i="11"/>
  <c r="U307" i="11"/>
  <c r="AB41" i="11"/>
  <c r="W166" i="11"/>
  <c r="W77" i="11"/>
  <c r="W82" i="11"/>
  <c r="W86" i="11"/>
  <c r="D106" i="11"/>
  <c r="L106" i="11"/>
  <c r="T106" i="11"/>
  <c r="K107" i="11"/>
  <c r="S107" i="11"/>
  <c r="AA107" i="11"/>
  <c r="J108" i="11"/>
  <c r="R108" i="11"/>
  <c r="Z108" i="11"/>
  <c r="I109" i="11"/>
  <c r="Q109" i="11"/>
  <c r="Y109" i="11"/>
  <c r="P110" i="11"/>
  <c r="X110" i="11"/>
  <c r="I128" i="11"/>
  <c r="I155" i="11"/>
  <c r="I154" i="11"/>
  <c r="I153" i="11"/>
  <c r="I152" i="11" s="1"/>
  <c r="Y155" i="11"/>
  <c r="Y154" i="11"/>
  <c r="Y153" i="11"/>
  <c r="W155" i="11"/>
  <c r="J440" i="11"/>
  <c r="J441" i="11" s="1"/>
  <c r="J438" i="11"/>
  <c r="J439" i="11" s="1"/>
  <c r="R440" i="11"/>
  <c r="R441" i="11" s="1"/>
  <c r="R438" i="11"/>
  <c r="R439" i="11" s="1"/>
  <c r="Z440" i="11"/>
  <c r="Z441" i="11" s="1"/>
  <c r="Z438" i="11"/>
  <c r="Z439" i="11" s="1"/>
  <c r="I362" i="11"/>
  <c r="Q362" i="11"/>
  <c r="Y362" i="11"/>
  <c r="D166" i="11"/>
  <c r="L166" i="11"/>
  <c r="T166" i="11"/>
  <c r="W448" i="11"/>
  <c r="W440" i="11"/>
  <c r="W178" i="11"/>
  <c r="W182" i="11"/>
  <c r="W193" i="11"/>
  <c r="W194" i="11"/>
  <c r="AB313" i="11"/>
  <c r="AB245" i="11"/>
  <c r="U325" i="11"/>
  <c r="U335" i="11" s="1"/>
  <c r="U251" i="11"/>
  <c r="I269" i="11"/>
  <c r="I326" i="11"/>
  <c r="I336" i="11" s="1"/>
  <c r="Y269" i="11"/>
  <c r="Y326" i="11"/>
  <c r="Y336" i="11" s="1"/>
  <c r="P312" i="11"/>
  <c r="AB315" i="11"/>
  <c r="M325" i="11"/>
  <c r="M335" i="11" s="1"/>
  <c r="L345" i="11"/>
  <c r="L340" i="11"/>
  <c r="T345" i="11"/>
  <c r="T340" i="11"/>
  <c r="AB345" i="11"/>
  <c r="AB340" i="11"/>
  <c r="AB342" i="11" s="1"/>
  <c r="H351" i="11"/>
  <c r="H340" i="11"/>
  <c r="H342" i="11" s="1"/>
  <c r="Y351" i="11"/>
  <c r="X340" i="11"/>
  <c r="J109" i="11"/>
  <c r="R109" i="11"/>
  <c r="Z109" i="11"/>
  <c r="W123" i="11"/>
  <c r="AB126" i="11"/>
  <c r="J128" i="11"/>
  <c r="R128" i="11"/>
  <c r="Z128" i="11"/>
  <c r="J154" i="11"/>
  <c r="J153" i="11"/>
  <c r="J152" i="11" s="1"/>
  <c r="Z155" i="11"/>
  <c r="Z154" i="11"/>
  <c r="Z153" i="11"/>
  <c r="AB154" i="11"/>
  <c r="K440" i="11"/>
  <c r="K441" i="11" s="1"/>
  <c r="K438" i="11"/>
  <c r="K439" i="11" s="1"/>
  <c r="S440" i="11"/>
  <c r="S441" i="11" s="1"/>
  <c r="S438" i="11"/>
  <c r="S439" i="11" s="1"/>
  <c r="AA440" i="11"/>
  <c r="AA441" i="11" s="1"/>
  <c r="AA438" i="11"/>
  <c r="AA439" i="11" s="1"/>
  <c r="J362" i="11"/>
  <c r="R362" i="11"/>
  <c r="Z362" i="11"/>
  <c r="I143" i="11"/>
  <c r="Q143" i="11"/>
  <c r="Y143" i="11"/>
  <c r="Y321" i="11"/>
  <c r="Y331" i="11" s="1"/>
  <c r="Y179" i="11"/>
  <c r="AB448" i="11"/>
  <c r="AB440" i="11"/>
  <c r="AB441" i="11" s="1"/>
  <c r="AB183" i="11"/>
  <c r="AB178" i="11"/>
  <c r="AB182" i="11"/>
  <c r="AB194" i="11"/>
  <c r="W233" i="11"/>
  <c r="R295" i="11"/>
  <c r="R239" i="11"/>
  <c r="F325" i="11"/>
  <c r="F335" i="11" s="1"/>
  <c r="K251" i="11"/>
  <c r="N251" i="11"/>
  <c r="S251" i="11"/>
  <c r="V325" i="11"/>
  <c r="V335" i="11" s="1"/>
  <c r="V251" i="11"/>
  <c r="AA251" i="11"/>
  <c r="R251" i="11"/>
  <c r="W254" i="11"/>
  <c r="W316" i="11"/>
  <c r="X311" i="11"/>
  <c r="X299" i="11"/>
  <c r="X302" i="11" s="1"/>
  <c r="Q303" i="11"/>
  <c r="Q312" i="11"/>
  <c r="K304" i="11"/>
  <c r="T315" i="11"/>
  <c r="N325" i="11"/>
  <c r="N335" i="11" s="1"/>
  <c r="AB36" i="11"/>
  <c r="AB38" i="11"/>
  <c r="AB74" i="11"/>
  <c r="D108" i="11"/>
  <c r="L108" i="11"/>
  <c r="T108" i="11"/>
  <c r="AB108" i="11"/>
  <c r="K109" i="11"/>
  <c r="S109" i="11"/>
  <c r="AA109" i="11"/>
  <c r="AB113" i="11"/>
  <c r="AB127" i="11"/>
  <c r="K128" i="11"/>
  <c r="S128" i="11"/>
  <c r="AA128" i="11"/>
  <c r="K135" i="11"/>
  <c r="S155" i="11"/>
  <c r="S154" i="11"/>
  <c r="S153" i="11"/>
  <c r="S152" i="11" s="1"/>
  <c r="AA155" i="11"/>
  <c r="AA154" i="11"/>
  <c r="AA153" i="11"/>
  <c r="M139" i="11"/>
  <c r="D438" i="11"/>
  <c r="D439" i="11" s="1"/>
  <c r="D440" i="11"/>
  <c r="D441" i="11" s="1"/>
  <c r="L438" i="11"/>
  <c r="L439" i="11" s="1"/>
  <c r="L440" i="11"/>
  <c r="L441" i="11" s="1"/>
  <c r="T438" i="11"/>
  <c r="T439" i="11" s="1"/>
  <c r="T440" i="11"/>
  <c r="T441" i="11" s="1"/>
  <c r="K362" i="11"/>
  <c r="S362" i="11"/>
  <c r="AA362" i="11"/>
  <c r="J143" i="11"/>
  <c r="R143" i="11"/>
  <c r="Z143" i="11"/>
  <c r="X153" i="11"/>
  <c r="X152" i="11" s="1"/>
  <c r="F166" i="11"/>
  <c r="N166" i="11"/>
  <c r="V166" i="11"/>
  <c r="I321" i="11"/>
  <c r="I331" i="11" s="1"/>
  <c r="I179" i="11"/>
  <c r="Q321" i="11"/>
  <c r="Q331" i="11" s="1"/>
  <c r="Q179" i="11"/>
  <c r="Z321" i="11"/>
  <c r="Z331" i="11" s="1"/>
  <c r="Z179" i="11"/>
  <c r="AB322" i="11"/>
  <c r="AB332" i="11" s="1"/>
  <c r="AB197" i="11"/>
  <c r="Z324" i="11"/>
  <c r="Z334" i="11" s="1"/>
  <c r="Z233" i="11"/>
  <c r="W314" i="11"/>
  <c r="AB297" i="11"/>
  <c r="AB275" i="11"/>
  <c r="F444" i="11"/>
  <c r="F308" i="11"/>
  <c r="F365" i="11"/>
  <c r="F304" i="11"/>
  <c r="T311" i="11"/>
  <c r="O311" i="11"/>
  <c r="O299" i="11"/>
  <c r="Y302" i="11"/>
  <c r="I312" i="11"/>
  <c r="P314" i="11"/>
  <c r="U314" i="11"/>
  <c r="O302" i="11"/>
  <c r="J321" i="11"/>
  <c r="J331" i="11" s="1"/>
  <c r="D109" i="11"/>
  <c r="L109" i="11"/>
  <c r="T109" i="11"/>
  <c r="D154" i="11"/>
  <c r="D153" i="11"/>
  <c r="D152" i="11" s="1"/>
  <c r="L154" i="11"/>
  <c r="L153" i="11"/>
  <c r="T154" i="11"/>
  <c r="T153" i="11"/>
  <c r="T152" i="11" s="1"/>
  <c r="E440" i="11"/>
  <c r="E441" i="11" s="1"/>
  <c r="E438" i="11"/>
  <c r="E439" i="11" s="1"/>
  <c r="M440" i="11"/>
  <c r="M441" i="11" s="1"/>
  <c r="M438" i="11"/>
  <c r="M439" i="11" s="1"/>
  <c r="U438" i="11"/>
  <c r="U439" i="11" s="1"/>
  <c r="U440" i="11"/>
  <c r="U441" i="11" s="1"/>
  <c r="L362" i="11"/>
  <c r="T362" i="11"/>
  <c r="G166" i="11"/>
  <c r="O166" i="11"/>
  <c r="R321" i="11"/>
  <c r="R331" i="11" s="1"/>
  <c r="R179" i="11"/>
  <c r="L322" i="11"/>
  <c r="L332" i="11" s="1"/>
  <c r="L197" i="11"/>
  <c r="T322" i="11"/>
  <c r="T332" i="11" s="1"/>
  <c r="T197" i="11"/>
  <c r="I197" i="11"/>
  <c r="AB209" i="11"/>
  <c r="AB207" i="11"/>
  <c r="J324" i="11"/>
  <c r="J334" i="11" s="1"/>
  <c r="J233" i="11"/>
  <c r="R324" i="11"/>
  <c r="R334" i="11" s="1"/>
  <c r="R233" i="11"/>
  <c r="AA324" i="11"/>
  <c r="AA334" i="11" s="1"/>
  <c r="AA233" i="11"/>
  <c r="AB451" i="11"/>
  <c r="AB463" i="11" s="1"/>
  <c r="AB237" i="11"/>
  <c r="AB232" i="11"/>
  <c r="AB236" i="11"/>
  <c r="W247" i="11"/>
  <c r="W250" i="11"/>
  <c r="Z251" i="11"/>
  <c r="R317" i="11"/>
  <c r="G302" i="11"/>
  <c r="L311" i="11"/>
  <c r="P311" i="11"/>
  <c r="P299" i="11"/>
  <c r="G299" i="11"/>
  <c r="U342" i="11"/>
  <c r="AB171" i="11"/>
  <c r="O179" i="11"/>
  <c r="W185" i="11"/>
  <c r="W189" i="11"/>
  <c r="J197" i="11"/>
  <c r="R197" i="11"/>
  <c r="Z197" i="11"/>
  <c r="W200" i="11"/>
  <c r="R203" i="11"/>
  <c r="W462" i="11"/>
  <c r="M221" i="11"/>
  <c r="AB255" i="11"/>
  <c r="O269" i="11"/>
  <c r="L284" i="11"/>
  <c r="AB287" i="11"/>
  <c r="AB454" i="11"/>
  <c r="AB317" i="11"/>
  <c r="I299" i="11"/>
  <c r="I311" i="11"/>
  <c r="Q299" i="11"/>
  <c r="Q304" i="11" s="1"/>
  <c r="AA314" i="11"/>
  <c r="P315" i="11"/>
  <c r="K315" i="11"/>
  <c r="U306" i="11"/>
  <c r="M297" i="11"/>
  <c r="O308" i="11"/>
  <c r="O317" i="11"/>
  <c r="X308" i="11"/>
  <c r="N444" i="11"/>
  <c r="N365" i="11"/>
  <c r="N318" i="11"/>
  <c r="N308" i="11"/>
  <c r="K306" i="11"/>
  <c r="S314" i="11"/>
  <c r="V316" i="11"/>
  <c r="P325" i="11"/>
  <c r="P335" i="11" s="1"/>
  <c r="I35" i="12"/>
  <c r="L17" i="12"/>
  <c r="M17" i="12" s="1"/>
  <c r="I19" i="12"/>
  <c r="T35" i="12"/>
  <c r="Y35" i="12"/>
  <c r="W17" i="12"/>
  <c r="P179" i="11"/>
  <c r="X179" i="11"/>
  <c r="AB299" i="11"/>
  <c r="AB308" i="11" s="1"/>
  <c r="AB311" i="11"/>
  <c r="AB193" i="11"/>
  <c r="W196" i="11"/>
  <c r="K197" i="11"/>
  <c r="S197" i="11"/>
  <c r="AA197" i="11"/>
  <c r="AB201" i="11"/>
  <c r="W211" i="11"/>
  <c r="N215" i="11"/>
  <c r="V215" i="11"/>
  <c r="AB462" i="11"/>
  <c r="W219" i="11"/>
  <c r="R313" i="11"/>
  <c r="I233" i="11"/>
  <c r="Q233" i="11"/>
  <c r="Y233" i="11"/>
  <c r="L251" i="11"/>
  <c r="T251" i="11"/>
  <c r="H306" i="11"/>
  <c r="AB261" i="11"/>
  <c r="Z269" i="11"/>
  <c r="W272" i="11"/>
  <c r="J299" i="11"/>
  <c r="J307" i="11" s="1"/>
  <c r="J311" i="11"/>
  <c r="T312" i="11"/>
  <c r="AB295" i="11"/>
  <c r="L315" i="11"/>
  <c r="L306" i="11"/>
  <c r="V315" i="11"/>
  <c r="X316" i="11"/>
  <c r="X307" i="11"/>
  <c r="O303" i="11"/>
  <c r="T305" i="11"/>
  <c r="T314" i="11"/>
  <c r="AA326" i="11"/>
  <c r="AA336" i="11" s="1"/>
  <c r="W438" i="11"/>
  <c r="AB212" i="11"/>
  <c r="AB218" i="11"/>
  <c r="W221" i="11"/>
  <c r="W225" i="11"/>
  <c r="W230" i="11"/>
  <c r="W236" i="11"/>
  <c r="W464" i="11"/>
  <c r="M315" i="11"/>
  <c r="M257" i="11"/>
  <c r="AB263" i="11"/>
  <c r="AB268" i="11"/>
  <c r="R269" i="11"/>
  <c r="AB273" i="11"/>
  <c r="N284" i="11"/>
  <c r="L312" i="11"/>
  <c r="L299" i="11"/>
  <c r="L304" i="11" s="1"/>
  <c r="L303" i="11"/>
  <c r="U312" i="11"/>
  <c r="I313" i="11"/>
  <c r="Z313" i="11"/>
  <c r="U304" i="11"/>
  <c r="N315" i="11"/>
  <c r="N306" i="11"/>
  <c r="W296" i="11"/>
  <c r="F307" i="11"/>
  <c r="Q308" i="11"/>
  <c r="O306" i="11"/>
  <c r="J466" i="11"/>
  <c r="W437" i="11"/>
  <c r="W445" i="11" s="1"/>
  <c r="W171" i="11"/>
  <c r="AB438" i="11"/>
  <c r="W176" i="11"/>
  <c r="M203" i="11"/>
  <c r="AB464" i="11"/>
  <c r="J284" i="11"/>
  <c r="J327" i="11"/>
  <c r="J337" i="11" s="1"/>
  <c r="R284" i="11"/>
  <c r="Z284" i="11"/>
  <c r="Z327" i="11"/>
  <c r="Z337" i="11" s="1"/>
  <c r="O284" i="11"/>
  <c r="U299" i="11"/>
  <c r="U302" i="11"/>
  <c r="E303" i="11"/>
  <c r="J313" i="11"/>
  <c r="V313" i="11"/>
  <c r="AA313" i="11"/>
  <c r="V304" i="11"/>
  <c r="M295" i="11"/>
  <c r="T299" i="11"/>
  <c r="T306" i="11" s="1"/>
  <c r="F302" i="11"/>
  <c r="U308" i="11"/>
  <c r="Q311" i="11"/>
  <c r="U313" i="11"/>
  <c r="AB437" i="11"/>
  <c r="W173" i="11"/>
  <c r="AB175" i="11"/>
  <c r="K179" i="11"/>
  <c r="S179" i="11"/>
  <c r="AA179" i="11"/>
  <c r="N197" i="11"/>
  <c r="V197" i="11"/>
  <c r="AB461" i="11"/>
  <c r="R312" i="11"/>
  <c r="I215" i="11"/>
  <c r="Q215" i="11"/>
  <c r="Y215" i="11"/>
  <c r="L233" i="11"/>
  <c r="T233" i="11"/>
  <c r="AB243" i="11"/>
  <c r="O251" i="11"/>
  <c r="AB254" i="11"/>
  <c r="K269" i="11"/>
  <c r="T269" i="11"/>
  <c r="W465" i="11"/>
  <c r="Y284" i="11"/>
  <c r="H308" i="11"/>
  <c r="E299" i="11"/>
  <c r="V311" i="11"/>
  <c r="V299" i="11"/>
  <c r="V305" i="11" s="1"/>
  <c r="N303" i="11"/>
  <c r="S312" i="11"/>
  <c r="W293" i="11"/>
  <c r="N313" i="11"/>
  <c r="N304" i="11"/>
  <c r="F305" i="11"/>
  <c r="N314" i="11"/>
  <c r="N305" i="11"/>
  <c r="F306" i="11"/>
  <c r="Y315" i="11"/>
  <c r="AA316" i="11"/>
  <c r="D299" i="11"/>
  <c r="D303" i="11" s="1"/>
  <c r="O304" i="11"/>
  <c r="N307" i="11"/>
  <c r="U311" i="11"/>
  <c r="V312" i="11"/>
  <c r="T179" i="11"/>
  <c r="AB185" i="11"/>
  <c r="AB200" i="11"/>
  <c r="J215" i="11"/>
  <c r="R215" i="11"/>
  <c r="W218" i="11"/>
  <c r="R221" i="11"/>
  <c r="W463" i="11"/>
  <c r="AB250" i="11"/>
  <c r="X251" i="11"/>
  <c r="L269" i="11"/>
  <c r="AB465" i="11"/>
  <c r="R316" i="11"/>
  <c r="AB283" i="11"/>
  <c r="Q284" i="11"/>
  <c r="N311" i="11"/>
  <c r="G304" i="11"/>
  <c r="X304" i="11"/>
  <c r="X313" i="11"/>
  <c r="G305" i="11"/>
  <c r="O305" i="11"/>
  <c r="O314" i="11"/>
  <c r="X314" i="11"/>
  <c r="X305" i="11"/>
  <c r="Q315" i="11"/>
  <c r="Z306" i="11"/>
  <c r="S316" i="11"/>
  <c r="AA341" i="11"/>
  <c r="AA366" i="11" s="1"/>
  <c r="AA342" i="11"/>
  <c r="N418" i="11"/>
  <c r="N434" i="11"/>
  <c r="N432" i="11" s="1"/>
  <c r="Z302" i="11"/>
  <c r="J312" i="11"/>
  <c r="Z312" i="11"/>
  <c r="P316" i="11"/>
  <c r="Z299" i="11"/>
  <c r="Q306" i="11"/>
  <c r="AA311" i="11"/>
  <c r="I342" i="11"/>
  <c r="I341" i="11"/>
  <c r="V341" i="11"/>
  <c r="V366" i="11" s="1"/>
  <c r="V342" i="11"/>
  <c r="G418" i="11"/>
  <c r="H418" i="11" s="1"/>
  <c r="G434" i="11"/>
  <c r="P418" i="11"/>
  <c r="Z466" i="11"/>
  <c r="D51" i="12"/>
  <c r="J314" i="11"/>
  <c r="Z314" i="11"/>
  <c r="Z316" i="11"/>
  <c r="AA299" i="11"/>
  <c r="AA308" i="11" s="1"/>
  <c r="S311" i="11"/>
  <c r="X315" i="11"/>
  <c r="AB396" i="11"/>
  <c r="H382" i="11"/>
  <c r="H396" i="11" s="1"/>
  <c r="H398" i="11"/>
  <c r="M398" i="11"/>
  <c r="M434" i="11" s="1"/>
  <c r="M432" i="11" s="1"/>
  <c r="W418" i="11"/>
  <c r="Q9" i="12"/>
  <c r="R9" i="12"/>
  <c r="G16" i="12"/>
  <c r="H16" i="12" s="1"/>
  <c r="J316" i="11"/>
  <c r="Z317" i="11"/>
  <c r="S299" i="11"/>
  <c r="S302" i="11" s="1"/>
  <c r="Z305" i="11"/>
  <c r="Q313" i="11"/>
  <c r="O316" i="11"/>
  <c r="Q317" i="11"/>
  <c r="AB357" i="11"/>
  <c r="AB364" i="11" s="1"/>
  <c r="Y364" i="11"/>
  <c r="V445" i="11"/>
  <c r="V443" i="11"/>
  <c r="N342" i="11"/>
  <c r="P348" i="11"/>
  <c r="P340" i="11"/>
  <c r="Q341" i="11" s="1"/>
  <c r="Q366" i="11" s="1"/>
  <c r="Z348" i="11"/>
  <c r="Y340" i="11"/>
  <c r="Z341" i="11" s="1"/>
  <c r="Z366" i="11" s="1"/>
  <c r="E460" i="11"/>
  <c r="E456" i="11"/>
  <c r="E466" i="11" s="1"/>
  <c r="M460" i="11"/>
  <c r="M456" i="11"/>
  <c r="M466" i="11" s="1"/>
  <c r="U460" i="11"/>
  <c r="U456" i="11"/>
  <c r="U466" i="11" s="1"/>
  <c r="R461" i="11"/>
  <c r="R456" i="11"/>
  <c r="R466" i="11" s="1"/>
  <c r="L308" i="11"/>
  <c r="L317" i="11"/>
  <c r="T317" i="11"/>
  <c r="Z308" i="11"/>
  <c r="J345" i="11"/>
  <c r="J340" i="11"/>
  <c r="R340" i="11"/>
  <c r="R342" i="11" s="1"/>
  <c r="R345" i="11"/>
  <c r="W396" i="11"/>
  <c r="M347" i="11"/>
  <c r="M372" i="11"/>
  <c r="M396" i="11" s="1"/>
  <c r="R382" i="11"/>
  <c r="R396" i="11" s="1"/>
  <c r="R398" i="11"/>
  <c r="R434" i="11" s="1"/>
  <c r="I418" i="11"/>
  <c r="Q418" i="11"/>
  <c r="AB420" i="11"/>
  <c r="W461" i="11"/>
  <c r="M8" i="12"/>
  <c r="R418" i="11"/>
  <c r="H443" i="11"/>
  <c r="P443" i="11"/>
  <c r="X443" i="11"/>
  <c r="G466" i="11"/>
  <c r="O466" i="11"/>
  <c r="X460" i="11"/>
  <c r="X456" i="11"/>
  <c r="X466" i="11" s="1"/>
  <c r="U396" i="11"/>
  <c r="AB382" i="11"/>
  <c r="L7" i="12"/>
  <c r="M7" i="12" s="1"/>
  <c r="K341" i="11"/>
  <c r="K366" i="11" s="1"/>
  <c r="K368" i="11" s="1"/>
  <c r="W398" i="11"/>
  <c r="W434" i="11" s="1"/>
  <c r="W432" i="11" s="1"/>
  <c r="AB409" i="11"/>
  <c r="AB418" i="11" s="1"/>
  <c r="R420" i="11"/>
  <c r="T445" i="11"/>
  <c r="D340" i="11"/>
  <c r="S342" i="11"/>
  <c r="N396" i="11"/>
  <c r="E432" i="11"/>
  <c r="N36" i="12"/>
  <c r="N25" i="12"/>
  <c r="S36" i="12"/>
  <c r="N21" i="12"/>
  <c r="Y456" i="11"/>
  <c r="Y466" i="11" s="1"/>
  <c r="G15" i="12"/>
  <c r="V35" i="12"/>
  <c r="E51" i="12"/>
  <c r="M51" i="12"/>
  <c r="U51" i="12"/>
  <c r="D443" i="11"/>
  <c r="L443" i="11"/>
  <c r="T443" i="11"/>
  <c r="Y443" i="11"/>
  <c r="I456" i="11"/>
  <c r="I466" i="11" s="1"/>
  <c r="Q456" i="11"/>
  <c r="Q466" i="11" s="1"/>
  <c r="P456" i="11"/>
  <c r="P466" i="11" s="1"/>
  <c r="N35" i="12"/>
  <c r="F51" i="12"/>
  <c r="N51" i="12"/>
  <c r="V51" i="12"/>
  <c r="K445" i="11"/>
  <c r="S445" i="11"/>
  <c r="AA445" i="11"/>
  <c r="E443" i="11"/>
  <c r="M443" i="11"/>
  <c r="U443" i="11"/>
  <c r="AA443" i="11"/>
  <c r="AA460" i="11"/>
  <c r="AA456" i="11"/>
  <c r="AA466" i="11" s="1"/>
  <c r="L9" i="12"/>
  <c r="M9" i="12" s="1"/>
  <c r="AB33" i="12"/>
  <c r="H15" i="12"/>
  <c r="H17" i="12"/>
  <c r="H19" i="12" s="1"/>
  <c r="D19" i="12"/>
  <c r="G17" i="12"/>
  <c r="T36" i="12"/>
  <c r="O21" i="12"/>
  <c r="G18" i="12"/>
  <c r="G28" i="12" s="1"/>
  <c r="E28" i="12"/>
  <c r="G51" i="12"/>
  <c r="W51" i="12"/>
  <c r="S351" i="11"/>
  <c r="I443" i="11"/>
  <c r="K460" i="11"/>
  <c r="K456" i="11"/>
  <c r="K466" i="11" s="1"/>
  <c r="S460" i="11"/>
  <c r="S456" i="11"/>
  <c r="S466" i="11" s="1"/>
  <c r="D461" i="11"/>
  <c r="H449" i="11"/>
  <c r="AB31" i="12"/>
  <c r="R7" i="12"/>
  <c r="H14" i="12"/>
  <c r="M15" i="12"/>
  <c r="M16" i="12"/>
  <c r="E25" i="12"/>
  <c r="E21" i="12"/>
  <c r="U36" i="12"/>
  <c r="P36" i="12"/>
  <c r="P25" i="12"/>
  <c r="P28" i="12"/>
  <c r="AB58" i="12"/>
  <c r="AB59" i="12"/>
  <c r="AB49" i="12"/>
  <c r="M445" i="11"/>
  <c r="U445" i="11"/>
  <c r="G443" i="11"/>
  <c r="O443" i="11"/>
  <c r="W443" i="11"/>
  <c r="K443" i="11"/>
  <c r="D456" i="11"/>
  <c r="D466" i="11" s="1"/>
  <c r="L456" i="11"/>
  <c r="L466" i="11" s="1"/>
  <c r="T456" i="11"/>
  <c r="T466" i="11" s="1"/>
  <c r="H7" i="12"/>
  <c r="G7" i="12"/>
  <c r="Q14" i="12"/>
  <c r="R14" i="12" s="1"/>
  <c r="Q35" i="12"/>
  <c r="H18" i="12"/>
  <c r="H28" i="12" s="1"/>
  <c r="F25" i="12"/>
  <c r="F21" i="12"/>
  <c r="I51" i="12"/>
  <c r="Q51" i="12"/>
  <c r="Z51" i="12"/>
  <c r="W6" i="12"/>
  <c r="Q18" i="12"/>
  <c r="Q28" i="12" s="1"/>
  <c r="J19" i="12"/>
  <c r="AB21" i="12"/>
  <c r="AB24" i="12"/>
  <c r="AB28" i="12"/>
  <c r="O35" i="12"/>
  <c r="AB37" i="12"/>
  <c r="X50" i="12"/>
  <c r="X51" i="12" s="1"/>
  <c r="AC58" i="12"/>
  <c r="AC62" i="12"/>
  <c r="AD63" i="12"/>
  <c r="W34" i="12"/>
  <c r="P35" i="12"/>
  <c r="X35" i="12"/>
  <c r="AC49" i="12"/>
  <c r="W59" i="12"/>
  <c r="AE59" i="12"/>
  <c r="W63" i="12"/>
  <c r="AE63" i="12"/>
  <c r="W33" i="12"/>
  <c r="W58" i="12"/>
  <c r="L18" i="12"/>
  <c r="W21" i="12"/>
  <c r="W24" i="12"/>
  <c r="K25" i="12"/>
  <c r="W26" i="12"/>
  <c r="W28" i="12"/>
  <c r="AB32" i="12"/>
  <c r="Z35" i="12"/>
  <c r="W37" i="12"/>
  <c r="N40" i="12"/>
  <c r="N44" i="12" s="1"/>
  <c r="AB27" i="12"/>
  <c r="AB26" i="12" s="1"/>
  <c r="AA35" i="12"/>
  <c r="N64" i="12"/>
  <c r="AB65" i="12"/>
  <c r="F456" i="11"/>
  <c r="F466" i="11" s="1"/>
  <c r="N456" i="11"/>
  <c r="N466" i="11" s="1"/>
  <c r="V456" i="11"/>
  <c r="V466" i="11" s="1"/>
  <c r="AB6" i="12"/>
  <c r="Q8" i="12"/>
  <c r="R8" i="12" s="1"/>
  <c r="R17" i="12"/>
  <c r="AA58" i="12"/>
  <c r="AB63" i="12"/>
  <c r="M35" i="12" l="1"/>
  <c r="J21" i="12"/>
  <c r="J36" i="12"/>
  <c r="J25" i="12"/>
  <c r="O36" i="12"/>
  <c r="E444" i="11"/>
  <c r="E365" i="11"/>
  <c r="E306" i="11"/>
  <c r="M314" i="11"/>
  <c r="S308" i="11"/>
  <c r="M418" i="11"/>
  <c r="V306" i="11"/>
  <c r="V307" i="11"/>
  <c r="Q302" i="11"/>
  <c r="G444" i="11"/>
  <c r="G365" i="11"/>
  <c r="G307" i="11"/>
  <c r="G303" i="11"/>
  <c r="G306" i="11"/>
  <c r="J306" i="11"/>
  <c r="AB321" i="11"/>
  <c r="AB331" i="11" s="1"/>
  <c r="AB179" i="11"/>
  <c r="L307" i="11"/>
  <c r="Y152" i="11"/>
  <c r="AB434" i="11"/>
  <c r="AB432" i="11" s="1"/>
  <c r="H155" i="11"/>
  <c r="H152" i="11" s="1"/>
  <c r="G342" i="5"/>
  <c r="G341" i="5"/>
  <c r="G366" i="5" s="1"/>
  <c r="G431" i="5"/>
  <c r="H431" i="5" s="1"/>
  <c r="H433" i="5"/>
  <c r="P304" i="5"/>
  <c r="Q326" i="5"/>
  <c r="Q336" i="5" s="1"/>
  <c r="Q269" i="5"/>
  <c r="J324" i="5"/>
  <c r="J334" i="5" s="1"/>
  <c r="J233" i="5"/>
  <c r="V269" i="5"/>
  <c r="J443" i="5"/>
  <c r="J365" i="5"/>
  <c r="J318" i="5"/>
  <c r="F443" i="5"/>
  <c r="F365" i="5"/>
  <c r="F307" i="5"/>
  <c r="Y325" i="5"/>
  <c r="Y335" i="5" s="1"/>
  <c r="Y251" i="5"/>
  <c r="S322" i="5"/>
  <c r="S332" i="5" s="1"/>
  <c r="S197" i="5"/>
  <c r="AB302" i="5"/>
  <c r="W269" i="5"/>
  <c r="W326" i="5"/>
  <c r="W336" i="5" s="1"/>
  <c r="AA321" i="5"/>
  <c r="AA331" i="5" s="1"/>
  <c r="AA179" i="5"/>
  <c r="Y152" i="5"/>
  <c r="W356" i="5"/>
  <c r="W358" i="5" s="1"/>
  <c r="W361" i="5" s="1"/>
  <c r="W143" i="5"/>
  <c r="U322" i="5"/>
  <c r="U332" i="5" s="1"/>
  <c r="U197" i="5"/>
  <c r="M155" i="5"/>
  <c r="BN26" i="4"/>
  <c r="BN32" i="4"/>
  <c r="BN14" i="4"/>
  <c r="BN35" i="4" s="1"/>
  <c r="W227" i="5"/>
  <c r="W236" i="5"/>
  <c r="W225" i="5"/>
  <c r="N65" i="12"/>
  <c r="O64" i="12"/>
  <c r="R64" i="12" s="1"/>
  <c r="S65" i="12"/>
  <c r="R35" i="12"/>
  <c r="H461" i="11"/>
  <c r="H456" i="11"/>
  <c r="H466" i="11" s="1"/>
  <c r="G19" i="12"/>
  <c r="S341" i="11"/>
  <c r="T308" i="11"/>
  <c r="AA306" i="11"/>
  <c r="V303" i="11"/>
  <c r="E305" i="11"/>
  <c r="U444" i="11"/>
  <c r="U365" i="11"/>
  <c r="U318" i="11"/>
  <c r="U305" i="11"/>
  <c r="I21" i="12"/>
  <c r="I36" i="12"/>
  <c r="I25" i="12"/>
  <c r="M316" i="11"/>
  <c r="AB306" i="11"/>
  <c r="X362" i="11"/>
  <c r="AB136" i="11"/>
  <c r="AB155" i="11"/>
  <c r="AB148" i="11"/>
  <c r="H455" i="5"/>
  <c r="H465" i="5" s="1"/>
  <c r="W128" i="11"/>
  <c r="T342" i="5"/>
  <c r="T341" i="5"/>
  <c r="T366" i="5" s="1"/>
  <c r="AB417" i="5"/>
  <c r="Q154" i="11"/>
  <c r="Q153" i="11"/>
  <c r="Q136" i="11"/>
  <c r="AB143" i="11"/>
  <c r="X366" i="5"/>
  <c r="AB341" i="5"/>
  <c r="AB366" i="5" s="1"/>
  <c r="AB225" i="5"/>
  <c r="AB227" i="5"/>
  <c r="I321" i="5"/>
  <c r="I331" i="5" s="1"/>
  <c r="I179" i="5"/>
  <c r="N179" i="5"/>
  <c r="AE342" i="5"/>
  <c r="AE341" i="5"/>
  <c r="AE366" i="5" s="1"/>
  <c r="N308" i="5"/>
  <c r="AB229" i="5"/>
  <c r="AB230" i="5"/>
  <c r="V443" i="5"/>
  <c r="V365" i="5"/>
  <c r="V368" i="5" s="1"/>
  <c r="V318" i="5"/>
  <c r="X443" i="5"/>
  <c r="X365" i="5"/>
  <c r="X307" i="5"/>
  <c r="X303" i="5"/>
  <c r="X305" i="5"/>
  <c r="X318" i="5"/>
  <c r="AE443" i="5"/>
  <c r="AE318" i="5"/>
  <c r="AE365" i="5"/>
  <c r="AE305" i="5"/>
  <c r="AE303" i="5"/>
  <c r="AE307" i="5"/>
  <c r="F302" i="5"/>
  <c r="AE152" i="5"/>
  <c r="W189" i="5"/>
  <c r="W200" i="5"/>
  <c r="W191" i="5"/>
  <c r="S326" i="5"/>
  <c r="S336" i="5" s="1"/>
  <c r="S269" i="5"/>
  <c r="X269" i="5"/>
  <c r="P442" i="5"/>
  <c r="P444" i="5"/>
  <c r="D356" i="5"/>
  <c r="D358" i="5" s="1"/>
  <c r="D361" i="5" s="1"/>
  <c r="D362" i="5" s="1"/>
  <c r="D143" i="5"/>
  <c r="J304" i="5"/>
  <c r="W318" i="5"/>
  <c r="W443" i="5"/>
  <c r="W365" i="5"/>
  <c r="W305" i="5"/>
  <c r="AB437" i="5"/>
  <c r="AB438" i="5" s="1"/>
  <c r="AB176" i="5"/>
  <c r="AB175" i="5"/>
  <c r="AB178" i="5"/>
  <c r="W193" i="5"/>
  <c r="M443" i="5"/>
  <c r="M365" i="5"/>
  <c r="M318" i="5"/>
  <c r="Z321" i="5"/>
  <c r="Z331" i="5" s="1"/>
  <c r="Z179" i="5"/>
  <c r="M444" i="5"/>
  <c r="R325" i="5"/>
  <c r="R335" i="5" s="1"/>
  <c r="R251" i="5"/>
  <c r="L323" i="5"/>
  <c r="L333" i="5" s="1"/>
  <c r="L215" i="5"/>
  <c r="Q152" i="5"/>
  <c r="W166" i="5"/>
  <c r="F356" i="5"/>
  <c r="F358" i="5" s="1"/>
  <c r="F361" i="5" s="1"/>
  <c r="F143" i="5"/>
  <c r="BS14" i="4"/>
  <c r="BS35" i="4" s="1"/>
  <c r="BS26" i="4"/>
  <c r="BS32" i="4"/>
  <c r="M233" i="5"/>
  <c r="L444" i="5"/>
  <c r="H362" i="5"/>
  <c r="W233" i="5"/>
  <c r="W324" i="5"/>
  <c r="W334" i="5" s="1"/>
  <c r="AC442" i="5"/>
  <c r="V152" i="5"/>
  <c r="AO14" i="4"/>
  <c r="AO35" i="4" s="1"/>
  <c r="AO26" i="4"/>
  <c r="AO32" i="4"/>
  <c r="M312" i="5"/>
  <c r="M303" i="5"/>
  <c r="J318" i="11"/>
  <c r="J444" i="11"/>
  <c r="J365" i="11"/>
  <c r="J304" i="11"/>
  <c r="J308" i="11"/>
  <c r="I444" i="11"/>
  <c r="I365" i="11"/>
  <c r="I318" i="11"/>
  <c r="I308" i="11"/>
  <c r="I305" i="11"/>
  <c r="I307" i="11"/>
  <c r="I304" i="11"/>
  <c r="P365" i="11"/>
  <c r="P368" i="11" s="1"/>
  <c r="P444" i="11"/>
  <c r="P318" i="11"/>
  <c r="P307" i="11"/>
  <c r="P306" i="11"/>
  <c r="P308" i="11"/>
  <c r="I303" i="11"/>
  <c r="T341" i="11"/>
  <c r="T366" i="11" s="1"/>
  <c r="T342" i="11"/>
  <c r="AB358" i="11"/>
  <c r="AB361" i="11" s="1"/>
  <c r="AB152" i="11"/>
  <c r="R302" i="11"/>
  <c r="R299" i="11"/>
  <c r="R311" i="11"/>
  <c r="H444" i="11"/>
  <c r="H365" i="11"/>
  <c r="H303" i="11"/>
  <c r="M299" i="11"/>
  <c r="M305" i="11" s="1"/>
  <c r="P179" i="5"/>
  <c r="P321" i="5"/>
  <c r="P331" i="5" s="1"/>
  <c r="Y443" i="5"/>
  <c r="Y365" i="5"/>
  <c r="Y368" i="5" s="1"/>
  <c r="Y318" i="5"/>
  <c r="Y307" i="5"/>
  <c r="Y305" i="5"/>
  <c r="Y303" i="5"/>
  <c r="Y306" i="5"/>
  <c r="Y308" i="5"/>
  <c r="X233" i="5"/>
  <c r="X324" i="5"/>
  <c r="X334" i="5" s="1"/>
  <c r="AC233" i="5"/>
  <c r="K324" i="5"/>
  <c r="K334" i="5" s="1"/>
  <c r="K233" i="5"/>
  <c r="U323" i="5"/>
  <c r="U333" i="5" s="1"/>
  <c r="U215" i="5"/>
  <c r="W197" i="5"/>
  <c r="W322" i="5"/>
  <c r="W332" i="5" s="1"/>
  <c r="Q233" i="5"/>
  <c r="Q324" i="5"/>
  <c r="Q334" i="5" s="1"/>
  <c r="V233" i="5"/>
  <c r="AB212" i="5"/>
  <c r="AB211" i="5"/>
  <c r="AB191" i="5"/>
  <c r="AB189" i="5"/>
  <c r="AB200" i="5"/>
  <c r="AB193" i="5"/>
  <c r="M152" i="5"/>
  <c r="M322" i="5"/>
  <c r="M332" i="5" s="1"/>
  <c r="M197" i="5"/>
  <c r="L233" i="5"/>
  <c r="G324" i="5"/>
  <c r="G334" i="5" s="1"/>
  <c r="W128" i="5"/>
  <c r="W110" i="5"/>
  <c r="W106" i="5"/>
  <c r="G356" i="5"/>
  <c r="G358" i="5" s="1"/>
  <c r="G361" i="5" s="1"/>
  <c r="G143" i="5"/>
  <c r="H443" i="5"/>
  <c r="H365" i="5"/>
  <c r="V306" i="5"/>
  <c r="D21" i="12"/>
  <c r="D25" i="12"/>
  <c r="D444" i="11"/>
  <c r="D365" i="11"/>
  <c r="D306" i="11"/>
  <c r="D302" i="11"/>
  <c r="D307" i="11"/>
  <c r="D304" i="11"/>
  <c r="W325" i="11"/>
  <c r="W335" i="11" s="1"/>
  <c r="W251" i="11"/>
  <c r="AC51" i="12"/>
  <c r="AC50" i="12"/>
  <c r="S444" i="11"/>
  <c r="S365" i="11"/>
  <c r="S318" i="11"/>
  <c r="S303" i="11"/>
  <c r="S304" i="11"/>
  <c r="J303" i="11"/>
  <c r="AB325" i="11"/>
  <c r="AB335" i="11" s="1"/>
  <c r="AB251" i="11"/>
  <c r="W312" i="11"/>
  <c r="J302" i="11"/>
  <c r="AB302" i="11"/>
  <c r="I302" i="11"/>
  <c r="AB456" i="11"/>
  <c r="AB466" i="11" s="1"/>
  <c r="AB460" i="11"/>
  <c r="S306" i="11"/>
  <c r="R135" i="11"/>
  <c r="R155" i="11" s="1"/>
  <c r="O136" i="11"/>
  <c r="O154" i="11"/>
  <c r="O153" i="11"/>
  <c r="Y444" i="11"/>
  <c r="Y365" i="11"/>
  <c r="Y318" i="11"/>
  <c r="Y305" i="11"/>
  <c r="Y308" i="11"/>
  <c r="Y307" i="11"/>
  <c r="Y306" i="11"/>
  <c r="H302" i="11"/>
  <c r="W431" i="5"/>
  <c r="R345" i="5"/>
  <c r="R340" i="5"/>
  <c r="R326" i="5"/>
  <c r="R336" i="5" s="1"/>
  <c r="R269" i="5"/>
  <c r="Y302" i="5"/>
  <c r="AC341" i="5"/>
  <c r="AC366" i="5" s="1"/>
  <c r="AC342" i="5"/>
  <c r="AD341" i="5"/>
  <c r="AD366" i="5" s="1"/>
  <c r="P443" i="5"/>
  <c r="P365" i="5"/>
  <c r="P318" i="5"/>
  <c r="P305" i="5"/>
  <c r="P307" i="5"/>
  <c r="P303" i="5"/>
  <c r="U318" i="5"/>
  <c r="P251" i="5"/>
  <c r="P325" i="5"/>
  <c r="P335" i="5" s="1"/>
  <c r="U251" i="5"/>
  <c r="AB214" i="5"/>
  <c r="AE323" i="5"/>
  <c r="AE333" i="5" s="1"/>
  <c r="AE215" i="5"/>
  <c r="S321" i="5"/>
  <c r="S331" i="5" s="1"/>
  <c r="S179" i="5"/>
  <c r="W88" i="5"/>
  <c r="W76" i="5"/>
  <c r="W74" i="5"/>
  <c r="W78" i="5"/>
  <c r="AA269" i="5"/>
  <c r="AA326" i="5"/>
  <c r="AA336" i="5" s="1"/>
  <c r="R443" i="5"/>
  <c r="R318" i="5"/>
  <c r="R306" i="5"/>
  <c r="R365" i="5"/>
  <c r="AE442" i="5"/>
  <c r="AD443" i="5"/>
  <c r="AD318" i="5"/>
  <c r="AD365" i="5"/>
  <c r="AD368" i="5" s="1"/>
  <c r="AD305" i="5"/>
  <c r="J325" i="5"/>
  <c r="J335" i="5" s="1"/>
  <c r="J251" i="5"/>
  <c r="AB436" i="5"/>
  <c r="AB173" i="5"/>
  <c r="I251" i="5"/>
  <c r="W209" i="5"/>
  <c r="W207" i="5"/>
  <c r="W218" i="5"/>
  <c r="H438" i="5"/>
  <c r="W437" i="5"/>
  <c r="W178" i="5"/>
  <c r="W175" i="5"/>
  <c r="W176" i="5"/>
  <c r="H302" i="5"/>
  <c r="G30" i="5"/>
  <c r="G25" i="5"/>
  <c r="R197" i="5"/>
  <c r="J37" i="5"/>
  <c r="E147" i="5"/>
  <c r="E148" i="5" s="1"/>
  <c r="E40" i="5"/>
  <c r="E23" i="5"/>
  <c r="G432" i="11"/>
  <c r="H432" i="11" s="1"/>
  <c r="H434" i="11"/>
  <c r="H25" i="12"/>
  <c r="H21" i="12"/>
  <c r="L28" i="12"/>
  <c r="M18" i="12"/>
  <c r="M28" i="12" s="1"/>
  <c r="R18" i="12"/>
  <c r="R28" i="12" s="1"/>
  <c r="Q19" i="12"/>
  <c r="R432" i="11"/>
  <c r="J342" i="11"/>
  <c r="J341" i="11"/>
  <c r="J366" i="11" s="1"/>
  <c r="D308" i="11"/>
  <c r="Z444" i="11"/>
  <c r="Z318" i="11"/>
  <c r="Z365" i="11"/>
  <c r="Z368" i="11" s="1"/>
  <c r="Z304" i="11"/>
  <c r="Z307" i="11"/>
  <c r="Z303" i="11"/>
  <c r="AB439" i="11"/>
  <c r="W315" i="11"/>
  <c r="U303" i="11"/>
  <c r="AB269" i="11"/>
  <c r="AB326" i="11"/>
  <c r="AB336" i="11" s="1"/>
  <c r="AB305" i="11"/>
  <c r="AB314" i="11"/>
  <c r="P302" i="11"/>
  <c r="O444" i="11"/>
  <c r="O365" i="11"/>
  <c r="O307" i="11"/>
  <c r="O318" i="11"/>
  <c r="AB316" i="11"/>
  <c r="AB307" i="11"/>
  <c r="R314" i="11"/>
  <c r="R305" i="11"/>
  <c r="X342" i="11"/>
  <c r="X341" i="11"/>
  <c r="L341" i="11"/>
  <c r="L366" i="11" s="1"/>
  <c r="L342" i="11"/>
  <c r="I306" i="11"/>
  <c r="W321" i="11"/>
  <c r="W331" i="11" s="1"/>
  <c r="W179" i="11"/>
  <c r="AB312" i="11"/>
  <c r="AB303" i="11"/>
  <c r="W362" i="11"/>
  <c r="V152" i="11"/>
  <c r="M154" i="11"/>
  <c r="AC443" i="5"/>
  <c r="AC365" i="5"/>
  <c r="AC368" i="5" s="1"/>
  <c r="AC308" i="5"/>
  <c r="AC306" i="5"/>
  <c r="AC304" i="5"/>
  <c r="AC302" i="5"/>
  <c r="AC318" i="5"/>
  <c r="AC305" i="5"/>
  <c r="K251" i="5"/>
  <c r="K325" i="5"/>
  <c r="K335" i="5" s="1"/>
  <c r="J323" i="5"/>
  <c r="J333" i="5" s="1"/>
  <c r="J215" i="5"/>
  <c r="AB365" i="5"/>
  <c r="AB443" i="5"/>
  <c r="AB318" i="5"/>
  <c r="P326" i="5"/>
  <c r="P336" i="5" s="1"/>
  <c r="P269" i="5"/>
  <c r="L365" i="5"/>
  <c r="L368" i="5" s="1"/>
  <c r="L443" i="5"/>
  <c r="L308" i="5"/>
  <c r="L304" i="5"/>
  <c r="L318" i="5"/>
  <c r="L306" i="5"/>
  <c r="L302" i="5"/>
  <c r="Q443" i="5"/>
  <c r="Q365" i="5"/>
  <c r="Q368" i="5" s="1"/>
  <c r="Q318" i="5"/>
  <c r="Q307" i="5"/>
  <c r="Q305" i="5"/>
  <c r="Q303" i="5"/>
  <c r="Q306" i="5"/>
  <c r="Q302" i="5"/>
  <c r="P302" i="5"/>
  <c r="AB261" i="5"/>
  <c r="AB263" i="5"/>
  <c r="H307" i="5"/>
  <c r="W79" i="5"/>
  <c r="Z442" i="5"/>
  <c r="P440" i="5"/>
  <c r="Y442" i="5"/>
  <c r="W263" i="5"/>
  <c r="W261" i="5"/>
  <c r="R321" i="5"/>
  <c r="R331" i="5" s="1"/>
  <c r="R179" i="5"/>
  <c r="V444" i="5"/>
  <c r="V442" i="5"/>
  <c r="AD302" i="5"/>
  <c r="AA323" i="5"/>
  <c r="AA333" i="5" s="1"/>
  <c r="AA215" i="5"/>
  <c r="AB182" i="5"/>
  <c r="I438" i="5"/>
  <c r="I197" i="5"/>
  <c r="W436" i="5"/>
  <c r="W182" i="5"/>
  <c r="W173" i="5"/>
  <c r="AD442" i="5"/>
  <c r="AB442" i="5"/>
  <c r="H155" i="5"/>
  <c r="H152" i="5" s="1"/>
  <c r="AB110" i="5"/>
  <c r="W211" i="5"/>
  <c r="Y342" i="11"/>
  <c r="Y341" i="11"/>
  <c r="Y366" i="11" s="1"/>
  <c r="D305" i="11"/>
  <c r="E304" i="11"/>
  <c r="T303" i="11"/>
  <c r="AB324" i="11"/>
  <c r="AB334" i="11" s="1"/>
  <c r="AB233" i="11"/>
  <c r="L152" i="11"/>
  <c r="M155" i="11"/>
  <c r="K154" i="11"/>
  <c r="K153" i="11"/>
  <c r="K136" i="11"/>
  <c r="X365" i="11"/>
  <c r="X444" i="11"/>
  <c r="X318" i="11"/>
  <c r="X306" i="11"/>
  <c r="P303" i="11"/>
  <c r="W441" i="11"/>
  <c r="O155" i="11"/>
  <c r="W327" i="11"/>
  <c r="W337" i="11" s="1"/>
  <c r="W284" i="11"/>
  <c r="I341" i="5"/>
  <c r="I342" i="5"/>
  <c r="J341" i="5"/>
  <c r="J366" i="5" s="1"/>
  <c r="R433" i="5"/>
  <c r="R431" i="5" s="1"/>
  <c r="R417" i="5"/>
  <c r="AB128" i="11"/>
  <c r="N443" i="5"/>
  <c r="N318" i="5"/>
  <c r="N305" i="5"/>
  <c r="N365" i="5"/>
  <c r="I443" i="5"/>
  <c r="I365" i="5"/>
  <c r="I318" i="5"/>
  <c r="I307" i="5"/>
  <c r="I305" i="5"/>
  <c r="I303" i="5"/>
  <c r="I302" i="5"/>
  <c r="I304" i="5"/>
  <c r="AE321" i="5"/>
  <c r="AE331" i="5" s="1"/>
  <c r="AE179" i="5"/>
  <c r="U341" i="5"/>
  <c r="U366" i="5" s="1"/>
  <c r="U368" i="5" s="1"/>
  <c r="U342" i="5"/>
  <c r="G443" i="5"/>
  <c r="G365" i="5"/>
  <c r="G307" i="5"/>
  <c r="G303" i="5"/>
  <c r="G305" i="5"/>
  <c r="J307" i="5"/>
  <c r="H325" i="5"/>
  <c r="H335" i="5" s="1"/>
  <c r="M251" i="5"/>
  <c r="AA324" i="5"/>
  <c r="AA334" i="5" s="1"/>
  <c r="AA233" i="5"/>
  <c r="H440" i="5"/>
  <c r="I442" i="5"/>
  <c r="P233" i="5"/>
  <c r="W109" i="5"/>
  <c r="K322" i="5"/>
  <c r="K332" i="5" s="1"/>
  <c r="K197" i="5"/>
  <c r="R356" i="5"/>
  <c r="R358" i="5" s="1"/>
  <c r="R361" i="5" s="1"/>
  <c r="R143" i="5"/>
  <c r="AB243" i="5"/>
  <c r="AB245" i="5"/>
  <c r="AB356" i="5"/>
  <c r="AB358" i="5" s="1"/>
  <c r="AB361" i="5" s="1"/>
  <c r="X358" i="5"/>
  <c r="X361" i="5" s="1"/>
  <c r="W108" i="5"/>
  <c r="AA442" i="5"/>
  <c r="S318" i="5"/>
  <c r="L440" i="5"/>
  <c r="N306" i="5"/>
  <c r="AB106" i="5"/>
  <c r="W323" i="5"/>
  <c r="W333" i="5" s="1"/>
  <c r="W215" i="5"/>
  <c r="AA444" i="11"/>
  <c r="AA365" i="11"/>
  <c r="AA368" i="11" s="1"/>
  <c r="AA307" i="11"/>
  <c r="AA318" i="11"/>
  <c r="AA304" i="11"/>
  <c r="AA303" i="11"/>
  <c r="AB444" i="11"/>
  <c r="AB365" i="11"/>
  <c r="AB327" i="11"/>
  <c r="AB337" i="11" s="1"/>
  <c r="AB284" i="11"/>
  <c r="V444" i="11"/>
  <c r="V318" i="11"/>
  <c r="V365" i="11"/>
  <c r="V368" i="11" s="1"/>
  <c r="V308" i="11"/>
  <c r="AB35" i="12"/>
  <c r="W35" i="12"/>
  <c r="S305" i="11"/>
  <c r="M153" i="11"/>
  <c r="M152" i="11" s="1"/>
  <c r="W456" i="11"/>
  <c r="W466" i="11" s="1"/>
  <c r="W460" i="11"/>
  <c r="T136" i="11"/>
  <c r="O362" i="11"/>
  <c r="O368" i="11"/>
  <c r="W152" i="11"/>
  <c r="E308" i="11"/>
  <c r="H304" i="11"/>
  <c r="W440" i="5"/>
  <c r="W417" i="5"/>
  <c r="M433" i="5"/>
  <c r="M431" i="5" s="1"/>
  <c r="AB268" i="5"/>
  <c r="AB236" i="5"/>
  <c r="AB327" i="5"/>
  <c r="AB337" i="5" s="1"/>
  <c r="AB284" i="5"/>
  <c r="AE438" i="5"/>
  <c r="V307" i="5"/>
  <c r="G302" i="5"/>
  <c r="AB306" i="5"/>
  <c r="AB315" i="5"/>
  <c r="T443" i="5"/>
  <c r="T365" i="5"/>
  <c r="T368" i="5" s="1"/>
  <c r="T318" i="5"/>
  <c r="T306" i="5"/>
  <c r="T302" i="5"/>
  <c r="T308" i="5"/>
  <c r="T304" i="5"/>
  <c r="T303" i="5"/>
  <c r="P308" i="5"/>
  <c r="J306" i="5"/>
  <c r="H305" i="5"/>
  <c r="O323" i="5"/>
  <c r="O333" i="5" s="1"/>
  <c r="O215" i="5"/>
  <c r="I440" i="5"/>
  <c r="W77" i="5"/>
  <c r="I37" i="5"/>
  <c r="D147" i="5"/>
  <c r="D148" i="5" s="1"/>
  <c r="D23" i="5"/>
  <c r="D40" i="5"/>
  <c r="O443" i="5"/>
  <c r="O318" i="5"/>
  <c r="O305" i="5"/>
  <c r="O365" i="5"/>
  <c r="O368" i="5" s="1"/>
  <c r="O303" i="5"/>
  <c r="O307" i="5"/>
  <c r="R155" i="5"/>
  <c r="R153" i="5"/>
  <c r="R152" i="5" s="1"/>
  <c r="N366" i="5"/>
  <c r="R341" i="5"/>
  <c r="R366" i="5" s="1"/>
  <c r="D443" i="5"/>
  <c r="D365" i="5"/>
  <c r="D306" i="5"/>
  <c r="D302" i="5"/>
  <c r="D308" i="5"/>
  <c r="D304" i="5"/>
  <c r="T323" i="5"/>
  <c r="T333" i="5" s="1"/>
  <c r="T215" i="5"/>
  <c r="Y215" i="5"/>
  <c r="AB209" i="5"/>
  <c r="AB207" i="5"/>
  <c r="I215" i="5"/>
  <c r="M179" i="5"/>
  <c r="N444" i="5"/>
  <c r="N442" i="5"/>
  <c r="W105" i="5"/>
  <c r="AB305" i="5"/>
  <c r="L179" i="5"/>
  <c r="AD444" i="5"/>
  <c r="L307" i="5"/>
  <c r="W315" i="5"/>
  <c r="W306" i="5"/>
  <c r="L322" i="5"/>
  <c r="L332" i="5" s="1"/>
  <c r="L197" i="5"/>
  <c r="K37" i="5"/>
  <c r="F147" i="5"/>
  <c r="F148" i="5" s="1"/>
  <c r="F40" i="5"/>
  <c r="F23" i="5"/>
  <c r="M314" i="5"/>
  <c r="R314" i="5"/>
  <c r="M305" i="5"/>
  <c r="P438" i="5"/>
  <c r="T444" i="5"/>
  <c r="R442" i="5"/>
  <c r="AB104" i="5"/>
  <c r="AD322" i="5"/>
  <c r="AD332" i="5" s="1"/>
  <c r="AD197" i="5"/>
  <c r="W107" i="5"/>
  <c r="O324" i="5"/>
  <c r="O334" i="5" s="1"/>
  <c r="O233" i="5"/>
  <c r="T233" i="5"/>
  <c r="Z215" i="5"/>
  <c r="H154" i="5"/>
  <c r="AA318" i="5"/>
  <c r="R440" i="5"/>
  <c r="L35" i="12"/>
  <c r="L19" i="12"/>
  <c r="M348" i="11"/>
  <c r="M340" i="11"/>
  <c r="J305" i="11"/>
  <c r="P342" i="11"/>
  <c r="P341" i="11"/>
  <c r="P366" i="11" s="1"/>
  <c r="AB50" i="12"/>
  <c r="AB51" i="12" s="1"/>
  <c r="M341" i="11"/>
  <c r="M366" i="11" s="1"/>
  <c r="I366" i="11"/>
  <c r="S307" i="11"/>
  <c r="AA305" i="11"/>
  <c r="AB445" i="11"/>
  <c r="T444" i="11"/>
  <c r="T365" i="11"/>
  <c r="T368" i="11" s="1"/>
  <c r="T318" i="11"/>
  <c r="T302" i="11"/>
  <c r="T304" i="11"/>
  <c r="L444" i="11"/>
  <c r="L365" i="11"/>
  <c r="L368" i="11" s="1"/>
  <c r="L318" i="11"/>
  <c r="L302" i="11"/>
  <c r="L305" i="11"/>
  <c r="W439" i="11"/>
  <c r="E307" i="11"/>
  <c r="AA302" i="11"/>
  <c r="W322" i="11"/>
  <c r="W332" i="11" s="1"/>
  <c r="W197" i="11"/>
  <c r="Q444" i="11"/>
  <c r="Q365" i="11"/>
  <c r="Q368" i="11" s="1"/>
  <c r="Q305" i="11"/>
  <c r="Q318" i="11"/>
  <c r="Q307" i="11"/>
  <c r="U341" i="11"/>
  <c r="U366" i="11" s="1"/>
  <c r="P305" i="11"/>
  <c r="AA152" i="11"/>
  <c r="E302" i="11"/>
  <c r="Z152" i="11"/>
  <c r="G308" i="11"/>
  <c r="V302" i="11"/>
  <c r="AB304" i="11"/>
  <c r="K155" i="11"/>
  <c r="W299" i="11"/>
  <c r="P154" i="11"/>
  <c r="P136" i="11"/>
  <c r="P153" i="11"/>
  <c r="AB443" i="11"/>
  <c r="T307" i="11"/>
  <c r="P304" i="11"/>
  <c r="W459" i="5"/>
  <c r="W455" i="5"/>
  <c r="W465" i="5" s="1"/>
  <c r="F152" i="11"/>
  <c r="G153" i="11"/>
  <c r="G154" i="11"/>
  <c r="E341" i="5"/>
  <c r="E342" i="5"/>
  <c r="F341" i="5"/>
  <c r="F366" i="5" s="1"/>
  <c r="AB232" i="5"/>
  <c r="O321" i="5"/>
  <c r="O331" i="5" s="1"/>
  <c r="O179" i="5"/>
  <c r="R305" i="5"/>
  <c r="Z324" i="5"/>
  <c r="Z334" i="5" s="1"/>
  <c r="Z233" i="5"/>
  <c r="H308" i="5"/>
  <c r="G308" i="5"/>
  <c r="F303" i="5"/>
  <c r="U269" i="5"/>
  <c r="AB247" i="5"/>
  <c r="AB250" i="5"/>
  <c r="T321" i="5"/>
  <c r="T331" i="5" s="1"/>
  <c r="T179" i="5"/>
  <c r="O302" i="5"/>
  <c r="S324" i="5"/>
  <c r="S334" i="5" s="1"/>
  <c r="S233" i="5"/>
  <c r="J154" i="5"/>
  <c r="J155" i="5"/>
  <c r="J153" i="5"/>
  <c r="D303" i="5"/>
  <c r="W265" i="5"/>
  <c r="P197" i="5"/>
  <c r="T152" i="5"/>
  <c r="AD440" i="5"/>
  <c r="AB128" i="5"/>
  <c r="AB105" i="5"/>
  <c r="AB459" i="5"/>
  <c r="AB455" i="5"/>
  <c r="AB465" i="5" s="1"/>
  <c r="Q304" i="5"/>
  <c r="K443" i="5"/>
  <c r="K365" i="5"/>
  <c r="K368" i="5" s="1"/>
  <c r="K318" i="5"/>
  <c r="K308" i="5"/>
  <c r="K304" i="5"/>
  <c r="K302" i="5"/>
  <c r="K306" i="5"/>
  <c r="S323" i="5"/>
  <c r="S333" i="5" s="1"/>
  <c r="S215" i="5"/>
  <c r="U444" i="5"/>
  <c r="R308" i="5"/>
  <c r="AE306" i="5"/>
  <c r="AA325" i="5"/>
  <c r="AA335" i="5" s="1"/>
  <c r="AA251" i="5"/>
  <c r="AE233" i="5"/>
  <c r="AE324" i="5"/>
  <c r="AE334" i="5" s="1"/>
  <c r="H303" i="5"/>
  <c r="S444" i="5"/>
  <c r="U179" i="5"/>
  <c r="AB143" i="5"/>
  <c r="E356" i="5"/>
  <c r="E358" i="5" s="1"/>
  <c r="E361" i="5" s="1"/>
  <c r="E143" i="5"/>
  <c r="W304" i="5"/>
  <c r="P368" i="5"/>
  <c r="P362" i="5"/>
  <c r="W250" i="5"/>
  <c r="W247" i="5"/>
  <c r="AB197" i="5"/>
  <c r="AD152" i="5"/>
  <c r="K442" i="5"/>
  <c r="F305" i="5"/>
  <c r="J179" i="5"/>
  <c r="AB77" i="5"/>
  <c r="AB73" i="5"/>
  <c r="AB76" i="5"/>
  <c r="AB88" i="5"/>
  <c r="R65" i="12" l="1"/>
  <c r="W65" i="12"/>
  <c r="W444" i="11"/>
  <c r="W365" i="11"/>
  <c r="W368" i="11" s="1"/>
  <c r="W318" i="11"/>
  <c r="W305" i="11"/>
  <c r="W302" i="11"/>
  <c r="W308" i="11"/>
  <c r="W304" i="11"/>
  <c r="W307" i="11"/>
  <c r="AB368" i="11"/>
  <c r="AB362" i="11"/>
  <c r="W341" i="11"/>
  <c r="W366" i="11" s="1"/>
  <c r="S366" i="11"/>
  <c r="S368" i="11" s="1"/>
  <c r="L36" i="12"/>
  <c r="L21" i="12"/>
  <c r="L25" i="12"/>
  <c r="V36" i="12"/>
  <c r="Q21" i="12"/>
  <c r="Q36" i="12"/>
  <c r="Q25" i="12"/>
  <c r="R342" i="5"/>
  <c r="S341" i="5"/>
  <c r="W303" i="11"/>
  <c r="G21" i="12"/>
  <c r="G25" i="12"/>
  <c r="I366" i="5"/>
  <c r="I368" i="5" s="1"/>
  <c r="M341" i="5"/>
  <c r="M366" i="5" s="1"/>
  <c r="M368" i="5" s="1"/>
  <c r="M365" i="11"/>
  <c r="M368" i="11" s="1"/>
  <c r="M444" i="11"/>
  <c r="M318" i="11"/>
  <c r="M308" i="11"/>
  <c r="M306" i="11"/>
  <c r="M304" i="11"/>
  <c r="M302" i="11"/>
  <c r="M303" i="11"/>
  <c r="R368" i="5"/>
  <c r="R362" i="5"/>
  <c r="AB318" i="11"/>
  <c r="F30" i="5"/>
  <c r="F25" i="5"/>
  <c r="W321" i="5"/>
  <c r="W331" i="5" s="1"/>
  <c r="W179" i="5"/>
  <c r="AB444" i="5"/>
  <c r="Y368" i="11"/>
  <c r="G362" i="5"/>
  <c r="G368" i="5"/>
  <c r="J368" i="11"/>
  <c r="U368" i="11"/>
  <c r="AB440" i="5"/>
  <c r="AB233" i="5"/>
  <c r="AB324" i="5"/>
  <c r="AB334" i="5" s="1"/>
  <c r="W251" i="5"/>
  <c r="W325" i="5"/>
  <c r="W335" i="5" s="1"/>
  <c r="D25" i="5"/>
  <c r="D30" i="5"/>
  <c r="E366" i="5"/>
  <c r="E368" i="5" s="1"/>
  <c r="H341" i="5"/>
  <c r="H366" i="5" s="1"/>
  <c r="H368" i="5" s="1"/>
  <c r="P152" i="11"/>
  <c r="AB269" i="5"/>
  <c r="AB326" i="5"/>
  <c r="AB336" i="5" s="1"/>
  <c r="X362" i="5"/>
  <c r="X368" i="5"/>
  <c r="W444" i="5"/>
  <c r="W442" i="5"/>
  <c r="X366" i="11"/>
  <c r="X368" i="11" s="1"/>
  <c r="AB341" i="11"/>
  <c r="AB366" i="11" s="1"/>
  <c r="W306" i="11"/>
  <c r="W438" i="5"/>
  <c r="K152" i="11"/>
  <c r="J152" i="5"/>
  <c r="AB325" i="5"/>
  <c r="AB335" i="5" s="1"/>
  <c r="AB251" i="5"/>
  <c r="G152" i="11"/>
  <c r="AB362" i="5"/>
  <c r="AB368" i="5"/>
  <c r="R444" i="11"/>
  <c r="R365" i="11"/>
  <c r="R318" i="11"/>
  <c r="R307" i="11"/>
  <c r="R308" i="11"/>
  <c r="R303" i="11"/>
  <c r="R304" i="11"/>
  <c r="R306" i="11"/>
  <c r="AB321" i="5"/>
  <c r="AB331" i="5" s="1"/>
  <c r="AB179" i="5"/>
  <c r="AE368" i="5"/>
  <c r="M307" i="11"/>
  <c r="R19" i="12"/>
  <c r="J368" i="5"/>
  <c r="E30" i="5"/>
  <c r="E25" i="5"/>
  <c r="AB323" i="5"/>
  <c r="AB333" i="5" s="1"/>
  <c r="AB215" i="5"/>
  <c r="R136" i="11"/>
  <c r="R153" i="11"/>
  <c r="R152" i="11" s="1"/>
  <c r="R154" i="11"/>
  <c r="W136" i="11"/>
  <c r="O65" i="12"/>
  <c r="T65" i="12"/>
  <c r="E362" i="5"/>
  <c r="M342" i="11"/>
  <c r="N341" i="11"/>
  <c r="N368" i="5"/>
  <c r="G441" i="5"/>
  <c r="G442" i="5" s="1"/>
  <c r="G27" i="5"/>
  <c r="G29" i="5"/>
  <c r="O152" i="11"/>
  <c r="W362" i="5"/>
  <c r="M19" i="12"/>
  <c r="I368" i="11"/>
  <c r="F368" i="5"/>
  <c r="F362" i="5"/>
  <c r="Q152" i="11"/>
  <c r="F441" i="5" l="1"/>
  <c r="F442" i="5" s="1"/>
  <c r="F27" i="5"/>
  <c r="F29" i="5"/>
  <c r="M36" i="12"/>
  <c r="M25" i="12"/>
  <c r="M21" i="12"/>
  <c r="D441" i="5"/>
  <c r="D442" i="5" s="1"/>
  <c r="D29" i="5"/>
  <c r="D27" i="5"/>
  <c r="R21" i="12"/>
  <c r="R36" i="12"/>
  <c r="R25" i="12"/>
  <c r="W36" i="12"/>
  <c r="N366" i="11"/>
  <c r="N368" i="11" s="1"/>
  <c r="R341" i="11"/>
  <c r="R366" i="11" s="1"/>
  <c r="R368" i="11" s="1"/>
  <c r="E441" i="5"/>
  <c r="E442" i="5" s="1"/>
  <c r="E29" i="5"/>
  <c r="E27" i="5"/>
  <c r="W341" i="5"/>
  <c r="W366" i="5" s="1"/>
  <c r="W368" i="5" s="1"/>
  <c r="S366" i="5"/>
  <c r="S368" i="5" s="1"/>
</calcChain>
</file>

<file path=xl/sharedStrings.xml><?xml version="1.0" encoding="utf-8"?>
<sst xmlns="http://schemas.openxmlformats.org/spreadsheetml/2006/main" count="2954" uniqueCount="369">
  <si>
    <t>Valuation Book</t>
  </si>
  <si>
    <t>WILSON SONS S.A.</t>
  </si>
  <si>
    <t>Shares Outstanding</t>
  </si>
  <si>
    <t>Free Float</t>
  </si>
  <si>
    <t>Treasury</t>
  </si>
  <si>
    <t>Options Issued</t>
  </si>
  <si>
    <t>Website:</t>
  </si>
  <si>
    <t>www.wilsonsons.com.br/ir</t>
  </si>
  <si>
    <t>B3:</t>
  </si>
  <si>
    <t>PORT3</t>
  </si>
  <si>
    <t>Bloomberg:</t>
  </si>
  <si>
    <t>PORT3 BZ</t>
  </si>
  <si>
    <t xml:space="preserve">This guide is based on historic and publicly available data. It does not seek to provide any guidance (estimates or projections) of future events.  The premisses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 Assumptions and analysis made by Wilson, Sons are subject to market conditions which are beyond the Company’s control. Important factors which may lead to significant differences between real results and forward-looking statements are: national and international economic conditions; technology; financial market conditions; uncertainties regarding results in the Company’s future operations, its plans, objectives, expectations, intentions; and other factors described in the section entitled "Risk Factors“, available in the Company’s Prospectus, filed with the Brazilian Securities and Exchange Commission (CVM). The Company’s operating and financial results, as presented on this spreadsheet, were prepared in conformity with International Financial Reporting Standards (IFRS), except as otherwise expressly indicated. An independent auditors’ review report is an integral part of the Company’s condensed consolidated financial statements.
</t>
  </si>
  <si>
    <t>General Assumptions</t>
  </si>
  <si>
    <t>This Valuation Guide is based on the following assumptions:</t>
  </si>
  <si>
    <r>
      <rPr>
        <b/>
        <sz val="10"/>
        <color rgb="FF003472"/>
        <rFont val="Arial"/>
      </rPr>
      <t xml:space="preserve">Accounting Standards: </t>
    </r>
    <r>
      <rPr>
        <sz val="10"/>
        <color rgb="FF003472"/>
        <rFont val="Arial"/>
      </rPr>
      <t>IFRS</t>
    </r>
  </si>
  <si>
    <r>
      <rPr>
        <b/>
        <sz val="10"/>
        <color rgb="FF003472"/>
        <rFont val="Arial"/>
      </rPr>
      <t xml:space="preserve">Currency: </t>
    </r>
    <r>
      <rPr>
        <sz val="10"/>
        <color rgb="FF003472"/>
        <rFont val="Arial"/>
      </rPr>
      <t>BRL</t>
    </r>
  </si>
  <si>
    <t>BUSINESS</t>
  </si>
  <si>
    <t>ACTIVITIES</t>
  </si>
  <si>
    <t>Container Terminals</t>
  </si>
  <si>
    <r>
      <rPr>
        <sz val="10"/>
        <color rgb="FF003472"/>
        <rFont val="Arial"/>
      </rPr>
      <t xml:space="preserve">2 container terminals, being one in </t>
    </r>
    <r>
      <rPr>
        <b/>
        <sz val="10"/>
        <color rgb="FF003472"/>
        <rFont val="Arial"/>
      </rPr>
      <t>Rio Grande</t>
    </r>
    <r>
      <rPr>
        <sz val="10"/>
        <color rgb="FF003472"/>
        <rFont val="Arial"/>
      </rPr>
      <t xml:space="preserve"> (RS) and another in </t>
    </r>
    <r>
      <rPr>
        <b/>
        <sz val="10"/>
        <color rgb="FF003472"/>
        <rFont val="Arial"/>
      </rPr>
      <t>Salvador (BA</t>
    </r>
    <r>
      <rPr>
        <sz val="10"/>
        <color rgb="FF003472"/>
        <rFont val="Arial"/>
      </rPr>
      <t>)</t>
    </r>
  </si>
  <si>
    <t>Logistics</t>
  </si>
  <si>
    <t>1 logistic center with bonded/general warehousing and transportation, and the cargo consolidation JV (Allink)</t>
  </si>
  <si>
    <t>Towage</t>
  </si>
  <si>
    <t>Tugboat fleet performing harbour manoeuvres and special operations</t>
  </si>
  <si>
    <t>Shipping Agency</t>
  </si>
  <si>
    <t>Agency services to ship owners</t>
  </si>
  <si>
    <t>Offshore Support Bases</t>
  </si>
  <si>
    <t>2 offshore support bases being one in Rio de Janeiro and another in Niteroí</t>
  </si>
  <si>
    <t>Shipyards</t>
  </si>
  <si>
    <t xml:space="preserve">Shipyard complex in the port of Santos, specialized in the construction, dry-docking and repair of medium-sized vessels </t>
  </si>
  <si>
    <t>Offshore Support Vessels</t>
  </si>
  <si>
    <r>
      <rPr>
        <i/>
        <sz val="10"/>
        <color rgb="FF003472"/>
        <rFont val="Arial"/>
      </rPr>
      <t>Offshore support vessels</t>
    </r>
    <r>
      <rPr>
        <sz val="10"/>
        <color rgb="FF003472"/>
        <rFont val="Arial"/>
      </rPr>
      <t xml:space="preserve"> JV operator </t>
    </r>
  </si>
  <si>
    <t>Note: The information contained in this guide includes joint-ventures or companies in which Wilson Sons has shared control: eg Offshore (50%) and Allink (50%)</t>
  </si>
  <si>
    <t>Assumptions by Business</t>
  </si>
  <si>
    <t>MAIN DRIVER</t>
  </si>
  <si>
    <t>UNIT</t>
  </si>
  <si>
    <t>ASSUMPTION</t>
  </si>
  <si>
    <t>Rio Grande and Salvador Terminals</t>
  </si>
  <si>
    <t>Trade Flow</t>
  </si>
  <si>
    <t>Handling Capacity</t>
  </si>
  <si>
    <t>2.0M TEU per year (1.4M in TRG + 0.6M in TSA)</t>
  </si>
  <si>
    <t>Harbour Manoeuvres</t>
  </si>
  <si>
    <t>Fleet</t>
  </si>
  <si>
    <t>82 tugboats</t>
  </si>
  <si>
    <t>Special Operations</t>
  </si>
  <si>
    <t>Offshore Energy</t>
  </si>
  <si>
    <t>% of Net Revenues</t>
  </si>
  <si>
    <t>Berths</t>
  </si>
  <si>
    <t>8 berths in 2 private bases</t>
  </si>
  <si>
    <t>Capacity</t>
  </si>
  <si>
    <t>2,920 vessel turnarounds per year</t>
  </si>
  <si>
    <t>Steel Processing Capacity</t>
  </si>
  <si>
    <t>10,000 tonnes per year</t>
  </si>
  <si>
    <t>Tugboats</t>
  </si>
  <si>
    <t>23 own OSVs</t>
  </si>
  <si>
    <t>Operational Highlights</t>
  </si>
  <si>
    <t>OPERATIONAL DATA</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</si>
  <si>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</si>
  <si>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</si>
  <si>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</si>
  <si>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</si>
  <si>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</si>
  <si>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</si>
  <si>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</si>
  <si>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</si>
  <si>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</si>
  <si>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</si>
  <si>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</si>
  <si>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</si>
  <si>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</si>
  <si>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</si>
  <si>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</si>
  <si>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</si>
  <si>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</si>
  <si>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</si>
  <si>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</si>
  <si>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</si>
  <si>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</si>
  <si>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</si>
  <si>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</si>
  <si>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 xml:space="preserve"> 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</si>
  <si>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</si>
  <si>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</si>
  <si>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</si>
  <si>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</si>
  <si>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</si>
  <si>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</si>
  <si>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</si>
  <si>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</si>
  <si>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</si>
  <si>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</si>
  <si>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</si>
  <si>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</si>
  <si>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</si>
  <si>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</si>
  <si>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</si>
  <si>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</si>
  <si>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</si>
  <si>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</si>
  <si>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</si>
  <si>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</si>
  <si>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</si>
  <si>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</si>
  <si>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</si>
  <si>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</si>
  <si>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</si>
  <si>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</si>
  <si>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</si>
  <si>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</si>
  <si>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</si>
  <si>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</si>
  <si>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</si>
  <si>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</si>
  <si>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</si>
  <si>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</si>
  <si>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</si>
  <si>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</si>
  <si>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</si>
  <si>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</si>
  <si>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</si>
  <si>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Container Terminals ('000 TEU)</t>
  </si>
  <si>
    <t>Rio Grande Terminal</t>
  </si>
  <si>
    <t>Gateway (Full)</t>
  </si>
  <si>
    <t>Exports</t>
  </si>
  <si>
    <t>Imports</t>
  </si>
  <si>
    <t>Cabotage</t>
  </si>
  <si>
    <t>Inland Navigation (Full)</t>
  </si>
  <si>
    <t>Transshipment &amp; Shifting (Full + Empty) ¹</t>
  </si>
  <si>
    <t>Empty (total, except transshipment)</t>
  </si>
  <si>
    <t>Rio Grande Total</t>
  </si>
  <si>
    <t>Salvador Terminal</t>
  </si>
  <si>
    <t>Salvador Total</t>
  </si>
  <si>
    <t>Aggregated Volumes</t>
  </si>
  <si>
    <t>Total Gateway (Full)</t>
  </si>
  <si>
    <t>Total Exports</t>
  </si>
  <si>
    <t>Total Imports</t>
  </si>
  <si>
    <t>Total Cabotage</t>
  </si>
  <si>
    <t>Total Transshipment &amp; Shifting (Full + Empty) ¹</t>
  </si>
  <si>
    <t>Grand Total (Full)</t>
  </si>
  <si>
    <t>Grand Total (Empty)</t>
  </si>
  <si>
    <t>Grand Total</t>
  </si>
  <si>
    <t xml:space="preserve">
1. Transshipment &amp; Shifting considers full and empty volumes, as there is no difference financially or operationally.</t>
  </si>
  <si>
    <t>Harbour Manoeuvres (#)</t>
  </si>
  <si>
    <t>Avg. DWT Attended ('000 tonnes)</t>
  </si>
  <si>
    <t>Vessel Turnarounds (#)</t>
  </si>
  <si>
    <t>-</t>
  </si>
  <si>
    <t>Offshore Support Vessels ¹</t>
  </si>
  <si>
    <t>OSV Fleet, end of period (#)</t>
  </si>
  <si>
    <t>Days in Operation (#)</t>
  </si>
  <si>
    <t>Fleet Average Utilisation Rate (%)</t>
  </si>
  <si>
    <t xml:space="preserve">
1. Considers the total volume from the Offshore Support Vessel joint venture.</t>
  </si>
  <si>
    <t>Financial Data - Consolidated</t>
  </si>
  <si>
    <t>R$ million</t>
  </si>
  <si>
    <t>Wilson Sons Limited</t>
  </si>
  <si>
    <t>Wilson Sons S.A.</t>
  </si>
  <si>
    <t>SUMMARY</t>
  </si>
  <si>
    <t>P&amp;L Summary, R$ mn - Consolidated</t>
  </si>
  <si>
    <t xml:space="preserve">1Q20 </t>
  </si>
  <si>
    <t>Net Revenues</t>
  </si>
  <si>
    <t>Costs and Expenses</t>
  </si>
  <si>
    <t>Raw Materials and Consumables</t>
  </si>
  <si>
    <t>Employee Benefits Expense</t>
  </si>
  <si>
    <t>Other Operating Expenses</t>
  </si>
  <si>
    <t>Impairment loss</t>
  </si>
  <si>
    <t>Reversal of impairment</t>
  </si>
  <si>
    <t>Profit on Disposal of PPE ¹</t>
  </si>
  <si>
    <t>Equity Income ²</t>
  </si>
  <si>
    <t>EBITDA</t>
  </si>
  <si>
    <t>Depreciation and Amortisation</t>
  </si>
  <si>
    <t>EBIT</t>
  </si>
  <si>
    <t>Interest on Investments</t>
  </si>
  <si>
    <t>Interest on Bank Loans, Leases</t>
  </si>
  <si>
    <t>FX on Investments, Loans</t>
  </si>
  <si>
    <t>Fine and Interest on Taxes</t>
  </si>
  <si>
    <t>Other Financial Results</t>
  </si>
  <si>
    <t>Exchange Gain (Loss) ³</t>
  </si>
  <si>
    <t>Profit Before Tax</t>
  </si>
  <si>
    <t>Income Taxes (Current + Deferred)</t>
  </si>
  <si>
    <t>Profit</t>
  </si>
  <si>
    <t>Total Exchange Rate Effects</t>
  </si>
  <si>
    <t>Profit - FX Adjusted</t>
  </si>
  <si>
    <t>Shares Outstanding (mn)</t>
  </si>
  <si>
    <t>EPS (R$)</t>
  </si>
  <si>
    <t>Effective Tax Rate (%)</t>
  </si>
  <si>
    <t>1. Gain (loss) on disposal of property, plant, and equipment.
2. Refers to the equity accounting of Wilson, Sons Ultratug Participações S.A. and Atlantic Offshore S.A. joint ventures
3. Exchange gain (loss) on translation of monetary items.</t>
  </si>
  <si>
    <t xml:space="preserve">CONSOLIDATED </t>
  </si>
  <si>
    <t>Selected Growth Rates &amp; Margins (y/y, %)</t>
  </si>
  <si>
    <t xml:space="preserve">Net Revenues </t>
  </si>
  <si>
    <t xml:space="preserve">EBITDA </t>
  </si>
  <si>
    <t xml:space="preserve">EBIT </t>
  </si>
  <si>
    <t>Operating Margin</t>
  </si>
  <si>
    <t>EBITDA Margin</t>
  </si>
  <si>
    <t>1. Refers to the equity accounting of Wilson, Sons Ultratug Participações S.A. and Atlantic Offshore S.A. joint ventures.</t>
  </si>
  <si>
    <t>DEBT &amp; CASH, R$ mn</t>
  </si>
  <si>
    <t>Bank Debt</t>
  </si>
  <si>
    <t>Denominated in BRL</t>
  </si>
  <si>
    <t>Denominated in USD</t>
  </si>
  <si>
    <t>Short Term</t>
  </si>
  <si>
    <t>Long Term</t>
  </si>
  <si>
    <t>FMM</t>
  </si>
  <si>
    <t>Others*</t>
  </si>
  <si>
    <t>Cash and Cash Equivalents</t>
  </si>
  <si>
    <t>Net Bank Debt</t>
  </si>
  <si>
    <t>% of Debt in BRL</t>
  </si>
  <si>
    <t>% of Debt in USD</t>
  </si>
  <si>
    <t>Net Revenues Breakdown, R$ mn - IFRS</t>
  </si>
  <si>
    <t xml:space="preserve">Towage </t>
  </si>
  <si>
    <t>Corporate</t>
  </si>
  <si>
    <t xml:space="preserve">Net revenues as % of total
</t>
  </si>
  <si>
    <t>Net Revenues - Growth (y/y)</t>
  </si>
  <si>
    <t>EBITDA Breakdown, R$ mn - IFRS</t>
  </si>
  <si>
    <t>Equity Income ¹</t>
  </si>
  <si>
    <t>EBITDA - as % of total</t>
  </si>
  <si>
    <t>Container Terminals (%)</t>
  </si>
  <si>
    <t>Offshore Support Bases (%)</t>
  </si>
  <si>
    <t>Logistics (%)</t>
  </si>
  <si>
    <t>Towage (%)</t>
  </si>
  <si>
    <t>Shipping Agency (%)</t>
  </si>
  <si>
    <t>Shipyards (%)</t>
  </si>
  <si>
    <t>Corporate (%)</t>
  </si>
  <si>
    <t>EBITDA - Growth (y/y)</t>
  </si>
  <si>
    <t>EBITDA Margin (%)</t>
  </si>
  <si>
    <t>CONSOLIDATED P&amp;L</t>
  </si>
  <si>
    <t>P&amp;L, R$ mn - IFRS</t>
  </si>
  <si>
    <t>Net Revenues (R$)</t>
  </si>
  <si>
    <t>Growth (y/y) (%)</t>
  </si>
  <si>
    <t>Cash OPEX</t>
  </si>
  <si>
    <t>(-) Raw Materials and Consumables</t>
  </si>
  <si>
    <t>(-) Employee Benefits Expense</t>
  </si>
  <si>
    <t>(-) Other Operating Expenses</t>
  </si>
  <si>
    <t>EBITDA margin (%)</t>
  </si>
  <si>
    <t>EBIT margin (%)</t>
  </si>
  <si>
    <t>Cost Breakdown, R$ mn</t>
  </si>
  <si>
    <t>As % of total</t>
  </si>
  <si>
    <t>Raw Materials</t>
  </si>
  <si>
    <t>Personnel Expenses</t>
  </si>
  <si>
    <t>Cost per business</t>
  </si>
  <si>
    <t xml:space="preserve">Total Cost </t>
  </si>
  <si>
    <t>P&amp;L PER SEGMENT</t>
  </si>
  <si>
    <t>Revenues Growth (y/y) (%)</t>
  </si>
  <si>
    <t>EBITDA Growth (y/y) (%)</t>
  </si>
  <si>
    <t>Depreciation (R$)</t>
  </si>
  <si>
    <t xml:space="preserve">as % of total depreciation
</t>
  </si>
  <si>
    <t>EBIT Margin (%)</t>
  </si>
  <si>
    <t>EBIT Growth (y/y) (%)</t>
  </si>
  <si>
    <t>Capex</t>
  </si>
  <si>
    <t>Capex Growth (y/y) (%)</t>
  </si>
  <si>
    <t>Revenues Growth (y/y)</t>
  </si>
  <si>
    <t>CAPEX &amp; DEPRECIATION &amp; WC</t>
  </si>
  <si>
    <t>Total</t>
  </si>
  <si>
    <t xml:space="preserve">CAPEX as % of total
</t>
  </si>
  <si>
    <t>CAPEX - Growth (y/y)</t>
  </si>
  <si>
    <t>Depreciation &amp; Amortisation</t>
  </si>
  <si>
    <t>as % of consolidated depreciation</t>
  </si>
  <si>
    <t>Working Capital</t>
  </si>
  <si>
    <t xml:space="preserve">Working Capital
</t>
  </si>
  <si>
    <t>(-) Change in working capital</t>
  </si>
  <si>
    <t>Working Capital as % of Net Revenues (LTM)</t>
  </si>
  <si>
    <t>Operational trade receivables</t>
  </si>
  <si>
    <t>Days of Revenue</t>
  </si>
  <si>
    <t>Inventories</t>
  </si>
  <si>
    <t>Days of OPEX</t>
  </si>
  <si>
    <t>Trade payables</t>
  </si>
  <si>
    <t>Days of COGS</t>
  </si>
  <si>
    <t>CASH FLOW + BALANCE SHEET</t>
  </si>
  <si>
    <t>Consolidated Cash Flow, R$ mn</t>
  </si>
  <si>
    <t>(-) Depreciation and Amortisation</t>
  </si>
  <si>
    <t xml:space="preserve">NOPAT
</t>
  </si>
  <si>
    <t xml:space="preserve">as % of Revenues </t>
  </si>
  <si>
    <t>(+) Depreciation and Amortisation</t>
  </si>
  <si>
    <t>(-) CAPEX (incluing off-shore)</t>
  </si>
  <si>
    <t>FCFF</t>
  </si>
  <si>
    <t>BALANCE SHEET (R$ million)</t>
  </si>
  <si>
    <t>3M18</t>
  </si>
  <si>
    <t>6M18</t>
  </si>
  <si>
    <t>9M18</t>
  </si>
  <si>
    <t>12M18</t>
  </si>
  <si>
    <t>3M19</t>
  </si>
  <si>
    <t>6M19</t>
  </si>
  <si>
    <t>9M19</t>
  </si>
  <si>
    <t>12M19</t>
  </si>
  <si>
    <t>3M20</t>
  </si>
  <si>
    <t>6M20</t>
  </si>
  <si>
    <t>9M20</t>
  </si>
  <si>
    <t>12M20</t>
  </si>
  <si>
    <t>3M21</t>
  </si>
  <si>
    <t>6M21</t>
  </si>
  <si>
    <t>9M21</t>
  </si>
  <si>
    <t>12M21</t>
  </si>
  <si>
    <t>3M22</t>
  </si>
  <si>
    <t>6M22</t>
  </si>
  <si>
    <t>9M22</t>
  </si>
  <si>
    <t>12M22</t>
  </si>
  <si>
    <t>3M23</t>
  </si>
  <si>
    <t>6M23</t>
  </si>
  <si>
    <t>9M23</t>
  </si>
  <si>
    <t>TOTAL CURRENT ASSETS</t>
  </si>
  <si>
    <t>Cash and cash equivalents</t>
  </si>
  <si>
    <t>Short term investiments</t>
  </si>
  <si>
    <t>Income tax and social contribution recoverable</t>
  </si>
  <si>
    <t>Other recoverable taxes</t>
  </si>
  <si>
    <t>Other current assets</t>
  </si>
  <si>
    <t>TOTAL NON-CURRENT ASSETS</t>
  </si>
  <si>
    <t>Escrow deposits</t>
  </si>
  <si>
    <t>Trade receivables from related parties</t>
  </si>
  <si>
    <t>Recoverable taxes</t>
  </si>
  <si>
    <t>Deferred tax assets</t>
  </si>
  <si>
    <t>Investments</t>
  </si>
  <si>
    <t>Property, plant, and equipment</t>
  </si>
  <si>
    <t>Right of use</t>
  </si>
  <si>
    <t>Intangible assets</t>
  </si>
  <si>
    <t>Other trade receivables</t>
  </si>
  <si>
    <t>Goodwill</t>
  </si>
  <si>
    <t>Intergroup loans</t>
  </si>
  <si>
    <t>TOTAL ASSETS</t>
  </si>
  <si>
    <t>TOTAL CURRENT LIABILITIES</t>
  </si>
  <si>
    <t>Bank loans</t>
  </si>
  <si>
    <t>Lease liabilities</t>
  </si>
  <si>
    <t>Salaries, provisions, and social contributions</t>
  </si>
  <si>
    <t>Taxes payable</t>
  </si>
  <si>
    <t>Dividends payable</t>
  </si>
  <si>
    <t>Other trade liabilities</t>
  </si>
  <si>
    <t>Derivatives</t>
  </si>
  <si>
    <t>Current tax liabilities</t>
  </si>
  <si>
    <t>TOTAL NON-CURRENT LIABILITIES</t>
  </si>
  <si>
    <t>Accounts payable from related parties</t>
  </si>
  <si>
    <t>Deferred tax liabilities</t>
  </si>
  <si>
    <t>Provision for tax, labour, civil and environmental risks</t>
  </si>
  <si>
    <t>Post-employment benefits</t>
  </si>
  <si>
    <t>TOTAL LIABILITIES</t>
  </si>
  <si>
    <t>TOTAL EQUITY</t>
  </si>
  <si>
    <t>Share capital</t>
  </si>
  <si>
    <t>Legal reserve</t>
  </si>
  <si>
    <t>Capital reserves</t>
  </si>
  <si>
    <t>Stock Option</t>
  </si>
  <si>
    <t>Actions in Treasury</t>
  </si>
  <si>
    <t>Profit reserve</t>
  </si>
  <si>
    <t>Retained earnings</t>
  </si>
  <si>
    <t>Other comprehensive income</t>
  </si>
  <si>
    <t>Translation reserve</t>
  </si>
  <si>
    <t>Non controlling interests</t>
  </si>
  <si>
    <t>TOTAL LIABILITIES AND EQUITY</t>
  </si>
  <si>
    <t>CONSOLIDATED</t>
  </si>
  <si>
    <t xml:space="preserve">Profit </t>
  </si>
  <si>
    <t>Net Margin (%)</t>
  </si>
  <si>
    <t xml:space="preserve">Capex </t>
  </si>
  <si>
    <t>n.a.</t>
  </si>
  <si>
    <t>Profit (Loss) on Disposal of PP&amp;E</t>
  </si>
  <si>
    <t>Total Debt</t>
  </si>
  <si>
    <t>Net Debt / EBITDA</t>
  </si>
  <si>
    <t>Financial Expenses</t>
  </si>
  <si>
    <t>Profit (WS Equity Income)</t>
  </si>
  <si>
    <t>Avg. Revenue / Operating Days (R$)</t>
  </si>
  <si>
    <t>Operating Days (#)</t>
  </si>
  <si>
    <t>Depreciation &amp; Amortization</t>
  </si>
  <si>
    <t>Financial Data - Offshore Support Vessel JV (50%)</t>
  </si>
  <si>
    <t>Wilson Sons Holdings Brasil S.A.</t>
  </si>
  <si>
    <t xml:space="preserve">CONSOLIDATED INCOME STATEMENT </t>
  </si>
  <si>
    <t>Financial Revenues</t>
  </si>
  <si>
    <t>Profit - FX Adjusted (WS Equity Income)</t>
  </si>
  <si>
    <t>Leverage, R$ mn</t>
  </si>
  <si>
    <t>Net Debt (Cash)</t>
  </si>
  <si>
    <t>Balance of Cash and Financial Applications</t>
  </si>
  <si>
    <t>EBITDA (Consolidated IFRS)</t>
  </si>
  <si>
    <t>EBITDA consolidated + EBITDA Offshore Support Vessels</t>
  </si>
  <si>
    <t>EBITDA - as % of total Consolidated + Offshore Support Vessels</t>
  </si>
  <si>
    <t>P&amp;L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</si>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</sst>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416]mmmm\-yy"/>
    <numFmt numFmtId="165" formatCode="_(* #,##0_);_(* \(#,##0\);_(* &quot;-&quot;??_);_(@_)"/>
    <numFmt numFmtId="166" formatCode="#,##0.0"/>
    <numFmt numFmtId="167" formatCode="0.0"/>
    <numFmt numFmtId="168" formatCode="0.0%"/>
    <numFmt numFmtId="169" formatCode="#,##0.0;\(#,##0.0\)"/>
    <numFmt numFmtId="170" formatCode="#,##0.0_);\(#,##0.0\)"/>
    <numFmt numFmtId="171" formatCode="#,##0.00000000000;\(#,##0.00000000000\)"/>
    <numFmt numFmtId="172" formatCode="#,##0.00;\(#,##0.00\)"/>
    <numFmt numFmtId="173" formatCode="#,##0;\(#,##0\)"/>
    <numFmt numFmtId="174" formatCode="#,##0.0000;\(#,##0.0000\)"/>
    <numFmt numFmtId="185" formatCode="0.000"/>
    <numFmt numFmtId="186" formatCode="0.0000"/>
    <numFmt numFmtId="187" formatCode="0\x"/>
  </numFmts>
  <fonts count="51" x14ac:knownFonts="1">
    <font>
      <sz val="10"/>
      <color rgb="FF000000"/>
      <name val="Calibri"/>
      <scheme val="minor"/>
    </font>
    <font>
      <sz val="10"/>
      <color theme="1"/>
      <name val="Arial"/>
    </font>
    <font>
      <sz val="10"/>
      <color rgb="FF1F497D"/>
      <name val="Arial"/>
    </font>
    <font>
      <sz val="9"/>
      <color rgb="FF1F497D"/>
      <name val="Arial"/>
    </font>
    <font>
      <b/>
      <sz val="9"/>
      <color rgb="FF1F497D"/>
      <name val="Arial"/>
    </font>
    <font>
      <u/>
      <sz val="9"/>
      <color rgb="FF00B0F0"/>
      <name val="Arial"/>
    </font>
    <font>
      <u/>
      <sz val="9"/>
      <color rgb="FF00B0F0"/>
      <name val="Arial"/>
    </font>
    <font>
      <u/>
      <sz val="9"/>
      <color rgb="FF00B0F0"/>
      <name val="Arial"/>
    </font>
    <font>
      <u/>
      <sz val="9"/>
      <color rgb="FF00B0F0"/>
      <name val="Arial"/>
    </font>
    <font>
      <b/>
      <sz val="18"/>
      <color rgb="FF003472"/>
      <name val="Arial"/>
    </font>
    <font>
      <sz val="10"/>
      <name val="Calibri"/>
    </font>
    <font>
      <b/>
      <sz val="9"/>
      <color rgb="FF000080"/>
      <name val="Arial"/>
    </font>
    <font>
      <b/>
      <sz val="10"/>
      <color rgb="FF000080"/>
      <name val="Arial"/>
    </font>
    <font>
      <b/>
      <sz val="11"/>
      <color rgb="FF003472"/>
      <name val="Arial"/>
    </font>
    <font>
      <u/>
      <sz val="11"/>
      <color rgb="FF003472"/>
      <name val="Arial"/>
    </font>
    <font>
      <sz val="11"/>
      <color rgb="FF003472"/>
      <name val="Arial"/>
    </font>
    <font>
      <sz val="10"/>
      <color rgb="FF003472"/>
      <name val="Arial"/>
    </font>
    <font>
      <u/>
      <sz val="10"/>
      <color rgb="FF003472"/>
      <name val="Arial"/>
    </font>
    <font>
      <sz val="9"/>
      <color rgb="FF003472"/>
      <name val="Arial"/>
    </font>
    <font>
      <b/>
      <sz val="10"/>
      <color rgb="FFFFFFFF"/>
      <name val="Arial"/>
    </font>
    <font>
      <u/>
      <sz val="10"/>
      <color rgb="FF003472"/>
      <name val="Arial"/>
    </font>
    <font>
      <u/>
      <sz val="9"/>
      <color rgb="FF0000FF"/>
      <name val="Arial"/>
    </font>
    <font>
      <u/>
      <sz val="9"/>
      <color rgb="FF003472"/>
      <name val="Arial"/>
    </font>
    <font>
      <u/>
      <sz val="10"/>
      <color rgb="FF003472"/>
      <name val="Arial"/>
    </font>
    <font>
      <sz val="11"/>
      <color theme="1"/>
      <name val="Arial"/>
    </font>
    <font>
      <b/>
      <sz val="14"/>
      <color rgb="FF003472"/>
      <name val="Arial"/>
    </font>
    <font>
      <b/>
      <sz val="10"/>
      <color rgb="FF003472"/>
      <name val="Arial"/>
    </font>
    <font>
      <sz val="8"/>
      <color rgb="FF003472"/>
      <name val="Arial"/>
    </font>
    <font>
      <b/>
      <sz val="10"/>
      <color theme="0"/>
      <name val="Arial"/>
    </font>
    <font>
      <b/>
      <sz val="14"/>
      <color rgb="FF1F497D"/>
      <name val="Arial"/>
    </font>
    <font>
      <b/>
      <sz val="10"/>
      <color rgb="FF1F497D"/>
      <name val="Arial"/>
    </font>
    <font>
      <sz val="10"/>
      <color rgb="FF000080"/>
      <name val="Arial"/>
    </font>
    <font>
      <i/>
      <sz val="10"/>
      <color theme="1"/>
      <name val="Arial"/>
    </font>
    <font>
      <sz val="10"/>
      <color theme="0"/>
      <name val="Arial"/>
    </font>
    <font>
      <b/>
      <sz val="10"/>
      <color theme="1"/>
      <name val="Arial"/>
    </font>
    <font>
      <sz val="10"/>
      <color rgb="FF003472"/>
      <name val="Arial"/>
    </font>
    <font>
      <sz val="10"/>
      <color theme="1"/>
      <name val="Arial"/>
    </font>
    <font>
      <b/>
      <sz val="10"/>
      <color theme="1"/>
      <name val="Arial"/>
    </font>
    <font>
      <b/>
      <sz val="10"/>
      <color rgb="FF003472"/>
      <name val="Arial"/>
    </font>
    <font>
      <sz val="10"/>
      <color rgb="FF003472"/>
      <name val="Calibri"/>
    </font>
    <font>
      <sz val="10"/>
      <color rgb="FF003472"/>
      <name val="Calibri"/>
      <scheme val="minor"/>
    </font>
    <font>
      <b/>
      <sz val="10"/>
      <color rgb="FF003472"/>
      <name val="Calibri"/>
      <scheme val="minor"/>
    </font>
    <font>
      <sz val="10"/>
      <color theme="1"/>
      <name val="Calibri"/>
    </font>
    <font>
      <sz val="10"/>
      <color theme="1"/>
      <name val="Calibri"/>
      <scheme val="minor"/>
    </font>
    <font>
      <b/>
      <sz val="10"/>
      <color rgb="FF000000"/>
      <name val="Arial"/>
    </font>
    <font>
      <b/>
      <i/>
      <sz val="10"/>
      <color rgb="FF003472"/>
      <name val="Arial"/>
    </font>
    <font>
      <b/>
      <sz val="10"/>
      <color rgb="FFFFFFFF"/>
      <name val="Arial"/>
    </font>
    <font>
      <sz val="7"/>
      <color rgb="FF003472"/>
      <name val="Arial"/>
    </font>
    <font>
      <b/>
      <sz val="10"/>
      <color rgb="FF00FF00"/>
      <name val="Arial"/>
    </font>
    <font>
      <sz val="10"/>
      <color rgb="FFFF0000"/>
      <name val="Arial"/>
    </font>
    <font>
      <i/>
      <sz val="10"/>
      <color rgb="FF003472"/>
      <name val="Arial"/>
    </font>
  </fonts>
  <fills count="12">
    <fill>
      <patternFill patternType="none"/>
    </fill>
    <fill>
      <patternFill patternType="gray125"/>
    </fill>
    <fill>
      <patternFill patternType="solid">
        <fgColor rgb="FF003472"/>
        <bgColor rgb="FF003472"/>
      </patternFill>
    </fill>
    <fill>
      <patternFill patternType="solid">
        <fgColor rgb="FFFFFFFF"/>
        <bgColor rgb="FFFFFFFF"/>
      </patternFill>
    </fill>
    <fill>
      <patternFill patternType="solid">
        <fgColor rgb="FF00BEDD"/>
        <bgColor rgb="FF00BEDD"/>
      </patternFill>
    </fill>
    <fill>
      <patternFill patternType="solid">
        <fgColor rgb="FFE6F1F8"/>
        <bgColor rgb="FFE6F1F8"/>
      </patternFill>
    </fill>
    <fill>
      <patternFill patternType="solid">
        <fgColor rgb="FFEDEDED"/>
        <bgColor rgb="FFEDEDED"/>
      </patternFill>
    </fill>
    <fill>
      <patternFill patternType="solid">
        <fgColor rgb="FFD8D8D8"/>
        <bgColor rgb="FFD8D8D8"/>
      </patternFill>
    </fill>
    <fill>
      <patternFill patternType="solid">
        <fgColor theme="0"/>
        <bgColor theme="0"/>
      </patternFill>
    </fill>
    <fill>
      <patternFill patternType="solid">
        <fgColor rgb="FFA4C2F4"/>
        <bgColor rgb="FFA4C2F4"/>
      </patternFill>
    </fill>
    <fill>
      <patternFill patternType="solid">
        <fgColor rgb="FFEFEFEF"/>
        <bgColor rgb="FFEFEFEF"/>
      </patternFill>
    </fill>
    <fill>
      <patternFill patternType="solid">
        <fgColor rgb="FFCFE2F3"/>
        <bgColor rgb="FFCFE2F3"/>
      </patternFill>
    </fill>
  </fills>
  <borders count="2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theme="0"/>
      </top>
      <bottom/>
      <diagonal/>
    </border>
    <border>
      <left/>
      <right/>
      <top style="medium">
        <color theme="0"/>
      </top>
      <bottom/>
      <diagonal/>
    </border>
    <border>
      <left/>
      <right/>
      <top style="medium">
        <color theme="0"/>
      </top>
      <bottom/>
      <diagonal/>
    </border>
    <border>
      <left/>
      <right/>
      <top/>
      <bottom/>
      <diagonal/>
    </border>
    <border>
      <left/>
      <right/>
      <top/>
      <bottom/>
      <diagonal/>
    </border>
    <border>
      <left/>
      <right/>
      <top/>
      <bottom style="medium">
        <color rgb="FFFFFFFF"/>
      </bottom>
      <diagonal/>
    </border>
    <border>
      <left/>
      <right/>
      <top/>
      <bottom style="thin">
        <color rgb="FFFFFFFF"/>
      </bottom>
      <diagonal/>
    </border>
    <border>
      <left/>
      <right/>
      <top/>
      <bottom style="thin">
        <color rgb="FFFFFFFF"/>
      </bottom>
      <diagonal/>
    </border>
  </borders>
  <cellStyleXfs count="1">
    <xf numFmtId="0" fontId="0" fillId="0" borderId="0"/>
  </cellStyleXfs>
  <cellXfs count="425">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applyAlignment="1">
      <alignment vertical="center"/>
    </xf>
    <xf numFmtId="0" fontId="2" fillId="2" borderId="1" xfId="0" applyFont="1" applyFill="1" applyBorder="1" applyAlignment="1">
      <alignment horizontal="center"/>
    </xf>
    <xf numFmtId="0" fontId="1" fillId="3" borderId="1" xfId="0" applyFont="1" applyFill="1" applyBorder="1"/>
    <xf numFmtId="0" fontId="4" fillId="2" borderId="1" xfId="0" applyFont="1" applyFill="1" applyBorder="1" applyAlignment="1">
      <alignment vertical="center"/>
    </xf>
    <xf numFmtId="0" fontId="3" fillId="2" borderId="1" xfId="0" applyFont="1" applyFill="1" applyBorder="1" applyAlignment="1">
      <alignment horizontal="center"/>
    </xf>
    <xf numFmtId="0" fontId="5" fillId="2" borderId="1" xfId="0" applyFont="1" applyFill="1" applyBorder="1" applyAlignment="1">
      <alignment horizontal="left" vertical="center"/>
    </xf>
    <xf numFmtId="0" fontId="1" fillId="4" borderId="1" xfId="0" applyFont="1" applyFill="1" applyBorder="1"/>
    <xf numFmtId="0" fontId="6" fillId="4" borderId="1" xfId="0" applyFont="1" applyFill="1" applyBorder="1" applyAlignment="1">
      <alignment horizontal="left" vertical="center"/>
    </xf>
    <xf numFmtId="0" fontId="4" fillId="4" borderId="1" xfId="0" applyFont="1" applyFill="1" applyBorder="1" applyAlignment="1">
      <alignment vertical="center"/>
    </xf>
    <xf numFmtId="0" fontId="3" fillId="4" borderId="1" xfId="0" applyFont="1" applyFill="1" applyBorder="1" applyAlignment="1">
      <alignment horizontal="center"/>
    </xf>
    <xf numFmtId="0" fontId="7" fillId="3" borderId="1" xfId="0" applyFont="1" applyFill="1" applyBorder="1" applyAlignment="1">
      <alignment horizontal="left" vertical="center"/>
    </xf>
    <xf numFmtId="0" fontId="4" fillId="3" borderId="1" xfId="0" applyFont="1" applyFill="1" applyBorder="1" applyAlignment="1">
      <alignment vertical="center"/>
    </xf>
    <xf numFmtId="0" fontId="2" fillId="3" borderId="1" xfId="0" applyFont="1" applyFill="1" applyBorder="1"/>
    <xf numFmtId="0" fontId="3" fillId="3" borderId="1" xfId="0" applyFont="1" applyFill="1" applyBorder="1" applyAlignment="1">
      <alignment horizontal="center"/>
    </xf>
    <xf numFmtId="0" fontId="8" fillId="3" borderId="1" xfId="0" applyFont="1" applyFill="1" applyBorder="1" applyAlignment="1">
      <alignment horizontal="center" vertical="center"/>
    </xf>
    <xf numFmtId="0" fontId="1" fillId="3" borderId="1" xfId="0" applyFont="1" applyFill="1" applyBorder="1" applyAlignment="1">
      <alignment horizontal="center"/>
    </xf>
    <xf numFmtId="0" fontId="11" fillId="3" borderId="1" xfId="0" applyFont="1" applyFill="1" applyBorder="1"/>
    <xf numFmtId="0" fontId="4" fillId="0" borderId="0" xfId="0" applyFont="1"/>
    <xf numFmtId="164" fontId="12" fillId="3" borderId="1" xfId="0" applyNumberFormat="1" applyFont="1" applyFill="1" applyBorder="1" applyAlignment="1">
      <alignment horizontal="right" vertical="center"/>
    </xf>
    <xf numFmtId="0" fontId="13" fillId="3" borderId="1" xfId="0" applyFont="1" applyFill="1" applyBorder="1" applyAlignment="1">
      <alignment horizontal="center"/>
    </xf>
    <xf numFmtId="0" fontId="14" fillId="3" borderId="1" xfId="0" applyFont="1" applyFill="1" applyBorder="1"/>
    <xf numFmtId="0" fontId="15" fillId="3" borderId="1" xfId="0" applyFont="1" applyFill="1" applyBorder="1"/>
    <xf numFmtId="0" fontId="16" fillId="3" borderId="1" xfId="0" applyFont="1" applyFill="1" applyBorder="1"/>
    <xf numFmtId="0" fontId="16" fillId="3" borderId="1" xfId="0" applyFont="1" applyFill="1" applyBorder="1" applyAlignment="1">
      <alignment horizontal="center"/>
    </xf>
    <xf numFmtId="0" fontId="18" fillId="3" borderId="1" xfId="0" applyFont="1" applyFill="1" applyBorder="1" applyAlignment="1">
      <alignment vertical="center"/>
    </xf>
    <xf numFmtId="0" fontId="18" fillId="5" borderId="1" xfId="0" applyFont="1" applyFill="1" applyBorder="1" applyAlignment="1">
      <alignment horizontal="left" vertical="center"/>
    </xf>
    <xf numFmtId="3" fontId="18" fillId="5" borderId="1" xfId="0" applyNumberFormat="1" applyFont="1" applyFill="1" applyBorder="1" applyAlignment="1">
      <alignment horizontal="left" vertical="center"/>
    </xf>
    <xf numFmtId="0" fontId="18" fillId="3" borderId="1" xfId="0" applyFont="1" applyFill="1" applyBorder="1" applyAlignment="1">
      <alignment horizontal="left" vertical="center"/>
    </xf>
    <xf numFmtId="3" fontId="18" fillId="3" borderId="0" xfId="0" applyNumberFormat="1" applyFont="1" applyFill="1" applyAlignment="1">
      <alignment horizontal="left" vertical="center"/>
    </xf>
    <xf numFmtId="3" fontId="18" fillId="3" borderId="0" xfId="0" applyNumberFormat="1" applyFont="1" applyFill="1" applyAlignment="1">
      <alignment horizontal="left"/>
    </xf>
    <xf numFmtId="0" fontId="21" fillId="5" borderId="1" xfId="0" applyFont="1" applyFill="1" applyBorder="1" applyAlignment="1">
      <alignment horizontal="left" vertical="center"/>
    </xf>
    <xf numFmtId="0" fontId="22" fillId="5" borderId="1" xfId="0" applyFont="1" applyFill="1" applyBorder="1" applyAlignment="1">
      <alignment horizontal="left"/>
    </xf>
    <xf numFmtId="0" fontId="18" fillId="0" borderId="0" xfId="0" applyFont="1" applyAlignment="1">
      <alignment horizontal="left" vertical="center"/>
    </xf>
    <xf numFmtId="0" fontId="18" fillId="0" borderId="0" xfId="0" applyFont="1" applyAlignment="1">
      <alignment horizontal="left"/>
    </xf>
    <xf numFmtId="0" fontId="18" fillId="5" borderId="1" xfId="0" applyFont="1" applyFill="1" applyBorder="1" applyAlignment="1">
      <alignment horizontal="left"/>
    </xf>
    <xf numFmtId="0" fontId="18" fillId="0" borderId="0" xfId="0" applyFont="1" applyAlignment="1">
      <alignment vertical="center" wrapText="1"/>
    </xf>
    <xf numFmtId="0" fontId="23" fillId="3" borderId="1" xfId="0" applyFont="1" applyFill="1" applyBorder="1" applyAlignment="1">
      <alignment horizontal="left" vertical="center"/>
    </xf>
    <xf numFmtId="0" fontId="24" fillId="3" borderId="1" xfId="0" applyFont="1" applyFill="1" applyBorder="1"/>
    <xf numFmtId="3" fontId="1" fillId="3" borderId="1" xfId="0" applyNumberFormat="1" applyFont="1" applyFill="1" applyBorder="1"/>
    <xf numFmtId="0" fontId="25" fillId="0" borderId="0" xfId="0" applyFont="1" applyAlignment="1">
      <alignment vertical="center"/>
    </xf>
    <xf numFmtId="0" fontId="16" fillId="0" borderId="0" xfId="0" applyFont="1"/>
    <xf numFmtId="0" fontId="13" fillId="0" borderId="0" xfId="0" applyFont="1" applyAlignment="1">
      <alignment horizontal="left" readingOrder="1"/>
    </xf>
    <xf numFmtId="0" fontId="26" fillId="0" borderId="0" xfId="0" applyFont="1" applyAlignment="1">
      <alignment vertical="center"/>
    </xf>
    <xf numFmtId="0" fontId="27" fillId="0" borderId="0" xfId="0" applyFont="1"/>
    <xf numFmtId="0" fontId="16"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xf>
    <xf numFmtId="0" fontId="26" fillId="0" borderId="0" xfId="0" applyFont="1" applyAlignment="1">
      <alignment horizontal="left" vertical="center" wrapText="1"/>
    </xf>
    <xf numFmtId="0" fontId="28" fillId="2" borderId="0" xfId="0" applyFont="1" applyFill="1" applyAlignment="1">
      <alignment horizontal="center" vertical="center"/>
    </xf>
    <xf numFmtId="0" fontId="16" fillId="5" borderId="0" xfId="0" applyFont="1" applyFill="1" applyAlignment="1">
      <alignment horizontal="left" vertical="center"/>
    </xf>
    <xf numFmtId="165" fontId="16" fillId="5" borderId="0" xfId="0" applyNumberFormat="1" applyFont="1" applyFill="1" applyAlignment="1">
      <alignment vertical="center"/>
    </xf>
    <xf numFmtId="0" fontId="16" fillId="5" borderId="0" xfId="0" applyFont="1" applyFill="1"/>
    <xf numFmtId="0" fontId="16" fillId="0" borderId="0" xfId="0" applyFont="1" applyAlignment="1">
      <alignment horizontal="left" vertical="center"/>
    </xf>
    <xf numFmtId="165" fontId="16" fillId="0" borderId="0" xfId="0" applyNumberFormat="1" applyFont="1" applyAlignment="1">
      <alignment vertical="center"/>
    </xf>
    <xf numFmtId="0" fontId="16" fillId="3" borderId="1" xfId="0" applyFont="1" applyFill="1" applyBorder="1" applyAlignment="1">
      <alignment horizontal="left" vertical="center" wrapText="1"/>
    </xf>
    <xf numFmtId="0" fontId="16" fillId="0" borderId="0" xfId="0" applyFont="1" applyAlignment="1">
      <alignment horizontal="left" vertical="center" wrapText="1"/>
    </xf>
    <xf numFmtId="0" fontId="29" fillId="0" borderId="0" xfId="0" applyFont="1" applyAlignment="1">
      <alignment vertical="center"/>
    </xf>
    <xf numFmtId="0" fontId="1" fillId="0" borderId="0" xfId="0" applyFont="1"/>
    <xf numFmtId="0" fontId="2" fillId="0" borderId="0" xfId="0" applyFont="1"/>
    <xf numFmtId="0" fontId="2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165" fontId="30" fillId="5" borderId="1" xfId="0" applyNumberFormat="1" applyFont="1" applyFill="1" applyBorder="1" applyAlignment="1">
      <alignment vertical="center"/>
    </xf>
    <xf numFmtId="165" fontId="2" fillId="5" borderId="1" xfId="0" applyNumberFormat="1" applyFont="1" applyFill="1" applyBorder="1" applyAlignment="1">
      <alignment vertical="center"/>
    </xf>
    <xf numFmtId="0" fontId="2" fillId="5" borderId="1" xfId="0" applyFont="1" applyFill="1" applyBorder="1" applyAlignment="1">
      <alignment vertical="center"/>
    </xf>
    <xf numFmtId="165" fontId="2" fillId="3"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0" fontId="31" fillId="3" borderId="1" xfId="0" applyFont="1" applyFill="1" applyBorder="1"/>
    <xf numFmtId="0" fontId="32" fillId="3" borderId="1" xfId="0" applyFont="1" applyFill="1" applyBorder="1"/>
    <xf numFmtId="165" fontId="2" fillId="5" borderId="1" xfId="0" applyNumberFormat="1" applyFont="1" applyFill="1" applyBorder="1" applyAlignment="1">
      <alignment horizontal="left" vertical="center"/>
    </xf>
    <xf numFmtId="0" fontId="2" fillId="5" borderId="1" xfId="0" applyFont="1" applyFill="1" applyBorder="1" applyAlignment="1">
      <alignment horizontal="left" vertical="center"/>
    </xf>
    <xf numFmtId="0" fontId="2" fillId="3" borderId="1" xfId="0" applyFont="1" applyFill="1" applyBorder="1" applyAlignment="1">
      <alignment vertical="center"/>
    </xf>
    <xf numFmtId="9" fontId="2" fillId="3" borderId="1" xfId="0" applyNumberFormat="1" applyFont="1" applyFill="1" applyBorder="1" applyAlignment="1">
      <alignment horizontal="left" vertical="center"/>
    </xf>
    <xf numFmtId="0" fontId="2" fillId="3" borderId="1" xfId="0" applyFont="1" applyFill="1" applyBorder="1" applyAlignment="1">
      <alignment horizontal="left" vertical="center" wrapText="1"/>
    </xf>
    <xf numFmtId="2" fontId="1" fillId="0" borderId="0" xfId="0" applyNumberFormat="1" applyFont="1" applyAlignment="1">
      <alignment vertical="center"/>
    </xf>
    <xf numFmtId="165" fontId="1" fillId="3" borderId="1" xfId="0" applyNumberFormat="1" applyFont="1" applyFill="1" applyBorder="1"/>
    <xf numFmtId="0" fontId="12" fillId="0" borderId="0" xfId="0" applyFont="1" applyAlignment="1">
      <alignment horizontal="left" readingOrder="1"/>
    </xf>
    <xf numFmtId="3" fontId="1" fillId="0" borderId="0" xfId="0" applyNumberFormat="1" applyFont="1"/>
    <xf numFmtId="9" fontId="1" fillId="0" borderId="0" xfId="0" applyNumberFormat="1" applyFont="1"/>
    <xf numFmtId="0" fontId="33" fillId="3" borderId="1" xfId="0" applyFont="1" applyFill="1" applyBorder="1"/>
    <xf numFmtId="0" fontId="34" fillId="3" borderId="1" xfId="0" applyFont="1" applyFill="1" applyBorder="1"/>
    <xf numFmtId="0" fontId="1" fillId="0" borderId="0" xfId="0" applyFont="1" applyAlignment="1">
      <alignment vertical="center"/>
    </xf>
    <xf numFmtId="0" fontId="1" fillId="3" borderId="0" xfId="0" applyFont="1" applyFill="1"/>
    <xf numFmtId="166" fontId="2" fillId="3" borderId="1" xfId="0" applyNumberFormat="1" applyFont="1" applyFill="1" applyBorder="1" applyAlignment="1">
      <alignment horizontal="center" vertical="center"/>
    </xf>
    <xf numFmtId="166" fontId="33" fillId="3" borderId="1" xfId="0" applyNumberFormat="1" applyFont="1" applyFill="1" applyBorder="1" applyAlignment="1">
      <alignment horizontal="center" vertical="center"/>
    </xf>
    <xf numFmtId="0" fontId="28" fillId="2" borderId="1"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center" wrapText="1"/>
    </xf>
    <xf numFmtId="9" fontId="1" fillId="0" borderId="0" xfId="0" applyNumberFormat="1" applyFont="1" applyAlignment="1">
      <alignment horizontal="center" wrapText="1"/>
    </xf>
    <xf numFmtId="9" fontId="34" fillId="0" borderId="0" xfId="0" applyNumberFormat="1" applyFont="1" applyAlignment="1">
      <alignment horizontal="center" wrapText="1"/>
    </xf>
    <xf numFmtId="0" fontId="26" fillId="5" borderId="18" xfId="0" applyFont="1" applyFill="1" applyBorder="1" applyAlignment="1">
      <alignment vertical="center"/>
    </xf>
    <xf numFmtId="0" fontId="16" fillId="5" borderId="1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26" fillId="5" borderId="0" xfId="0" applyFont="1" applyFill="1" applyAlignment="1">
      <alignment vertical="center"/>
    </xf>
    <xf numFmtId="0" fontId="35" fillId="6" borderId="0" xfId="0" applyFont="1" applyFill="1"/>
    <xf numFmtId="166" fontId="16" fillId="6" borderId="0" xfId="0" applyNumberFormat="1" applyFont="1" applyFill="1" applyAlignment="1">
      <alignment horizontal="right" vertical="center"/>
    </xf>
    <xf numFmtId="166" fontId="36" fillId="0" borderId="0" xfId="0" applyNumberFormat="1" applyFont="1" applyAlignment="1">
      <alignment horizontal="right"/>
    </xf>
    <xf numFmtId="166" fontId="35" fillId="0" borderId="0" xfId="0" applyNumberFormat="1" applyFont="1"/>
    <xf numFmtId="166" fontId="16" fillId="6" borderId="0" xfId="0" applyNumberFormat="1" applyFont="1" applyFill="1" applyAlignment="1">
      <alignment horizontal="left" vertical="center"/>
    </xf>
    <xf numFmtId="166" fontId="26" fillId="5" borderId="0" xfId="0" applyNumberFormat="1" applyFont="1" applyFill="1" applyAlignment="1">
      <alignment vertical="center"/>
    </xf>
    <xf numFmtId="167" fontId="26" fillId="5" borderId="0" xfId="0" applyNumberFormat="1" applyFont="1" applyFill="1" applyAlignment="1">
      <alignment vertical="center"/>
    </xf>
    <xf numFmtId="166" fontId="37" fillId="0" borderId="0" xfId="0" applyNumberFormat="1" applyFont="1" applyAlignment="1">
      <alignment horizontal="right"/>
    </xf>
    <xf numFmtId="0" fontId="16" fillId="0" borderId="0" xfId="0" applyFont="1" applyAlignment="1">
      <alignment horizontal="left" wrapText="1"/>
    </xf>
    <xf numFmtId="9" fontId="16" fillId="0" borderId="0" xfId="0" applyNumberFormat="1" applyFont="1" applyAlignment="1">
      <alignment horizontal="center" wrapText="1"/>
    </xf>
    <xf numFmtId="9" fontId="26" fillId="0" borderId="0" xfId="0" applyNumberFormat="1" applyFont="1" applyAlignment="1">
      <alignment horizontal="center" wrapText="1"/>
    </xf>
    <xf numFmtId="0" fontId="35" fillId="0" borderId="0" xfId="0" applyFont="1"/>
    <xf numFmtId="0" fontId="38" fillId="7" borderId="0" xfId="0" applyFont="1" applyFill="1"/>
    <xf numFmtId="167" fontId="26" fillId="7" borderId="0" xfId="0" applyNumberFormat="1" applyFont="1" applyFill="1" applyAlignment="1">
      <alignment vertical="center"/>
    </xf>
    <xf numFmtId="0" fontId="16" fillId="0" borderId="0" xfId="0" applyFont="1" applyAlignment="1">
      <alignment horizontal="left"/>
    </xf>
    <xf numFmtId="167" fontId="16" fillId="0" borderId="0" xfId="0" applyNumberFormat="1" applyFont="1" applyAlignment="1">
      <alignment horizontal="center" wrapText="1"/>
    </xf>
    <xf numFmtId="167" fontId="26" fillId="0" borderId="0" xfId="0" applyNumberFormat="1" applyFont="1" applyAlignment="1">
      <alignment horizontal="center" wrapText="1"/>
    </xf>
    <xf numFmtId="0" fontId="38" fillId="5" borderId="0" xfId="0" applyFont="1" applyFill="1"/>
    <xf numFmtId="166" fontId="16" fillId="5" borderId="0" xfId="0" applyNumberFormat="1" applyFont="1" applyFill="1" applyAlignment="1">
      <alignment horizontal="right" vertical="center"/>
    </xf>
    <xf numFmtId="0" fontId="35" fillId="5" borderId="0" xfId="0" applyFont="1" applyFill="1"/>
    <xf numFmtId="0" fontId="39" fillId="0" borderId="0" xfId="0" applyFont="1"/>
    <xf numFmtId="0" fontId="40" fillId="0" borderId="0" xfId="0" applyFont="1"/>
    <xf numFmtId="0" fontId="41" fillId="0" borderId="0" xfId="0" applyFont="1"/>
    <xf numFmtId="0" fontId="27" fillId="8" borderId="0" xfId="0" applyFont="1" applyFill="1" applyAlignment="1">
      <alignment vertical="center"/>
    </xf>
    <xf numFmtId="9" fontId="42" fillId="3" borderId="0" xfId="0" applyNumberFormat="1" applyFont="1" applyFill="1"/>
    <xf numFmtId="0" fontId="38" fillId="5" borderId="19" xfId="0" applyFont="1" applyFill="1" applyBorder="1"/>
    <xf numFmtId="3" fontId="35" fillId="6" borderId="0" xfId="0" applyNumberFormat="1" applyFont="1" applyFill="1" applyAlignment="1">
      <alignment horizontal="left"/>
    </xf>
    <xf numFmtId="3" fontId="16" fillId="6" borderId="0" xfId="0" applyNumberFormat="1" applyFont="1" applyFill="1" applyAlignment="1">
      <alignment horizontal="right" wrapText="1"/>
    </xf>
    <xf numFmtId="167" fontId="16" fillId="0" borderId="0" xfId="0" applyNumberFormat="1" applyFont="1" applyAlignment="1">
      <alignment horizontal="right" wrapText="1"/>
    </xf>
    <xf numFmtId="0" fontId="16" fillId="0" borderId="0" xfId="0" applyFont="1" applyAlignment="1">
      <alignment horizontal="center" wrapText="1"/>
    </xf>
    <xf numFmtId="168" fontId="43" fillId="0" borderId="0" xfId="0" applyNumberFormat="1" applyFont="1"/>
    <xf numFmtId="0" fontId="38" fillId="5" borderId="19" xfId="0" applyFont="1" applyFill="1" applyBorder="1" applyAlignment="1">
      <alignment vertical="center"/>
    </xf>
    <xf numFmtId="3" fontId="35" fillId="6" borderId="0" xfId="0" applyNumberFormat="1" applyFont="1" applyFill="1"/>
    <xf numFmtId="3" fontId="38" fillId="6" borderId="0" xfId="0" applyNumberFormat="1" applyFont="1" applyFill="1" applyAlignment="1">
      <alignment horizontal="right"/>
    </xf>
    <xf numFmtId="3" fontId="35" fillId="6" borderId="0" xfId="0" applyNumberFormat="1" applyFont="1" applyFill="1" applyAlignment="1">
      <alignment horizontal="right"/>
    </xf>
    <xf numFmtId="0" fontId="26" fillId="0" borderId="0" xfId="0" applyFont="1"/>
    <xf numFmtId="0" fontId="16" fillId="0" borderId="0" xfId="0" applyFont="1" applyAlignment="1">
      <alignment horizontal="center"/>
    </xf>
    <xf numFmtId="0" fontId="26" fillId="5" borderId="19" xfId="0" applyFont="1" applyFill="1" applyBorder="1" applyAlignment="1">
      <alignment vertical="center"/>
    </xf>
    <xf numFmtId="3" fontId="16" fillId="6" borderId="19" xfId="0" applyNumberFormat="1" applyFont="1" applyFill="1" applyBorder="1" applyAlignment="1">
      <alignment horizontal="left" vertical="center"/>
    </xf>
    <xf numFmtId="3" fontId="16" fillId="6" borderId="19" xfId="0" applyNumberFormat="1" applyFont="1" applyFill="1" applyBorder="1" applyAlignment="1">
      <alignment horizontal="right" vertical="center"/>
    </xf>
    <xf numFmtId="166" fontId="37" fillId="3" borderId="0" xfId="0" applyNumberFormat="1" applyFont="1" applyFill="1" applyAlignment="1">
      <alignment horizontal="right"/>
    </xf>
    <xf numFmtId="3" fontId="16" fillId="3" borderId="0" xfId="0" applyNumberFormat="1" applyFont="1" applyFill="1" applyAlignment="1">
      <alignment horizontal="left" vertical="center"/>
    </xf>
    <xf numFmtId="9" fontId="16" fillId="3" borderId="0" xfId="0" applyNumberFormat="1" applyFont="1" applyFill="1" applyAlignment="1">
      <alignment horizontal="right" vertical="center"/>
    </xf>
    <xf numFmtId="0" fontId="30" fillId="3" borderId="0" xfId="0" applyFont="1" applyFill="1" applyAlignment="1">
      <alignment vertical="center"/>
    </xf>
    <xf numFmtId="0" fontId="30" fillId="0" borderId="0" xfId="0" applyFont="1" applyAlignment="1">
      <alignment horizontal="left" vertical="center"/>
    </xf>
    <xf numFmtId="0" fontId="1" fillId="3" borderId="10" xfId="0" applyFont="1" applyFill="1" applyBorder="1" applyAlignment="1">
      <alignment horizontal="right" vertical="center"/>
    </xf>
    <xf numFmtId="169" fontId="44" fillId="0" borderId="0" xfId="0" applyNumberFormat="1" applyFont="1" applyAlignment="1">
      <alignment horizontal="right" vertical="center"/>
    </xf>
    <xf numFmtId="0" fontId="34" fillId="3" borderId="10" xfId="0" applyFont="1" applyFill="1" applyBorder="1" applyAlignment="1">
      <alignment horizontal="right" vertical="center"/>
    </xf>
    <xf numFmtId="0" fontId="34" fillId="3" borderId="9" xfId="0" applyFont="1" applyFill="1" applyBorder="1" applyAlignment="1">
      <alignment horizontal="right" vertical="center"/>
    </xf>
    <xf numFmtId="0" fontId="1" fillId="3" borderId="0" xfId="0" applyFont="1" applyFill="1" applyAlignment="1">
      <alignment vertical="center"/>
    </xf>
    <xf numFmtId="0" fontId="45" fillId="3" borderId="0" xfId="0" applyFont="1" applyFill="1" applyAlignment="1">
      <alignment vertical="center"/>
    </xf>
    <xf numFmtId="0" fontId="45" fillId="0" borderId="0" xfId="0" applyFont="1" applyAlignment="1">
      <alignment horizontal="left" vertical="center"/>
    </xf>
    <xf numFmtId="0" fontId="34" fillId="5" borderId="6" xfId="0" applyFont="1" applyFill="1" applyBorder="1" applyAlignment="1">
      <alignment horizontal="center" vertical="center"/>
    </xf>
    <xf numFmtId="0" fontId="1" fillId="5" borderId="0" xfId="0" applyFont="1" applyFill="1" applyAlignment="1">
      <alignment horizontal="right" vertical="center"/>
    </xf>
    <xf numFmtId="0" fontId="19" fillId="3" borderId="0" xfId="0" applyFont="1" applyFill="1" applyAlignment="1">
      <alignment vertical="center"/>
    </xf>
    <xf numFmtId="0" fontId="19" fillId="2" borderId="0" xfId="0" applyFont="1" applyFill="1" applyAlignment="1">
      <alignment vertical="center"/>
    </xf>
    <xf numFmtId="0" fontId="19" fillId="2" borderId="17" xfId="0" applyFont="1" applyFill="1" applyBorder="1" applyAlignment="1">
      <alignment horizontal="left" vertical="center"/>
    </xf>
    <xf numFmtId="169" fontId="1" fillId="2" borderId="0" xfId="0" applyNumberFormat="1" applyFont="1" applyFill="1" applyAlignment="1">
      <alignment horizontal="right" vertical="center"/>
    </xf>
    <xf numFmtId="169" fontId="1" fillId="2" borderId="12" xfId="0" applyNumberFormat="1" applyFont="1" applyFill="1" applyBorder="1" applyAlignment="1">
      <alignment horizontal="right" vertical="center"/>
    </xf>
    <xf numFmtId="0" fontId="1" fillId="3" borderId="6" xfId="0" applyFont="1" applyFill="1" applyBorder="1" applyAlignment="1">
      <alignment vertical="center"/>
    </xf>
    <xf numFmtId="169" fontId="19" fillId="2" borderId="7" xfId="0" applyNumberFormat="1" applyFont="1" applyFill="1" applyBorder="1" applyAlignment="1">
      <alignment horizontal="right" vertical="center"/>
    </xf>
    <xf numFmtId="0" fontId="28" fillId="2" borderId="1" xfId="0" applyFont="1" applyFill="1" applyBorder="1" applyAlignment="1">
      <alignment horizontal="right" vertical="center" wrapText="1"/>
    </xf>
    <xf numFmtId="0" fontId="19" fillId="2" borderId="1" xfId="0" applyFont="1" applyFill="1" applyBorder="1" applyAlignment="1">
      <alignment horizontal="right" vertical="center" wrapText="1"/>
    </xf>
    <xf numFmtId="0" fontId="1" fillId="3" borderId="7" xfId="0" applyFont="1" applyFill="1" applyBorder="1" applyAlignment="1">
      <alignment vertical="center"/>
    </xf>
    <xf numFmtId="0" fontId="26" fillId="3" borderId="0" xfId="0" applyFont="1" applyFill="1" applyAlignment="1">
      <alignment vertical="center"/>
    </xf>
    <xf numFmtId="0" fontId="26" fillId="5" borderId="0" xfId="0" applyFont="1" applyFill="1" applyAlignment="1">
      <alignment horizontal="left" vertical="center"/>
    </xf>
    <xf numFmtId="169" fontId="26" fillId="5" borderId="0" xfId="0" applyNumberFormat="1" applyFont="1" applyFill="1" applyAlignment="1">
      <alignment horizontal="right" vertical="center"/>
    </xf>
    <xf numFmtId="49" fontId="26" fillId="10" borderId="0" xfId="0" applyNumberFormat="1" applyFont="1" applyFill="1" applyAlignment="1">
      <alignment vertical="center"/>
    </xf>
    <xf numFmtId="169" fontId="26" fillId="10" borderId="12" xfId="0" applyNumberFormat="1" applyFont="1" applyFill="1" applyBorder="1" applyAlignment="1">
      <alignment horizontal="right" vertical="center"/>
    </xf>
    <xf numFmtId="49" fontId="16" fillId="0" borderId="19" xfId="0" applyNumberFormat="1" applyFont="1" applyBorder="1" applyAlignment="1">
      <alignment vertical="center"/>
    </xf>
    <xf numFmtId="169" fontId="26" fillId="0" borderId="0" xfId="0" applyNumberFormat="1" applyFont="1" applyAlignment="1">
      <alignment horizontal="right" vertical="center"/>
    </xf>
    <xf numFmtId="0" fontId="1" fillId="0" borderId="6" xfId="0" applyFont="1" applyBorder="1" applyAlignment="1">
      <alignment vertical="center"/>
    </xf>
    <xf numFmtId="49" fontId="16" fillId="0" borderId="0" xfId="0" applyNumberFormat="1" applyFont="1" applyAlignment="1">
      <alignment vertical="center"/>
    </xf>
    <xf numFmtId="170" fontId="16" fillId="0" borderId="0" xfId="0" applyNumberFormat="1" applyFont="1" applyAlignment="1">
      <alignment vertical="center"/>
    </xf>
    <xf numFmtId="169" fontId="16" fillId="3" borderId="0" xfId="0" applyNumberFormat="1" applyFont="1" applyFill="1" applyAlignment="1">
      <alignment horizontal="right" vertical="center"/>
    </xf>
    <xf numFmtId="49" fontId="16" fillId="3" borderId="0" xfId="0" applyNumberFormat="1" applyFont="1" applyFill="1" applyAlignment="1">
      <alignment horizontal="left" vertical="center"/>
    </xf>
    <xf numFmtId="169" fontId="16" fillId="3" borderId="12" xfId="0" applyNumberFormat="1" applyFont="1" applyFill="1" applyBorder="1" applyAlignment="1">
      <alignment horizontal="right" vertical="center"/>
    </xf>
    <xf numFmtId="170" fontId="1" fillId="3" borderId="7" xfId="0" applyNumberFormat="1" applyFont="1" applyFill="1" applyBorder="1" applyAlignment="1">
      <alignment vertical="center"/>
    </xf>
    <xf numFmtId="170" fontId="1" fillId="3" borderId="0" xfId="0" applyNumberFormat="1" applyFont="1" applyFill="1" applyAlignment="1">
      <alignment vertical="center"/>
    </xf>
    <xf numFmtId="170" fontId="16" fillId="0" borderId="0" xfId="0" applyNumberFormat="1" applyFont="1" applyAlignment="1">
      <alignment horizontal="left" vertical="center"/>
    </xf>
    <xf numFmtId="1" fontId="26" fillId="5" borderId="0" xfId="0" applyNumberFormat="1" applyFont="1" applyFill="1" applyAlignment="1">
      <alignment horizontal="left" vertical="center"/>
    </xf>
    <xf numFmtId="171" fontId="1" fillId="3" borderId="7" xfId="0" applyNumberFormat="1" applyFont="1" applyFill="1" applyBorder="1" applyAlignment="1">
      <alignment vertical="center"/>
    </xf>
    <xf numFmtId="171" fontId="1" fillId="3" borderId="0" xfId="0" applyNumberFormat="1" applyFont="1" applyFill="1" applyAlignment="1">
      <alignment vertical="center"/>
    </xf>
    <xf numFmtId="169" fontId="16" fillId="0" borderId="0" xfId="0" applyNumberFormat="1" applyFont="1" applyAlignment="1">
      <alignment horizontal="right" vertical="center"/>
    </xf>
    <xf numFmtId="0" fontId="1" fillId="0" borderId="7" xfId="0" applyFont="1" applyBorder="1" applyAlignment="1">
      <alignment vertical="center"/>
    </xf>
    <xf numFmtId="172" fontId="16" fillId="3" borderId="0" xfId="0" applyNumberFormat="1" applyFont="1" applyFill="1" applyAlignment="1">
      <alignment horizontal="right" vertical="center"/>
    </xf>
    <xf numFmtId="0" fontId="16" fillId="3" borderId="12" xfId="0" applyFont="1" applyFill="1" applyBorder="1" applyAlignment="1">
      <alignment horizontal="left" vertical="center"/>
    </xf>
    <xf numFmtId="169" fontId="1" fillId="3" borderId="7" xfId="0" applyNumberFormat="1" applyFont="1" applyFill="1" applyBorder="1" applyAlignment="1">
      <alignment horizontal="right" vertical="center"/>
    </xf>
    <xf numFmtId="0" fontId="1" fillId="0" borderId="0" xfId="0" applyFont="1" applyAlignment="1">
      <alignment horizontal="left" vertical="center"/>
    </xf>
    <xf numFmtId="169" fontId="1" fillId="0" borderId="0" xfId="0" applyNumberFormat="1" applyFont="1" applyAlignment="1">
      <alignment horizontal="right" vertical="center"/>
    </xf>
    <xf numFmtId="169" fontId="1" fillId="0" borderId="12" xfId="0" applyNumberFormat="1" applyFont="1" applyBorder="1" applyAlignment="1">
      <alignment horizontal="right" vertical="center"/>
    </xf>
    <xf numFmtId="0" fontId="16" fillId="3" borderId="0" xfId="0" applyFont="1" applyFill="1" applyAlignment="1">
      <alignment vertical="center"/>
    </xf>
    <xf numFmtId="0" fontId="16" fillId="3" borderId="0" xfId="0" applyFont="1" applyFill="1" applyAlignment="1">
      <alignment horizontal="left" vertical="center"/>
    </xf>
    <xf numFmtId="9" fontId="16" fillId="3" borderId="7" xfId="0" applyNumberFormat="1" applyFont="1" applyFill="1" applyBorder="1" applyAlignment="1">
      <alignment horizontal="right" vertical="center"/>
    </xf>
    <xf numFmtId="9" fontId="1" fillId="3" borderId="7" xfId="0" applyNumberFormat="1" applyFont="1" applyFill="1" applyBorder="1" applyAlignment="1">
      <alignment vertical="center"/>
    </xf>
    <xf numFmtId="9" fontId="1" fillId="3" borderId="0" xfId="0" applyNumberFormat="1" applyFont="1" applyFill="1" applyAlignment="1">
      <alignment vertical="center"/>
    </xf>
    <xf numFmtId="9" fontId="16" fillId="3" borderId="12" xfId="0" applyNumberFormat="1" applyFont="1" applyFill="1" applyBorder="1" applyAlignment="1">
      <alignment horizontal="right" vertical="center"/>
    </xf>
    <xf numFmtId="9" fontId="16" fillId="3" borderId="0" xfId="0" applyNumberFormat="1" applyFont="1" applyFill="1" applyAlignment="1">
      <alignment vertical="center"/>
    </xf>
    <xf numFmtId="9" fontId="16" fillId="3" borderId="0" xfId="0" applyNumberFormat="1" applyFont="1" applyFill="1" applyAlignment="1">
      <alignment horizontal="left" vertical="center"/>
    </xf>
    <xf numFmtId="169" fontId="1" fillId="3" borderId="7" xfId="0" applyNumberFormat="1" applyFont="1" applyFill="1" applyBorder="1" applyAlignment="1">
      <alignment vertical="center"/>
    </xf>
    <xf numFmtId="169" fontId="1" fillId="0" borderId="12" xfId="0" applyNumberFormat="1" applyFont="1" applyBorder="1" applyAlignment="1">
      <alignment vertical="center"/>
    </xf>
    <xf numFmtId="169" fontId="1" fillId="0" borderId="7" xfId="0" applyNumberFormat="1" applyFont="1" applyBorder="1" applyAlignment="1">
      <alignment vertical="center"/>
    </xf>
    <xf numFmtId="173" fontId="26" fillId="3" borderId="0" xfId="0" applyNumberFormat="1" applyFont="1" applyFill="1" applyAlignment="1">
      <alignment horizontal="right" vertical="center"/>
    </xf>
    <xf numFmtId="173" fontId="16" fillId="3" borderId="0" xfId="0" applyNumberFormat="1" applyFont="1" applyFill="1" applyAlignment="1">
      <alignment horizontal="right" vertical="center"/>
    </xf>
    <xf numFmtId="173" fontId="1" fillId="3" borderId="0" xfId="0" applyNumberFormat="1" applyFont="1" applyFill="1" applyAlignment="1">
      <alignment vertical="center"/>
    </xf>
    <xf numFmtId="0" fontId="16" fillId="3" borderId="6" xfId="0" applyFont="1" applyFill="1" applyBorder="1" applyAlignment="1">
      <alignment vertical="center"/>
    </xf>
    <xf numFmtId="0" fontId="16" fillId="3" borderId="12" xfId="0" applyFont="1" applyFill="1" applyBorder="1" applyAlignment="1">
      <alignment vertical="center"/>
    </xf>
    <xf numFmtId="0" fontId="16" fillId="3" borderId="7" xfId="0" applyFont="1" applyFill="1" applyBorder="1" applyAlignment="1">
      <alignment vertical="center"/>
    </xf>
    <xf numFmtId="0" fontId="26" fillId="3" borderId="0" xfId="0" applyFont="1" applyFill="1" applyAlignment="1">
      <alignment horizontal="left" vertical="center"/>
    </xf>
    <xf numFmtId="169" fontId="26" fillId="3" borderId="0" xfId="0" applyNumberFormat="1" applyFont="1" applyFill="1" applyAlignment="1">
      <alignment horizontal="right" vertical="center"/>
    </xf>
    <xf numFmtId="0" fontId="34" fillId="3" borderId="7" xfId="0" applyFont="1" applyFill="1" applyBorder="1" applyAlignment="1">
      <alignment vertical="center"/>
    </xf>
    <xf numFmtId="0" fontId="34" fillId="3" borderId="0" xfId="0" applyFont="1" applyFill="1" applyAlignment="1">
      <alignment vertical="center"/>
    </xf>
    <xf numFmtId="0" fontId="19" fillId="3" borderId="0" xfId="0" applyFont="1" applyFill="1" applyAlignment="1">
      <alignment horizontal="center" vertical="center"/>
    </xf>
    <xf numFmtId="0" fontId="19" fillId="2" borderId="1" xfId="0" applyFont="1" applyFill="1" applyBorder="1" applyAlignment="1">
      <alignment horizontal="left" vertical="center"/>
    </xf>
    <xf numFmtId="169" fontId="16" fillId="3" borderId="7" xfId="0" applyNumberFormat="1" applyFont="1" applyFill="1" applyBorder="1" applyAlignment="1">
      <alignment horizontal="right" vertical="center"/>
    </xf>
    <xf numFmtId="173" fontId="16" fillId="3" borderId="7" xfId="0" applyNumberFormat="1" applyFont="1" applyFill="1" applyBorder="1" applyAlignment="1">
      <alignment horizontal="right" vertical="center"/>
    </xf>
    <xf numFmtId="0" fontId="26" fillId="3" borderId="19" xfId="0" applyFont="1" applyFill="1" applyBorder="1" applyAlignment="1">
      <alignment horizontal="left" vertical="center"/>
    </xf>
    <xf numFmtId="169" fontId="26" fillId="3" borderId="19" xfId="0" applyNumberFormat="1" applyFont="1" applyFill="1" applyBorder="1" applyAlignment="1">
      <alignment horizontal="right" vertical="center"/>
    </xf>
    <xf numFmtId="9" fontId="16" fillId="3" borderId="6" xfId="0" applyNumberFormat="1" applyFont="1" applyFill="1" applyBorder="1" applyAlignment="1">
      <alignment horizontal="right" vertical="center"/>
    </xf>
    <xf numFmtId="170" fontId="16" fillId="3" borderId="0" xfId="0" applyNumberFormat="1" applyFont="1" applyFill="1" applyAlignment="1">
      <alignment horizontal="left" vertical="center"/>
    </xf>
    <xf numFmtId="170" fontId="16" fillId="3" borderId="20" xfId="0" applyNumberFormat="1" applyFont="1" applyFill="1" applyBorder="1" applyAlignment="1">
      <alignment horizontal="left" vertical="center"/>
    </xf>
    <xf numFmtId="169" fontId="16" fillId="3" borderId="19" xfId="0" applyNumberFormat="1" applyFont="1" applyFill="1" applyBorder="1" applyAlignment="1">
      <alignment horizontal="right" vertical="center"/>
    </xf>
    <xf numFmtId="170" fontId="16" fillId="3" borderId="1" xfId="0" applyNumberFormat="1" applyFont="1" applyFill="1" applyBorder="1" applyAlignment="1">
      <alignment vertical="center"/>
    </xf>
    <xf numFmtId="170" fontId="16" fillId="3" borderId="0" xfId="0" applyNumberFormat="1" applyFont="1" applyFill="1" applyAlignment="1">
      <alignment vertical="center"/>
    </xf>
    <xf numFmtId="0" fontId="34" fillId="3" borderId="6" xfId="0" applyFont="1" applyFill="1" applyBorder="1" applyAlignment="1">
      <alignment horizontal="left" vertical="center"/>
    </xf>
    <xf numFmtId="169" fontId="34" fillId="3" borderId="0" xfId="0" applyNumberFormat="1" applyFont="1" applyFill="1" applyAlignment="1">
      <alignment horizontal="right" vertical="center"/>
    </xf>
    <xf numFmtId="169" fontId="34" fillId="3" borderId="12" xfId="0" applyNumberFormat="1" applyFont="1" applyFill="1" applyBorder="1" applyAlignment="1">
      <alignment horizontal="right" vertical="center"/>
    </xf>
    <xf numFmtId="0" fontId="16" fillId="3" borderId="1" xfId="0" applyFont="1" applyFill="1" applyBorder="1" applyAlignment="1">
      <alignment vertical="center"/>
    </xf>
    <xf numFmtId="170" fontId="16" fillId="3" borderId="16" xfId="0" applyNumberFormat="1" applyFont="1" applyFill="1" applyBorder="1" applyAlignment="1">
      <alignment horizontal="left" vertical="center"/>
    </xf>
    <xf numFmtId="0" fontId="26" fillId="11" borderId="1" xfId="0" applyFont="1" applyFill="1" applyBorder="1" applyAlignment="1">
      <alignment horizontal="left" vertical="center"/>
    </xf>
    <xf numFmtId="169" fontId="26" fillId="11" borderId="7" xfId="0" applyNumberFormat="1" applyFont="1" applyFill="1" applyBorder="1" applyAlignment="1">
      <alignment horizontal="right" vertical="center"/>
    </xf>
    <xf numFmtId="0" fontId="26" fillId="11" borderId="1" xfId="0" applyFont="1" applyFill="1" applyBorder="1" applyAlignment="1">
      <alignment horizontal="right" vertical="center" wrapText="1"/>
    </xf>
    <xf numFmtId="0" fontId="34" fillId="3" borderId="0" xfId="0" applyFont="1" applyFill="1" applyAlignment="1">
      <alignment horizontal="left" vertical="center"/>
    </xf>
    <xf numFmtId="0" fontId="16" fillId="3" borderId="0" xfId="0" applyFont="1" applyFill="1" applyAlignment="1">
      <alignment horizontal="right" vertical="center"/>
    </xf>
    <xf numFmtId="0" fontId="16" fillId="3" borderId="17" xfId="0" applyFont="1" applyFill="1" applyBorder="1" applyAlignment="1">
      <alignment horizontal="left" vertical="center"/>
    </xf>
    <xf numFmtId="169" fontId="16" fillId="3" borderId="6" xfId="0" applyNumberFormat="1" applyFont="1" applyFill="1" applyBorder="1" applyAlignment="1">
      <alignment horizontal="right" vertical="center"/>
    </xf>
    <xf numFmtId="0" fontId="34" fillId="3" borderId="0" xfId="0" applyFont="1" applyFill="1" applyAlignment="1">
      <alignment horizontal="center" vertical="center"/>
    </xf>
    <xf numFmtId="0" fontId="34" fillId="3" borderId="1" xfId="0" applyFont="1" applyFill="1" applyBorder="1" applyAlignment="1">
      <alignment horizontal="left" vertical="center"/>
    </xf>
    <xf numFmtId="169" fontId="34" fillId="3" borderId="7" xfId="0" applyNumberFormat="1" applyFont="1" applyFill="1" applyBorder="1" applyAlignment="1">
      <alignment horizontal="right" vertical="center"/>
    </xf>
    <xf numFmtId="169" fontId="34" fillId="3" borderId="6" xfId="0" applyNumberFormat="1" applyFont="1" applyFill="1" applyBorder="1" applyAlignment="1">
      <alignment horizontal="right" vertical="center"/>
    </xf>
    <xf numFmtId="169" fontId="34" fillId="3" borderId="10" xfId="0" applyNumberFormat="1" applyFont="1" applyFill="1" applyBorder="1" applyAlignment="1">
      <alignment horizontal="right" vertical="center"/>
    </xf>
    <xf numFmtId="9" fontId="26" fillId="3" borderId="7" xfId="0" applyNumberFormat="1" applyFont="1" applyFill="1" applyBorder="1" applyAlignment="1">
      <alignment horizontal="right" vertical="center"/>
    </xf>
    <xf numFmtId="174" fontId="1" fillId="0" borderId="0" xfId="0" applyNumberFormat="1" applyFont="1" applyAlignment="1">
      <alignment vertical="center"/>
    </xf>
    <xf numFmtId="173" fontId="16" fillId="3" borderId="0" xfId="0" applyNumberFormat="1" applyFont="1" applyFill="1" applyAlignment="1">
      <alignment vertical="center"/>
    </xf>
    <xf numFmtId="173" fontId="16" fillId="3" borderId="0" xfId="0" applyNumberFormat="1" applyFont="1" applyFill="1" applyAlignment="1">
      <alignment horizontal="left" vertical="center"/>
    </xf>
    <xf numFmtId="168" fontId="16" fillId="3" borderId="0" xfId="0" applyNumberFormat="1" applyFont="1" applyFill="1" applyAlignment="1">
      <alignment horizontal="right" vertical="center"/>
    </xf>
    <xf numFmtId="169" fontId="1" fillId="3" borderId="0" xfId="0" applyNumberFormat="1" applyFont="1" applyFill="1" applyAlignment="1">
      <alignment horizontal="right" vertical="center"/>
    </xf>
    <xf numFmtId="0" fontId="19" fillId="2" borderId="0" xfId="0" applyFont="1" applyFill="1" applyAlignment="1">
      <alignment horizontal="right" vertical="center"/>
    </xf>
    <xf numFmtId="3" fontId="26" fillId="5" borderId="0" xfId="0" applyNumberFormat="1" applyFont="1" applyFill="1" applyAlignment="1">
      <alignment horizontal="right" vertical="center"/>
    </xf>
    <xf numFmtId="3" fontId="16" fillId="3" borderId="0" xfId="0" applyNumberFormat="1" applyFont="1" applyFill="1" applyAlignment="1">
      <alignment horizontal="right" vertical="center"/>
    </xf>
    <xf numFmtId="3" fontId="1" fillId="3" borderId="0" xfId="0" applyNumberFormat="1" applyFont="1" applyFill="1" applyAlignment="1">
      <alignment vertical="center"/>
    </xf>
    <xf numFmtId="3" fontId="1" fillId="0" borderId="0" xfId="0" applyNumberFormat="1" applyFont="1" applyAlignment="1">
      <alignment vertical="center"/>
    </xf>
    <xf numFmtId="173" fontId="26" fillId="5" borderId="0" xfId="0" applyNumberFormat="1" applyFont="1" applyFill="1" applyAlignment="1">
      <alignment vertical="center"/>
    </xf>
    <xf numFmtId="3" fontId="16" fillId="0" borderId="0" xfId="0" applyNumberFormat="1" applyFont="1" applyAlignment="1">
      <alignment horizontal="right" vertical="center"/>
    </xf>
    <xf numFmtId="0" fontId="16" fillId="3" borderId="1" xfId="0" applyFont="1" applyFill="1" applyBorder="1" applyAlignment="1">
      <alignment horizontal="left" vertical="center"/>
    </xf>
    <xf numFmtId="0" fontId="16" fillId="3" borderId="7" xfId="0" applyFont="1" applyFill="1" applyBorder="1" applyAlignment="1">
      <alignment horizontal="right" vertical="center"/>
    </xf>
    <xf numFmtId="0" fontId="26" fillId="3" borderId="7" xfId="0" applyFont="1" applyFill="1" applyBorder="1" applyAlignment="1">
      <alignment horizontal="right" vertical="center"/>
    </xf>
    <xf numFmtId="0" fontId="26" fillId="3" borderId="6" xfId="0" applyFont="1" applyFill="1" applyBorder="1" applyAlignment="1">
      <alignment horizontal="right" vertical="center"/>
    </xf>
    <xf numFmtId="0" fontId="19" fillId="3" borderId="0" xfId="0" applyFont="1" applyFill="1" applyAlignment="1">
      <alignment horizontal="left" vertical="center"/>
    </xf>
    <xf numFmtId="0" fontId="19" fillId="2" borderId="0" xfId="0" applyFont="1" applyFill="1" applyAlignment="1">
      <alignment horizontal="left" vertical="center"/>
    </xf>
    <xf numFmtId="169" fontId="26" fillId="11" borderId="1" xfId="0" applyNumberFormat="1" applyFont="1" applyFill="1" applyBorder="1" applyAlignment="1">
      <alignment horizontal="right" vertical="center"/>
    </xf>
    <xf numFmtId="169" fontId="26" fillId="11" borderId="8" xfId="0" applyNumberFormat="1" applyFont="1" applyFill="1" applyBorder="1" applyAlignment="1">
      <alignment horizontal="right" vertical="center"/>
    </xf>
    <xf numFmtId="169" fontId="26" fillId="11" borderId="10" xfId="0" applyNumberFormat="1" applyFont="1" applyFill="1" applyBorder="1" applyAlignment="1">
      <alignment horizontal="right" vertical="center"/>
    </xf>
    <xf numFmtId="0" fontId="26" fillId="3" borderId="1" xfId="0" applyFont="1" applyFill="1" applyBorder="1" applyAlignment="1">
      <alignment horizontal="left" vertical="center"/>
    </xf>
    <xf numFmtId="9" fontId="26" fillId="3" borderId="0" xfId="0" applyNumberFormat="1" applyFont="1" applyFill="1" applyAlignment="1">
      <alignment horizontal="right" vertical="center"/>
    </xf>
    <xf numFmtId="0" fontId="29" fillId="3" borderId="0" xfId="0" applyFont="1" applyFill="1" applyAlignment="1">
      <alignment vertical="center"/>
    </xf>
    <xf numFmtId="0" fontId="29" fillId="0" borderId="0" xfId="0" applyFont="1" applyAlignment="1">
      <alignment horizontal="left" vertical="center"/>
    </xf>
    <xf numFmtId="0" fontId="36" fillId="3" borderId="10" xfId="0" applyFont="1" applyFill="1" applyBorder="1" applyAlignment="1">
      <alignment horizontal="right" vertical="center"/>
    </xf>
    <xf numFmtId="0" fontId="37" fillId="3" borderId="10" xfId="0" applyFont="1" applyFill="1" applyBorder="1" applyAlignment="1">
      <alignment horizontal="right" vertical="center"/>
    </xf>
    <xf numFmtId="0" fontId="37" fillId="3" borderId="9" xfId="0" applyFont="1" applyFill="1" applyBorder="1" applyAlignment="1">
      <alignment horizontal="right" vertical="center"/>
    </xf>
    <xf numFmtId="0" fontId="36" fillId="3" borderId="0" xfId="0" applyFont="1" applyFill="1" applyAlignment="1">
      <alignment vertical="center"/>
    </xf>
    <xf numFmtId="0" fontId="36" fillId="5" borderId="0" xfId="0" applyFont="1" applyFill="1" applyAlignment="1">
      <alignment horizontal="right" vertical="center"/>
    </xf>
    <xf numFmtId="0" fontId="36" fillId="3" borderId="7" xfId="0" applyFont="1" applyFill="1" applyBorder="1" applyAlignment="1">
      <alignment vertical="center"/>
    </xf>
    <xf numFmtId="0" fontId="46" fillId="3" borderId="0" xfId="0" applyFont="1" applyFill="1" applyAlignment="1">
      <alignment vertical="center"/>
    </xf>
    <xf numFmtId="0" fontId="46" fillId="2" borderId="0" xfId="0" applyFont="1" applyFill="1" applyAlignment="1">
      <alignment vertical="center"/>
    </xf>
    <xf numFmtId="0" fontId="46" fillId="2" borderId="17" xfId="0" applyFont="1" applyFill="1" applyBorder="1" applyAlignment="1">
      <alignment horizontal="left" vertical="center"/>
    </xf>
    <xf numFmtId="169" fontId="36" fillId="2" borderId="0" xfId="0" applyNumberFormat="1" applyFont="1" applyFill="1" applyAlignment="1">
      <alignment horizontal="right" vertical="center"/>
    </xf>
    <xf numFmtId="169" fontId="36" fillId="2" borderId="12" xfId="0" applyNumberFormat="1" applyFont="1" applyFill="1" applyBorder="1" applyAlignment="1">
      <alignment horizontal="right" vertical="center"/>
    </xf>
    <xf numFmtId="0" fontId="36" fillId="3" borderId="6" xfId="0" applyFont="1" applyFill="1" applyBorder="1" applyAlignment="1">
      <alignment vertical="center"/>
    </xf>
    <xf numFmtId="169" fontId="46" fillId="2" borderId="7" xfId="0" applyNumberFormat="1" applyFont="1" applyFill="1" applyBorder="1" applyAlignment="1">
      <alignment horizontal="right" vertical="center"/>
    </xf>
    <xf numFmtId="0" fontId="38" fillId="3" borderId="0" xfId="0" applyFont="1" applyFill="1" applyAlignment="1">
      <alignment vertical="center"/>
    </xf>
    <xf numFmtId="0" fontId="38" fillId="5" borderId="0" xfId="0" applyFont="1" applyFill="1" applyAlignment="1">
      <alignment horizontal="left" vertical="center"/>
    </xf>
    <xf numFmtId="169" fontId="38" fillId="5" borderId="0" xfId="0" applyNumberFormat="1" applyFont="1" applyFill="1" applyAlignment="1">
      <alignment horizontal="right" vertical="center"/>
    </xf>
    <xf numFmtId="169" fontId="38" fillId="5" borderId="12" xfId="0" applyNumberFormat="1" applyFont="1" applyFill="1" applyBorder="1" applyAlignment="1">
      <alignment horizontal="right" vertical="center"/>
    </xf>
    <xf numFmtId="49" fontId="38" fillId="10" borderId="0" xfId="0" applyNumberFormat="1" applyFont="1" applyFill="1" applyAlignment="1">
      <alignment vertical="center"/>
    </xf>
    <xf numFmtId="169" fontId="38" fillId="10" borderId="12" xfId="0" applyNumberFormat="1" applyFont="1" applyFill="1" applyBorder="1" applyAlignment="1">
      <alignment horizontal="right" vertical="center"/>
    </xf>
    <xf numFmtId="0" fontId="38" fillId="0" borderId="0" xfId="0" applyFont="1" applyAlignment="1">
      <alignment vertical="center"/>
    </xf>
    <xf numFmtId="49" fontId="35" fillId="0" borderId="19" xfId="0" applyNumberFormat="1" applyFont="1" applyBorder="1" applyAlignment="1">
      <alignment vertical="center"/>
    </xf>
    <xf numFmtId="169" fontId="38" fillId="0" borderId="0" xfId="0" applyNumberFormat="1" applyFont="1" applyAlignment="1">
      <alignment horizontal="right" vertical="center"/>
    </xf>
    <xf numFmtId="0" fontId="36" fillId="0" borderId="7" xfId="0" applyFont="1" applyBorder="1" applyAlignment="1">
      <alignment vertical="center"/>
    </xf>
    <xf numFmtId="0" fontId="36" fillId="0" borderId="6" xfId="0" applyFont="1" applyBorder="1" applyAlignment="1">
      <alignment vertical="center"/>
    </xf>
    <xf numFmtId="0" fontId="36" fillId="0" borderId="0" xfId="0" applyFont="1" applyAlignment="1">
      <alignment vertical="center"/>
    </xf>
    <xf numFmtId="49" fontId="35" fillId="0" borderId="0" xfId="0" applyNumberFormat="1" applyFont="1" applyAlignment="1">
      <alignment vertical="center"/>
    </xf>
    <xf numFmtId="170" fontId="35" fillId="0" borderId="0" xfId="0" applyNumberFormat="1" applyFont="1" applyAlignment="1">
      <alignment vertical="center"/>
    </xf>
    <xf numFmtId="169" fontId="35" fillId="3" borderId="0" xfId="0" applyNumberFormat="1" applyFont="1" applyFill="1" applyAlignment="1">
      <alignment horizontal="right" vertical="center"/>
    </xf>
    <xf numFmtId="49" fontId="35" fillId="3" borderId="0" xfId="0" applyNumberFormat="1" applyFont="1" applyFill="1" applyAlignment="1">
      <alignment horizontal="left" vertical="center"/>
    </xf>
    <xf numFmtId="169" fontId="35" fillId="3" borderId="12" xfId="0" applyNumberFormat="1" applyFont="1" applyFill="1" applyBorder="1" applyAlignment="1">
      <alignment horizontal="right" vertical="center"/>
    </xf>
    <xf numFmtId="170" fontId="36" fillId="3" borderId="7" xfId="0" applyNumberFormat="1" applyFont="1" applyFill="1" applyBorder="1" applyAlignment="1">
      <alignment vertical="center"/>
    </xf>
    <xf numFmtId="170" fontId="36" fillId="3" borderId="0" xfId="0" applyNumberFormat="1" applyFont="1" applyFill="1" applyAlignment="1">
      <alignment vertical="center"/>
    </xf>
    <xf numFmtId="170" fontId="35" fillId="0" borderId="0" xfId="0" applyNumberFormat="1" applyFont="1" applyAlignment="1">
      <alignment horizontal="left" vertical="center"/>
    </xf>
    <xf numFmtId="1" fontId="38" fillId="5" borderId="0" xfId="0" applyNumberFormat="1" applyFont="1" applyFill="1" applyAlignment="1">
      <alignment horizontal="left" vertical="center"/>
    </xf>
    <xf numFmtId="169" fontId="35" fillId="0" borderId="0" xfId="0" applyNumberFormat="1" applyFont="1" applyAlignment="1">
      <alignment horizontal="right" vertical="center"/>
    </xf>
    <xf numFmtId="172" fontId="35" fillId="3" borderId="0" xfId="0" applyNumberFormat="1" applyFont="1" applyFill="1" applyAlignment="1">
      <alignment horizontal="right" vertical="center"/>
    </xf>
    <xf numFmtId="9" fontId="35" fillId="3" borderId="0" xfId="0" applyNumberFormat="1" applyFont="1" applyFill="1" applyAlignment="1">
      <alignment horizontal="right" vertical="center"/>
    </xf>
    <xf numFmtId="0" fontId="47" fillId="3" borderId="12" xfId="0" applyFont="1" applyFill="1" applyBorder="1" applyAlignment="1">
      <alignment horizontal="left" vertical="center"/>
    </xf>
    <xf numFmtId="169" fontId="36" fillId="3" borderId="7" xfId="0" applyNumberFormat="1" applyFont="1" applyFill="1" applyBorder="1" applyAlignment="1">
      <alignment horizontal="right" vertical="center"/>
    </xf>
    <xf numFmtId="0" fontId="36" fillId="0" borderId="0" xfId="0" applyFont="1" applyAlignment="1">
      <alignment horizontal="left" vertical="center"/>
    </xf>
    <xf numFmtId="169" fontId="36" fillId="0" borderId="0" xfId="0" applyNumberFormat="1" applyFont="1" applyAlignment="1">
      <alignment horizontal="right" vertical="center"/>
    </xf>
    <xf numFmtId="169" fontId="36" fillId="0" borderId="12" xfId="0" applyNumberFormat="1" applyFont="1" applyBorder="1" applyAlignment="1">
      <alignment horizontal="right" vertical="center"/>
    </xf>
    <xf numFmtId="0" fontId="35" fillId="3" borderId="0" xfId="0" applyFont="1" applyFill="1" applyAlignment="1">
      <alignment vertical="center"/>
    </xf>
    <xf numFmtId="0" fontId="35" fillId="3" borderId="0" xfId="0" applyFont="1" applyFill="1" applyAlignment="1">
      <alignment horizontal="left" vertical="center"/>
    </xf>
    <xf numFmtId="9" fontId="35" fillId="3" borderId="12" xfId="0" applyNumberFormat="1" applyFont="1" applyFill="1" applyBorder="1" applyAlignment="1">
      <alignment horizontal="right" vertical="center"/>
    </xf>
    <xf numFmtId="9" fontId="36" fillId="3" borderId="7" xfId="0" applyNumberFormat="1" applyFont="1" applyFill="1" applyBorder="1" applyAlignment="1">
      <alignment vertical="center"/>
    </xf>
    <xf numFmtId="9" fontId="36" fillId="3" borderId="0" xfId="0" applyNumberFormat="1" applyFont="1" applyFill="1" applyAlignment="1">
      <alignment vertical="center"/>
    </xf>
    <xf numFmtId="9" fontId="35" fillId="3" borderId="0" xfId="0" applyNumberFormat="1" applyFont="1" applyFill="1" applyAlignment="1">
      <alignment vertical="center"/>
    </xf>
    <xf numFmtId="9" fontId="35" fillId="3" borderId="0" xfId="0" applyNumberFormat="1" applyFont="1" applyFill="1" applyAlignment="1">
      <alignment horizontal="left" vertical="center"/>
    </xf>
    <xf numFmtId="0" fontId="47" fillId="0" borderId="0" xfId="0" applyFont="1" applyAlignment="1">
      <alignment horizontal="left" vertical="center"/>
    </xf>
    <xf numFmtId="169" fontId="36" fillId="3" borderId="7" xfId="0" applyNumberFormat="1" applyFont="1" applyFill="1" applyBorder="1" applyAlignment="1">
      <alignment vertical="center"/>
    </xf>
    <xf numFmtId="169" fontId="36" fillId="0" borderId="12" xfId="0" applyNumberFormat="1" applyFont="1" applyBorder="1" applyAlignment="1">
      <alignment vertical="center"/>
    </xf>
    <xf numFmtId="169" fontId="36" fillId="0" borderId="7" xfId="0" applyNumberFormat="1" applyFont="1" applyBorder="1" applyAlignment="1">
      <alignment vertical="center"/>
    </xf>
    <xf numFmtId="0" fontId="36" fillId="0" borderId="12" xfId="0" applyFont="1" applyBorder="1" applyAlignment="1">
      <alignment vertical="center"/>
    </xf>
    <xf numFmtId="0" fontId="35" fillId="0" borderId="0" xfId="0" applyFont="1" applyAlignment="1">
      <alignment horizontal="left" vertical="center"/>
    </xf>
    <xf numFmtId="173" fontId="38"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73" fontId="36" fillId="3" borderId="0" xfId="0" applyNumberFormat="1" applyFont="1" applyFill="1" applyAlignment="1">
      <alignment vertical="center"/>
    </xf>
    <xf numFmtId="0" fontId="35" fillId="3" borderId="6" xfId="0" applyFont="1" applyFill="1" applyBorder="1" applyAlignment="1">
      <alignment vertical="center"/>
    </xf>
    <xf numFmtId="0" fontId="35" fillId="3" borderId="12" xfId="0" applyFont="1" applyFill="1" applyBorder="1" applyAlignment="1">
      <alignment vertical="center"/>
    </xf>
    <xf numFmtId="9" fontId="35" fillId="3" borderId="7" xfId="0" applyNumberFormat="1" applyFont="1" applyFill="1" applyBorder="1" applyAlignment="1">
      <alignment horizontal="right" vertical="center"/>
    </xf>
    <xf numFmtId="0" fontId="35" fillId="3" borderId="7" xfId="0" applyFont="1" applyFill="1" applyBorder="1" applyAlignment="1">
      <alignment vertical="center"/>
    </xf>
    <xf numFmtId="0" fontId="38" fillId="3" borderId="0" xfId="0" applyFont="1" applyFill="1" applyAlignment="1">
      <alignment horizontal="left" vertical="center"/>
    </xf>
    <xf numFmtId="0" fontId="37" fillId="3" borderId="7" xfId="0" applyFont="1" applyFill="1" applyBorder="1" applyAlignment="1">
      <alignment vertical="center"/>
    </xf>
    <xf numFmtId="0" fontId="37" fillId="3" borderId="0" xfId="0" applyFont="1" applyFill="1" applyAlignment="1">
      <alignment vertical="center"/>
    </xf>
    <xf numFmtId="169" fontId="35" fillId="3" borderId="7" xfId="0" applyNumberFormat="1" applyFont="1" applyFill="1" applyBorder="1" applyAlignment="1">
      <alignment horizontal="right" vertical="center"/>
    </xf>
    <xf numFmtId="173" fontId="35" fillId="3" borderId="7" xfId="0" applyNumberFormat="1" applyFont="1" applyFill="1" applyBorder="1" applyAlignment="1">
      <alignment horizontal="right" vertical="center"/>
    </xf>
    <xf numFmtId="0" fontId="38" fillId="3" borderId="19" xfId="0" applyFont="1" applyFill="1" applyBorder="1" applyAlignment="1">
      <alignment horizontal="left" vertical="center"/>
    </xf>
    <xf numFmtId="169" fontId="38" fillId="3" borderId="0" xfId="0" applyNumberFormat="1" applyFont="1" applyFill="1" applyAlignment="1">
      <alignment horizontal="right" vertical="center"/>
    </xf>
    <xf numFmtId="9" fontId="35" fillId="3" borderId="6" xfId="0" applyNumberFormat="1" applyFont="1" applyFill="1" applyBorder="1" applyAlignment="1">
      <alignment horizontal="right" vertical="center"/>
    </xf>
    <xf numFmtId="170" fontId="35" fillId="3" borderId="0" xfId="0" applyNumberFormat="1" applyFont="1" applyFill="1" applyAlignment="1">
      <alignment horizontal="left" vertical="center"/>
    </xf>
    <xf numFmtId="0" fontId="37" fillId="3" borderId="6" xfId="0" applyFont="1" applyFill="1" applyBorder="1" applyAlignment="1">
      <alignment horizontal="left" vertical="center"/>
    </xf>
    <xf numFmtId="169" fontId="37" fillId="3" borderId="0" xfId="0" applyNumberFormat="1" applyFont="1" applyFill="1" applyAlignment="1">
      <alignment horizontal="right" vertical="center"/>
    </xf>
    <xf numFmtId="169" fontId="37" fillId="3" borderId="12" xfId="0" applyNumberFormat="1" applyFont="1" applyFill="1" applyBorder="1" applyAlignment="1">
      <alignment horizontal="right" vertical="center"/>
    </xf>
    <xf numFmtId="169" fontId="38" fillId="11" borderId="7" xfId="0" applyNumberFormat="1" applyFont="1" applyFill="1" applyBorder="1" applyAlignment="1">
      <alignment horizontal="right" vertical="center"/>
    </xf>
    <xf numFmtId="0" fontId="37" fillId="3" borderId="0" xfId="0" applyFont="1" applyFill="1" applyAlignment="1">
      <alignment horizontal="left" vertical="center"/>
    </xf>
    <xf numFmtId="0" fontId="35" fillId="3" borderId="0" xfId="0" applyFont="1" applyFill="1" applyAlignment="1">
      <alignment horizontal="right" vertical="center"/>
    </xf>
    <xf numFmtId="0" fontId="35" fillId="3" borderId="17" xfId="0" applyFont="1" applyFill="1" applyBorder="1" applyAlignment="1">
      <alignment horizontal="left" vertical="center"/>
    </xf>
    <xf numFmtId="169" fontId="35" fillId="3" borderId="6" xfId="0" applyNumberFormat="1" applyFont="1" applyFill="1" applyBorder="1" applyAlignment="1">
      <alignment horizontal="right" vertical="center"/>
    </xf>
    <xf numFmtId="0" fontId="37" fillId="3" borderId="0" xfId="0" applyFont="1" applyFill="1" applyAlignment="1">
      <alignment horizontal="center" vertical="center"/>
    </xf>
    <xf numFmtId="0" fontId="37" fillId="3" borderId="1" xfId="0" applyFont="1" applyFill="1" applyBorder="1" applyAlignment="1">
      <alignment horizontal="left" vertical="center"/>
    </xf>
    <xf numFmtId="169" fontId="37" fillId="3" borderId="7" xfId="0" applyNumberFormat="1" applyFont="1" applyFill="1" applyBorder="1" applyAlignment="1">
      <alignment horizontal="right" vertical="center"/>
    </xf>
    <xf numFmtId="169" fontId="37" fillId="3" borderId="6" xfId="0" applyNumberFormat="1" applyFont="1" applyFill="1" applyBorder="1" applyAlignment="1">
      <alignment horizontal="right" vertical="center"/>
    </xf>
    <xf numFmtId="169" fontId="37" fillId="3" borderId="10" xfId="0" applyNumberFormat="1" applyFont="1" applyFill="1" applyBorder="1" applyAlignment="1">
      <alignment horizontal="right" vertical="center"/>
    </xf>
    <xf numFmtId="9" fontId="38" fillId="3" borderId="7" xfId="0" applyNumberFormat="1" applyFont="1" applyFill="1" applyBorder="1" applyAlignment="1">
      <alignment horizontal="right" vertical="center"/>
    </xf>
    <xf numFmtId="174" fontId="36" fillId="0" borderId="0" xfId="0" applyNumberFormat="1" applyFont="1" applyAlignment="1">
      <alignment vertical="center"/>
    </xf>
    <xf numFmtId="9" fontId="37" fillId="3" borderId="0" xfId="0" applyNumberFormat="1" applyFont="1" applyFill="1" applyAlignment="1">
      <alignment horizontal="right" vertical="center"/>
    </xf>
    <xf numFmtId="173" fontId="35" fillId="3" borderId="0" xfId="0" applyNumberFormat="1" applyFont="1" applyFill="1" applyAlignment="1">
      <alignment vertical="center"/>
    </xf>
    <xf numFmtId="173" fontId="35" fillId="3" borderId="0" xfId="0" applyNumberFormat="1" applyFont="1" applyFill="1" applyAlignment="1">
      <alignment horizontal="left" vertical="center"/>
    </xf>
    <xf numFmtId="168" fontId="35" fillId="3" borderId="0" xfId="0" applyNumberFormat="1" applyFont="1" applyFill="1" applyAlignment="1">
      <alignment horizontal="right" vertical="center"/>
    </xf>
    <xf numFmtId="169" fontId="36" fillId="3" borderId="0" xfId="0" applyNumberFormat="1" applyFont="1" applyFill="1" applyAlignment="1">
      <alignment horizontal="right" vertical="center"/>
    </xf>
    <xf numFmtId="0" fontId="46" fillId="2" borderId="0" xfId="0" applyFont="1" applyFill="1" applyAlignment="1">
      <alignment horizontal="right" vertical="center"/>
    </xf>
    <xf numFmtId="0" fontId="38" fillId="5" borderId="0" xfId="0" applyFont="1" applyFill="1" applyAlignment="1">
      <alignment vertical="center"/>
    </xf>
    <xf numFmtId="3" fontId="38" fillId="5" borderId="0" xfId="0" applyNumberFormat="1" applyFont="1" applyFill="1" applyAlignment="1">
      <alignment horizontal="right" vertical="center"/>
    </xf>
    <xf numFmtId="3" fontId="35" fillId="3" borderId="0" xfId="0" applyNumberFormat="1" applyFont="1" applyFill="1" applyAlignment="1">
      <alignment horizontal="right" vertical="center"/>
    </xf>
    <xf numFmtId="3" fontId="36" fillId="3" borderId="0" xfId="0" applyNumberFormat="1" applyFont="1" applyFill="1" applyAlignment="1">
      <alignment vertical="center"/>
    </xf>
    <xf numFmtId="3" fontId="36" fillId="0" borderId="0" xfId="0" applyNumberFormat="1" applyFont="1" applyAlignment="1">
      <alignment vertical="center"/>
    </xf>
    <xf numFmtId="173" fontId="38" fillId="5" borderId="0" xfId="0" applyNumberFormat="1" applyFont="1" applyFill="1" applyAlignment="1">
      <alignment vertical="center"/>
    </xf>
    <xf numFmtId="3" fontId="35" fillId="0" borderId="0" xfId="0" applyNumberFormat="1" applyFont="1" applyAlignment="1">
      <alignment horizontal="right"/>
    </xf>
    <xf numFmtId="3" fontId="35" fillId="3" borderId="0" xfId="0" applyNumberFormat="1" applyFont="1" applyFill="1" applyAlignment="1">
      <alignment horizontal="right"/>
    </xf>
    <xf numFmtId="0" fontId="35" fillId="3" borderId="7" xfId="0" applyFont="1" applyFill="1" applyBorder="1" applyAlignment="1">
      <alignment horizontal="right" vertical="center"/>
    </xf>
    <xf numFmtId="0" fontId="38" fillId="3" borderId="7" xfId="0" applyFont="1" applyFill="1" applyBorder="1" applyAlignment="1">
      <alignment horizontal="right" vertical="center"/>
    </xf>
    <xf numFmtId="0" fontId="38" fillId="3" borderId="6" xfId="0" applyFont="1" applyFill="1" applyBorder="1" applyAlignment="1">
      <alignment horizontal="right" vertical="center"/>
    </xf>
    <xf numFmtId="0" fontId="46" fillId="3" borderId="0" xfId="0" applyFont="1" applyFill="1" applyAlignment="1">
      <alignment horizontal="left" vertical="center"/>
    </xf>
    <xf numFmtId="0" fontId="46" fillId="2" borderId="0" xfId="0" applyFont="1" applyFill="1" applyAlignment="1">
      <alignment horizontal="left" vertical="center"/>
    </xf>
    <xf numFmtId="0" fontId="35" fillId="0" borderId="0" xfId="0" applyFont="1" applyAlignment="1">
      <alignment horizontal="right" vertical="center"/>
    </xf>
    <xf numFmtId="0" fontId="38" fillId="0" borderId="0" xfId="0" applyFont="1" applyAlignment="1">
      <alignment horizontal="right" vertical="center"/>
    </xf>
    <xf numFmtId="185" fontId="1" fillId="3" borderId="10" xfId="0" applyNumberFormat="1" applyFont="1" applyFill="1" applyBorder="1" applyAlignment="1">
      <alignment horizontal="right" vertical="center"/>
    </xf>
    <xf numFmtId="186" fontId="1" fillId="3" borderId="10" xfId="0" applyNumberFormat="1" applyFont="1" applyFill="1" applyBorder="1" applyAlignment="1">
      <alignment horizontal="right" vertical="center"/>
    </xf>
    <xf numFmtId="0" fontId="34" fillId="9" borderId="6" xfId="0" applyFont="1" applyFill="1" applyBorder="1" applyAlignment="1">
      <alignment horizontal="center" vertical="center"/>
    </xf>
    <xf numFmtId="1" fontId="26" fillId="0" borderId="0" xfId="0" applyNumberFormat="1" applyFont="1" applyAlignment="1">
      <alignment horizontal="left" vertical="center"/>
    </xf>
    <xf numFmtId="170" fontId="26" fillId="0" borderId="0" xfId="0" applyNumberFormat="1" applyFont="1" applyAlignment="1">
      <alignment horizontal="left" vertical="center"/>
    </xf>
    <xf numFmtId="170" fontId="16" fillId="3" borderId="0" xfId="0" applyNumberFormat="1" applyFont="1" applyFill="1" applyAlignment="1">
      <alignment horizontal="right" vertical="center"/>
    </xf>
    <xf numFmtId="185" fontId="1" fillId="0" borderId="0" xfId="0" applyNumberFormat="1" applyFont="1" applyAlignment="1">
      <alignment vertical="center"/>
    </xf>
    <xf numFmtId="0" fontId="1" fillId="0" borderId="6" xfId="0" applyFont="1" applyBorder="1" applyAlignment="1">
      <alignment horizontal="left" vertical="center"/>
    </xf>
    <xf numFmtId="0" fontId="19" fillId="2" borderId="12" xfId="0" applyFont="1" applyFill="1" applyBorder="1" applyAlignment="1">
      <alignment vertical="center"/>
    </xf>
    <xf numFmtId="1" fontId="16" fillId="3" borderId="0" xfId="0" applyNumberFormat="1" applyFont="1" applyFill="1" applyAlignment="1">
      <alignment horizontal="left" vertical="center"/>
    </xf>
    <xf numFmtId="173" fontId="48" fillId="3" borderId="0" xfId="0" applyNumberFormat="1" applyFont="1" applyFill="1" applyAlignment="1">
      <alignment vertical="center"/>
    </xf>
    <xf numFmtId="0" fontId="34" fillId="3" borderId="17" xfId="0" applyFont="1" applyFill="1" applyBorder="1" applyAlignment="1">
      <alignment horizontal="left" vertical="center"/>
    </xf>
    <xf numFmtId="187" fontId="16" fillId="3" borderId="3" xfId="0" applyNumberFormat="1" applyFont="1" applyFill="1" applyBorder="1" applyAlignment="1">
      <alignment horizontal="right" vertical="center"/>
    </xf>
    <xf numFmtId="0" fontId="26" fillId="5" borderId="19" xfId="0" applyFont="1" applyFill="1" applyBorder="1" applyAlignment="1">
      <alignment horizontal="left" vertical="center"/>
    </xf>
    <xf numFmtId="169" fontId="26" fillId="5" borderId="19" xfId="0" applyNumberFormat="1" applyFont="1" applyFill="1" applyBorder="1" applyAlignment="1">
      <alignment horizontal="right" vertical="center"/>
    </xf>
    <xf numFmtId="0" fontId="48" fillId="3" borderId="0" xfId="0" applyFont="1" applyFill="1" applyAlignment="1">
      <alignment vertical="center"/>
    </xf>
    <xf numFmtId="0" fontId="49" fillId="3" borderId="0" xfId="0" applyFont="1" applyFill="1" applyAlignment="1">
      <alignment vertical="center"/>
    </xf>
    <xf numFmtId="170" fontId="49" fillId="3" borderId="0" xfId="0" applyNumberFormat="1" applyFont="1" applyFill="1" applyAlignment="1">
      <alignment horizontal="left" vertical="center"/>
    </xf>
    <xf numFmtId="0" fontId="49" fillId="3" borderId="7" xfId="0" applyFont="1" applyFill="1" applyBorder="1" applyAlignment="1">
      <alignment horizontal="right" vertical="center"/>
    </xf>
    <xf numFmtId="0" fontId="16" fillId="0" borderId="0" xfId="0" applyFont="1" applyAlignment="1">
      <alignment horizontal="right" vertical="center"/>
    </xf>
    <xf numFmtId="0" fontId="26" fillId="0" borderId="0" xfId="0" applyFont="1" applyAlignment="1">
      <alignment horizontal="right" vertical="center"/>
    </xf>
    <xf numFmtId="0" fontId="34" fillId="0" borderId="0" xfId="0" applyFont="1" applyAlignment="1">
      <alignment vertical="center"/>
    </xf>
    <xf numFmtId="174" fontId="16" fillId="0" borderId="0" xfId="0" applyNumberFormat="1" applyFont="1" applyAlignment="1">
      <alignment horizontal="right" vertical="center"/>
    </xf>
    <xf numFmtId="172" fontId="16" fillId="0" borderId="0" xfId="0" applyNumberFormat="1" applyFont="1" applyAlignment="1">
      <alignment horizontal="right" vertical="center"/>
    </xf>
    <xf numFmtId="0" fontId="49" fillId="0" borderId="0" xfId="0" applyFont="1" applyAlignment="1">
      <alignment vertical="center"/>
    </xf>
    <xf numFmtId="186" fontId="16" fillId="3" borderId="0" xfId="0" applyNumberFormat="1" applyFont="1" applyFill="1" applyAlignment="1">
      <alignment vertical="center"/>
    </xf>
    <xf numFmtId="0" fontId="20" fillId="3" borderId="8" xfId="0" applyFont="1" applyFill="1" applyBorder="1" applyAlignment="1">
      <alignment horizontal="left" vertical="center"/>
    </xf>
    <xf numFmtId="0" fontId="10" fillId="0" borderId="9" xfId="0" applyFont="1" applyBorder="1"/>
    <xf numFmtId="0" fontId="10" fillId="0" borderId="10" xfId="0" applyFont="1" applyBorder="1"/>
    <xf numFmtId="0" fontId="16" fillId="3" borderId="2" xfId="0" applyFont="1" applyFill="1" applyBorder="1" applyAlignment="1">
      <alignment horizontal="left" vertical="center" wrapText="1"/>
    </xf>
    <xf numFmtId="0" fontId="10" fillId="0" borderId="3" xfId="0" applyFont="1" applyBorder="1"/>
    <xf numFmtId="0" fontId="10" fillId="0" borderId="4" xfId="0" applyFont="1" applyBorder="1"/>
    <xf numFmtId="0" fontId="10" fillId="0" borderId="11" xfId="0" applyFont="1" applyBorder="1"/>
    <xf numFmtId="0" fontId="0" fillId="0" borderId="0" xfId="0"/>
    <xf numFmtId="0" fontId="10" fillId="0" borderId="12" xfId="0" applyFont="1" applyBorder="1"/>
    <xf numFmtId="0" fontId="10" fillId="0" borderId="5" xfId="0" applyFont="1" applyBorder="1"/>
    <xf numFmtId="0" fontId="10" fillId="0" borderId="6" xfId="0" applyFont="1" applyBorder="1"/>
    <xf numFmtId="0" fontId="10" fillId="0" borderId="7" xfId="0" applyFont="1" applyBorder="1"/>
    <xf numFmtId="0" fontId="1" fillId="3" borderId="8" xfId="0" applyFont="1" applyFill="1" applyBorder="1"/>
    <xf numFmtId="0" fontId="9" fillId="3" borderId="2" xfId="0" applyFont="1" applyFill="1" applyBorder="1" applyAlignment="1">
      <alignment horizontal="center" vertical="center"/>
    </xf>
    <xf numFmtId="0" fontId="17" fillId="3" borderId="8" xfId="0" applyFont="1" applyFill="1" applyBorder="1" applyAlignment="1">
      <alignment horizontal="left" vertical="center"/>
    </xf>
    <xf numFmtId="0" fontId="19" fillId="2" borderId="8" xfId="0" applyFont="1" applyFill="1" applyBorder="1" applyAlignment="1">
      <alignment horizontal="center" vertical="center"/>
    </xf>
    <xf numFmtId="0" fontId="28" fillId="2" borderId="0" xfId="0" applyFont="1" applyFill="1" applyAlignment="1">
      <alignment horizontal="center" vertical="center"/>
    </xf>
    <xf numFmtId="0" fontId="16" fillId="3" borderId="13" xfId="0" applyFont="1" applyFill="1" applyBorder="1" applyAlignment="1">
      <alignment horizontal="left" vertical="center" wrapText="1"/>
    </xf>
    <xf numFmtId="0" fontId="10" fillId="0" borderId="14" xfId="0" applyFont="1" applyBorder="1"/>
    <xf numFmtId="0" fontId="10" fillId="0" borderId="15" xfId="0" applyFont="1" applyBorder="1"/>
    <xf numFmtId="165" fontId="2" fillId="3" borderId="16" xfId="0" applyNumberFormat="1" applyFont="1" applyFill="1" applyBorder="1" applyAlignment="1">
      <alignment horizontal="left" vertical="center"/>
    </xf>
    <xf numFmtId="0" fontId="10" fillId="0" borderId="17" xfId="0" applyFont="1" applyBorder="1"/>
    <xf numFmtId="0" fontId="2" fillId="3" borderId="16" xfId="0" applyFont="1" applyFill="1" applyBorder="1" applyAlignment="1">
      <alignment horizontal="left" vertical="center"/>
    </xf>
    <xf numFmtId="0" fontId="34" fillId="9" borderId="0" xfId="0" applyFont="1" applyFill="1" applyAlignment="1">
      <alignment horizontal="center" vertical="center"/>
    </xf>
    <xf numFmtId="0" fontId="34" fillId="5" borderId="6" xfId="0" applyFont="1" applyFill="1" applyBorder="1" applyAlignment="1">
      <alignment horizontal="center" vertical="center"/>
    </xf>
    <xf numFmtId="0" fontId="37" fillId="9" borderId="0" xfId="0" applyFont="1" applyFill="1" applyAlignment="1">
      <alignment horizontal="center" vertical="center"/>
    </xf>
    <xf numFmtId="0" fontId="37" fillId="5"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457200</xdr:colOff>
      <xdr:row>9</xdr:row>
      <xdr:rowOff>19050</xdr:rowOff>
    </xdr:from>
    <xdr:ext cx="3171825" cy="1876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i.wilsonsons.com.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showGridLines="0" tabSelected="1" workbookViewId="0"/>
  </sheetViews>
  <sheetFormatPr defaultColWidth="14.42578125" defaultRowHeight="15" customHeight="1" x14ac:dyDescent="0.2"/>
  <cols>
    <col min="1" max="7" width="9.140625" customWidth="1"/>
    <col min="8" max="8" width="14.7109375" customWidth="1"/>
    <col min="9" max="14" width="9.140625" customWidth="1"/>
    <col min="15" max="15" width="6.42578125" customWidth="1"/>
    <col min="16" max="16" width="11.85546875" customWidth="1"/>
    <col min="17" max="17" width="22.42578125" customWidth="1"/>
    <col min="18" max="26" width="9.140625" customWidth="1"/>
  </cols>
  <sheetData>
    <row r="1" spans="1:26" ht="12.75" customHeight="1" x14ac:dyDescent="0.2">
      <c r="A1" s="1"/>
      <c r="B1" s="1"/>
      <c r="C1" s="1"/>
      <c r="D1" s="1"/>
      <c r="E1" s="1"/>
      <c r="F1" s="1"/>
      <c r="G1" s="1"/>
      <c r="H1" s="1"/>
      <c r="I1" s="1"/>
      <c r="J1" s="1"/>
      <c r="K1" s="2"/>
      <c r="L1" s="1"/>
      <c r="M1" s="1"/>
      <c r="N1" s="1"/>
      <c r="O1" s="1"/>
      <c r="P1" s="3"/>
      <c r="Q1" s="4"/>
      <c r="R1" s="1"/>
      <c r="S1" s="1"/>
      <c r="T1" s="5"/>
      <c r="U1" s="5"/>
      <c r="V1" s="5"/>
      <c r="W1" s="5"/>
      <c r="X1" s="5"/>
      <c r="Y1" s="5"/>
      <c r="Z1" s="5"/>
    </row>
    <row r="2" spans="1:26" ht="12.75" customHeight="1" x14ac:dyDescent="0.2">
      <c r="A2" s="1"/>
      <c r="B2" s="1"/>
      <c r="C2" s="1"/>
      <c r="D2" s="1"/>
      <c r="E2" s="1"/>
      <c r="F2" s="1"/>
      <c r="G2" s="1"/>
      <c r="H2" s="1"/>
      <c r="I2" s="1"/>
      <c r="J2" s="1"/>
      <c r="K2" s="2"/>
      <c r="L2" s="1"/>
      <c r="M2" s="1"/>
      <c r="N2" s="1"/>
      <c r="O2" s="1"/>
      <c r="P2" s="6"/>
      <c r="Q2" s="7"/>
      <c r="R2" s="8"/>
      <c r="S2" s="1"/>
      <c r="T2" s="5"/>
      <c r="U2" s="5"/>
      <c r="V2" s="5"/>
      <c r="W2" s="5"/>
      <c r="X2" s="5"/>
      <c r="Y2" s="5"/>
      <c r="Z2" s="5"/>
    </row>
    <row r="3" spans="1:26" ht="12.75" customHeight="1" x14ac:dyDescent="0.2">
      <c r="A3" s="9"/>
      <c r="B3" s="9"/>
      <c r="C3" s="9"/>
      <c r="D3" s="9"/>
      <c r="E3" s="9"/>
      <c r="F3" s="9"/>
      <c r="G3" s="9"/>
      <c r="H3" s="9"/>
      <c r="I3" s="9"/>
      <c r="J3" s="9"/>
      <c r="K3" s="10"/>
      <c r="L3" s="10"/>
      <c r="M3" s="9"/>
      <c r="N3" s="9"/>
      <c r="O3" s="9"/>
      <c r="P3" s="11"/>
      <c r="Q3" s="12"/>
      <c r="R3" s="10"/>
      <c r="S3" s="9"/>
      <c r="T3" s="5"/>
      <c r="U3" s="5"/>
      <c r="V3" s="5"/>
      <c r="W3" s="5"/>
      <c r="X3" s="5"/>
      <c r="Y3" s="5"/>
      <c r="Z3" s="5"/>
    </row>
    <row r="4" spans="1:26" ht="12.75" customHeight="1" x14ac:dyDescent="0.2">
      <c r="A4" s="9"/>
      <c r="B4" s="9"/>
      <c r="C4" s="9"/>
      <c r="D4" s="9"/>
      <c r="E4" s="9"/>
      <c r="F4" s="9"/>
      <c r="G4" s="9"/>
      <c r="H4" s="9"/>
      <c r="I4" s="9"/>
      <c r="J4" s="9"/>
      <c r="K4" s="10"/>
      <c r="L4" s="10"/>
      <c r="M4" s="9"/>
      <c r="N4" s="9"/>
      <c r="O4" s="9"/>
      <c r="P4" s="11"/>
      <c r="Q4" s="12"/>
      <c r="R4" s="10"/>
      <c r="S4" s="9"/>
      <c r="T4" s="5"/>
      <c r="U4" s="5"/>
      <c r="V4" s="5"/>
      <c r="W4" s="5"/>
      <c r="X4" s="5"/>
      <c r="Y4" s="5"/>
      <c r="Z4" s="5"/>
    </row>
    <row r="5" spans="1:26" ht="12.75" customHeight="1" x14ac:dyDescent="0.2">
      <c r="A5" s="5"/>
      <c r="B5" s="5"/>
      <c r="C5" s="5"/>
      <c r="D5" s="5"/>
      <c r="E5" s="5"/>
      <c r="F5" s="5"/>
      <c r="G5" s="5"/>
      <c r="H5" s="5"/>
      <c r="I5" s="5"/>
      <c r="J5" s="5"/>
      <c r="K5" s="13"/>
      <c r="L5" s="13"/>
      <c r="M5" s="5"/>
      <c r="N5" s="14"/>
      <c r="O5" s="15"/>
      <c r="P5" s="16"/>
      <c r="Q5" s="17"/>
      <c r="R5" s="5"/>
      <c r="S5" s="5"/>
      <c r="T5" s="5"/>
      <c r="U5" s="5"/>
      <c r="V5" s="5"/>
      <c r="W5" s="5"/>
      <c r="X5" s="5"/>
      <c r="Y5" s="5"/>
      <c r="Z5" s="5"/>
    </row>
    <row r="6" spans="1:26" ht="12.75" customHeight="1" x14ac:dyDescent="0.2">
      <c r="A6" s="5"/>
      <c r="B6" s="5"/>
      <c r="C6" s="5"/>
      <c r="D6" s="5"/>
      <c r="E6" s="5"/>
      <c r="F6" s="411" t="s">
        <v>0</v>
      </c>
      <c r="G6" s="402"/>
      <c r="H6" s="402"/>
      <c r="I6" s="402"/>
      <c r="J6" s="402"/>
      <c r="K6" s="402"/>
      <c r="L6" s="402"/>
      <c r="M6" s="402"/>
      <c r="N6" s="403"/>
      <c r="O6" s="5"/>
      <c r="P6" s="18"/>
      <c r="Q6" s="5"/>
      <c r="R6" s="5"/>
      <c r="S6" s="5"/>
      <c r="T6" s="5"/>
      <c r="U6" s="5"/>
      <c r="V6" s="5"/>
      <c r="W6" s="5"/>
      <c r="X6" s="5"/>
      <c r="Y6" s="5"/>
      <c r="Z6" s="5"/>
    </row>
    <row r="7" spans="1:26" ht="12.75" customHeight="1" x14ac:dyDescent="0.2">
      <c r="A7" s="5"/>
      <c r="B7" s="5"/>
      <c r="C7" s="5"/>
      <c r="D7" s="5"/>
      <c r="E7" s="5"/>
      <c r="F7" s="407"/>
      <c r="G7" s="408"/>
      <c r="H7" s="408"/>
      <c r="I7" s="408"/>
      <c r="J7" s="408"/>
      <c r="K7" s="408"/>
      <c r="L7" s="408"/>
      <c r="M7" s="408"/>
      <c r="N7" s="409"/>
      <c r="O7" s="5"/>
      <c r="P7" s="18"/>
      <c r="Q7" s="5"/>
      <c r="R7" s="5"/>
      <c r="S7" s="5"/>
      <c r="T7" s="5"/>
      <c r="U7" s="5"/>
      <c r="V7" s="5"/>
      <c r="W7" s="5"/>
      <c r="X7" s="5"/>
      <c r="Y7" s="5"/>
      <c r="Z7" s="5"/>
    </row>
    <row r="8" spans="1:26" ht="12.75" customHeight="1" x14ac:dyDescent="0.2">
      <c r="A8" s="5"/>
      <c r="B8" s="5"/>
      <c r="C8" s="5"/>
      <c r="D8" s="5"/>
      <c r="E8" s="5"/>
      <c r="F8" s="5"/>
      <c r="G8" s="5"/>
      <c r="H8" s="5"/>
      <c r="I8" s="5"/>
      <c r="J8" s="5"/>
      <c r="K8" s="5"/>
      <c r="L8" s="5"/>
      <c r="M8" s="5"/>
      <c r="N8" s="5"/>
      <c r="O8" s="5"/>
      <c r="P8" s="18"/>
      <c r="Q8" s="5"/>
      <c r="R8" s="5"/>
      <c r="S8" s="5"/>
      <c r="T8" s="5"/>
      <c r="U8" s="5"/>
      <c r="V8" s="5"/>
      <c r="W8" s="5"/>
      <c r="X8" s="5"/>
      <c r="Y8" s="5"/>
      <c r="Z8" s="5"/>
    </row>
    <row r="9" spans="1:26" ht="12.75" customHeight="1" x14ac:dyDescent="0.2">
      <c r="A9" s="19"/>
      <c r="B9" s="20"/>
      <c r="C9" s="5"/>
      <c r="D9" s="5"/>
      <c r="E9" s="5"/>
      <c r="F9" s="5"/>
      <c r="G9" s="5"/>
      <c r="H9" s="5"/>
      <c r="I9" s="5"/>
      <c r="J9" s="5"/>
      <c r="K9" s="5"/>
      <c r="L9" s="21"/>
      <c r="M9" s="5"/>
      <c r="N9" s="5"/>
      <c r="O9" s="5"/>
      <c r="P9" s="18"/>
      <c r="Q9" s="5"/>
      <c r="R9" s="5"/>
      <c r="S9" s="5"/>
      <c r="T9" s="5"/>
      <c r="U9" s="5"/>
      <c r="V9" s="5"/>
      <c r="W9" s="5"/>
      <c r="X9" s="5"/>
      <c r="Y9" s="5"/>
      <c r="Z9" s="5"/>
    </row>
    <row r="10" spans="1:26" ht="12.75" customHeight="1" x14ac:dyDescent="0.25">
      <c r="A10" s="22"/>
      <c r="B10" s="23"/>
      <c r="C10" s="24"/>
      <c r="D10" s="25"/>
      <c r="E10" s="25"/>
      <c r="F10" s="25"/>
      <c r="G10" s="25"/>
      <c r="H10" s="25"/>
      <c r="I10" s="25"/>
      <c r="J10" s="25"/>
      <c r="K10" s="25"/>
      <c r="L10" s="25"/>
      <c r="M10" s="25"/>
      <c r="N10" s="25"/>
      <c r="O10" s="25"/>
      <c r="P10" s="26"/>
      <c r="Q10" s="25"/>
      <c r="R10" s="25"/>
      <c r="S10" s="25"/>
      <c r="T10" s="5"/>
      <c r="U10" s="5"/>
      <c r="V10" s="5"/>
      <c r="W10" s="5"/>
      <c r="X10" s="5"/>
      <c r="Y10" s="5"/>
      <c r="Z10" s="5"/>
    </row>
    <row r="11" spans="1:26" ht="12.75" customHeight="1" x14ac:dyDescent="0.25">
      <c r="A11" s="22"/>
      <c r="B11" s="412"/>
      <c r="C11" s="399"/>
      <c r="D11" s="399"/>
      <c r="E11" s="399"/>
      <c r="F11" s="400"/>
      <c r="G11" s="25"/>
      <c r="H11" s="27"/>
      <c r="I11" s="25"/>
      <c r="J11" s="25"/>
      <c r="K11" s="25"/>
      <c r="L11" s="25"/>
      <c r="M11" s="25"/>
      <c r="N11" s="25"/>
      <c r="O11" s="413" t="s">
        <v>1</v>
      </c>
      <c r="P11" s="399"/>
      <c r="Q11" s="399"/>
      <c r="R11" s="399"/>
      <c r="S11" s="400"/>
      <c r="T11" s="5"/>
      <c r="U11" s="5"/>
      <c r="V11" s="5"/>
      <c r="W11" s="5"/>
      <c r="X11" s="5"/>
      <c r="Y11" s="5"/>
      <c r="Z11" s="5"/>
    </row>
    <row r="12" spans="1:26" ht="12.75" customHeight="1" x14ac:dyDescent="0.25">
      <c r="A12" s="22"/>
      <c r="B12" s="412"/>
      <c r="C12" s="399"/>
      <c r="D12" s="399"/>
      <c r="E12" s="399"/>
      <c r="F12" s="400"/>
      <c r="G12" s="25"/>
      <c r="H12" s="27"/>
      <c r="I12" s="25"/>
      <c r="J12" s="25"/>
      <c r="K12" s="25"/>
      <c r="L12" s="25"/>
      <c r="M12" s="25"/>
      <c r="N12" s="25"/>
      <c r="O12" s="28" t="s">
        <v>2</v>
      </c>
      <c r="P12" s="28"/>
      <c r="Q12" s="29">
        <v>439988900</v>
      </c>
      <c r="R12" s="29"/>
      <c r="S12" s="29"/>
      <c r="T12" s="5"/>
      <c r="U12" s="5"/>
      <c r="V12" s="5"/>
      <c r="W12" s="5"/>
      <c r="X12" s="5"/>
      <c r="Y12" s="5"/>
      <c r="Z12" s="5"/>
    </row>
    <row r="13" spans="1:26" ht="12.75" customHeight="1" x14ac:dyDescent="0.25">
      <c r="A13" s="22"/>
      <c r="B13" s="412"/>
      <c r="C13" s="399"/>
      <c r="D13" s="399"/>
      <c r="E13" s="399"/>
      <c r="F13" s="400"/>
      <c r="G13" s="25"/>
      <c r="H13" s="27"/>
      <c r="I13" s="25"/>
      <c r="J13" s="25"/>
      <c r="K13" s="25"/>
      <c r="L13" s="25"/>
      <c r="M13" s="25"/>
      <c r="N13" s="25"/>
      <c r="O13" s="30" t="s">
        <v>3</v>
      </c>
      <c r="P13" s="26"/>
      <c r="Q13" s="31">
        <v>191324900</v>
      </c>
      <c r="R13" s="32"/>
      <c r="S13" s="32"/>
      <c r="T13" s="5"/>
      <c r="U13" s="5"/>
      <c r="V13" s="5"/>
      <c r="W13" s="5"/>
      <c r="X13" s="5"/>
      <c r="Y13" s="5"/>
      <c r="Z13" s="5"/>
    </row>
    <row r="14" spans="1:26" ht="12.75" customHeight="1" x14ac:dyDescent="0.25">
      <c r="A14" s="22"/>
      <c r="B14" s="412"/>
      <c r="C14" s="399"/>
      <c r="D14" s="399"/>
      <c r="E14" s="399"/>
      <c r="F14" s="400"/>
      <c r="G14" s="25"/>
      <c r="H14" s="27"/>
      <c r="I14" s="25"/>
      <c r="J14" s="25"/>
      <c r="K14" s="25"/>
      <c r="L14" s="25"/>
      <c r="M14" s="25"/>
      <c r="N14" s="25"/>
      <c r="O14" s="30" t="s">
        <v>4</v>
      </c>
      <c r="P14" s="26"/>
      <c r="Q14" s="31">
        <v>0</v>
      </c>
      <c r="T14" s="5"/>
      <c r="U14" s="5"/>
      <c r="V14" s="5"/>
      <c r="W14" s="5"/>
      <c r="X14" s="5"/>
      <c r="Y14" s="5"/>
      <c r="Z14" s="5"/>
    </row>
    <row r="15" spans="1:26" ht="12.75" customHeight="1" x14ac:dyDescent="0.25">
      <c r="A15" s="22"/>
      <c r="B15" s="412"/>
      <c r="C15" s="399"/>
      <c r="D15" s="399"/>
      <c r="E15" s="399"/>
      <c r="F15" s="400"/>
      <c r="G15" s="25"/>
      <c r="H15" s="27"/>
      <c r="I15" s="25"/>
      <c r="J15" s="25"/>
      <c r="K15" s="25"/>
      <c r="L15" s="25"/>
      <c r="M15" s="25"/>
      <c r="N15" s="25"/>
      <c r="O15" s="30" t="s">
        <v>5</v>
      </c>
      <c r="P15" s="26"/>
      <c r="Q15" s="31">
        <v>3747000</v>
      </c>
      <c r="R15" s="25"/>
      <c r="S15" s="25"/>
      <c r="T15" s="5"/>
      <c r="U15" s="5"/>
      <c r="V15" s="5"/>
      <c r="W15" s="5"/>
      <c r="X15" s="5"/>
      <c r="Y15" s="5"/>
      <c r="Z15" s="5"/>
    </row>
    <row r="16" spans="1:26" ht="12.75" customHeight="1" x14ac:dyDescent="0.25">
      <c r="A16" s="22"/>
      <c r="B16" s="398"/>
      <c r="C16" s="399"/>
      <c r="D16" s="399"/>
      <c r="E16" s="399"/>
      <c r="F16" s="400"/>
      <c r="G16" s="25"/>
      <c r="H16" s="25"/>
      <c r="I16" s="25"/>
      <c r="J16" s="25"/>
      <c r="K16" s="25"/>
      <c r="L16" s="25"/>
      <c r="M16" s="25"/>
      <c r="N16" s="25"/>
      <c r="O16" s="28" t="s">
        <v>6</v>
      </c>
      <c r="P16" s="28"/>
      <c r="Q16" s="33" t="s">
        <v>7</v>
      </c>
      <c r="R16" s="34"/>
      <c r="S16" s="34"/>
      <c r="T16" s="5"/>
      <c r="U16" s="5"/>
      <c r="V16" s="5"/>
      <c r="W16" s="5"/>
      <c r="X16" s="5"/>
      <c r="Y16" s="5"/>
      <c r="Z16" s="5"/>
    </row>
    <row r="17" spans="1:26" ht="12.75" customHeight="1" x14ac:dyDescent="0.25">
      <c r="A17" s="22"/>
      <c r="B17" s="398"/>
      <c r="C17" s="399"/>
      <c r="D17" s="399"/>
      <c r="E17" s="399"/>
      <c r="F17" s="400"/>
      <c r="G17" s="25"/>
      <c r="H17" s="25"/>
      <c r="I17" s="25"/>
      <c r="J17" s="25"/>
      <c r="K17" s="25"/>
      <c r="L17" s="25"/>
      <c r="M17" s="25"/>
      <c r="N17" s="25"/>
      <c r="O17" s="35" t="s">
        <v>8</v>
      </c>
      <c r="P17" s="35"/>
      <c r="Q17" s="35" t="s">
        <v>9</v>
      </c>
      <c r="R17" s="36"/>
      <c r="S17" s="36"/>
      <c r="T17" s="5"/>
      <c r="U17" s="5"/>
      <c r="V17" s="5"/>
      <c r="W17" s="5"/>
      <c r="X17" s="5"/>
      <c r="Y17" s="5"/>
      <c r="Z17" s="5"/>
    </row>
    <row r="18" spans="1:26" ht="12.75" customHeight="1" x14ac:dyDescent="0.2">
      <c r="A18" s="25"/>
      <c r="B18" s="398"/>
      <c r="C18" s="399"/>
      <c r="D18" s="399"/>
      <c r="E18" s="399"/>
      <c r="F18" s="400"/>
      <c r="G18" s="25"/>
      <c r="H18" s="25"/>
      <c r="I18" s="25"/>
      <c r="J18" s="25"/>
      <c r="K18" s="25"/>
      <c r="L18" s="25"/>
      <c r="M18" s="25"/>
      <c r="N18" s="25"/>
      <c r="O18" s="28" t="s">
        <v>10</v>
      </c>
      <c r="P18" s="28"/>
      <c r="Q18" s="28" t="s">
        <v>11</v>
      </c>
      <c r="R18" s="37"/>
      <c r="S18" s="37"/>
      <c r="T18" s="5"/>
      <c r="U18" s="5"/>
      <c r="V18" s="5"/>
      <c r="W18" s="5"/>
      <c r="X18" s="5"/>
      <c r="Y18" s="5"/>
      <c r="Z18" s="5"/>
    </row>
    <row r="19" spans="1:26" ht="15" customHeight="1" x14ac:dyDescent="0.2">
      <c r="A19" s="25"/>
      <c r="G19" s="38"/>
      <c r="H19" s="25"/>
      <c r="I19" s="25"/>
      <c r="J19" s="25"/>
      <c r="K19" s="25"/>
      <c r="L19" s="25"/>
      <c r="M19" s="38"/>
      <c r="N19" s="25"/>
      <c r="O19" s="25"/>
      <c r="P19" s="25"/>
      <c r="Q19" s="25"/>
      <c r="R19" s="25"/>
      <c r="S19" s="25"/>
      <c r="T19" s="5"/>
      <c r="U19" s="5"/>
      <c r="V19" s="5"/>
      <c r="W19" s="5"/>
      <c r="X19" s="5"/>
      <c r="Y19" s="5"/>
      <c r="Z19" s="5"/>
    </row>
    <row r="20" spans="1:26" ht="12.75" customHeight="1" x14ac:dyDescent="0.2">
      <c r="A20" s="38"/>
      <c r="B20" s="39"/>
      <c r="C20" s="39"/>
      <c r="D20" s="39"/>
      <c r="E20" s="39"/>
      <c r="F20" s="39"/>
      <c r="G20" s="38"/>
      <c r="H20" s="38"/>
      <c r="I20" s="38"/>
      <c r="J20" s="38"/>
      <c r="K20" s="38"/>
      <c r="L20" s="38"/>
      <c r="M20" s="38"/>
      <c r="N20" s="25"/>
      <c r="O20" s="25"/>
      <c r="P20" s="25"/>
      <c r="Q20" s="25"/>
      <c r="R20" s="25"/>
      <c r="S20" s="25"/>
      <c r="T20" s="5"/>
      <c r="U20" s="5"/>
      <c r="V20" s="5"/>
      <c r="W20" s="5"/>
      <c r="X20" s="5"/>
      <c r="Y20" s="5"/>
      <c r="Z20" s="5"/>
    </row>
    <row r="21" spans="1:26" ht="12.75" customHeight="1" x14ac:dyDescent="0.2">
      <c r="A21" s="25"/>
      <c r="B21" s="25"/>
      <c r="C21" s="25"/>
      <c r="D21" s="25"/>
      <c r="E21" s="25"/>
      <c r="F21" s="25"/>
      <c r="G21" s="25"/>
      <c r="H21" s="25"/>
      <c r="I21" s="25"/>
      <c r="J21" s="25"/>
      <c r="K21" s="25"/>
      <c r="L21" s="25"/>
      <c r="M21" s="25"/>
      <c r="N21" s="25"/>
      <c r="O21" s="25"/>
      <c r="P21" s="26"/>
      <c r="Q21" s="25"/>
      <c r="R21" s="25"/>
      <c r="S21" s="25"/>
      <c r="T21" s="5"/>
      <c r="U21" s="5"/>
      <c r="V21" s="5"/>
      <c r="W21" s="5"/>
      <c r="X21" s="5"/>
      <c r="Y21" s="5"/>
      <c r="Z21" s="5"/>
    </row>
    <row r="22" spans="1:26" ht="33" customHeight="1" x14ac:dyDescent="0.2">
      <c r="A22" s="401" t="s">
        <v>12</v>
      </c>
      <c r="B22" s="402"/>
      <c r="C22" s="402"/>
      <c r="D22" s="402"/>
      <c r="E22" s="402"/>
      <c r="F22" s="402"/>
      <c r="G22" s="402"/>
      <c r="H22" s="402"/>
      <c r="I22" s="402"/>
      <c r="J22" s="402"/>
      <c r="K22" s="402"/>
      <c r="L22" s="402"/>
      <c r="M22" s="402"/>
      <c r="N22" s="402"/>
      <c r="O22" s="402"/>
      <c r="P22" s="402"/>
      <c r="Q22" s="402"/>
      <c r="R22" s="402"/>
      <c r="S22" s="403"/>
      <c r="T22" s="40"/>
      <c r="U22" s="40"/>
      <c r="V22" s="40"/>
      <c r="W22" s="40"/>
      <c r="X22" s="40"/>
      <c r="Y22" s="40"/>
      <c r="Z22" s="40"/>
    </row>
    <row r="23" spans="1:26" ht="33" customHeight="1" x14ac:dyDescent="0.2">
      <c r="A23" s="404"/>
      <c r="B23" s="405"/>
      <c r="C23" s="405"/>
      <c r="D23" s="405"/>
      <c r="E23" s="405"/>
      <c r="F23" s="405"/>
      <c r="G23" s="405"/>
      <c r="H23" s="405"/>
      <c r="I23" s="405"/>
      <c r="J23" s="405"/>
      <c r="K23" s="405"/>
      <c r="L23" s="405"/>
      <c r="M23" s="405"/>
      <c r="N23" s="405"/>
      <c r="O23" s="405"/>
      <c r="P23" s="405"/>
      <c r="Q23" s="405"/>
      <c r="R23" s="405"/>
      <c r="S23" s="406"/>
      <c r="T23" s="40"/>
      <c r="U23" s="40"/>
      <c r="V23" s="40"/>
      <c r="W23" s="40"/>
      <c r="X23" s="40"/>
      <c r="Y23" s="40"/>
      <c r="Z23" s="40"/>
    </row>
    <row r="24" spans="1:26" ht="33" customHeight="1" x14ac:dyDescent="0.2">
      <c r="A24" s="404"/>
      <c r="B24" s="405"/>
      <c r="C24" s="405"/>
      <c r="D24" s="405"/>
      <c r="E24" s="405"/>
      <c r="F24" s="405"/>
      <c r="G24" s="405"/>
      <c r="H24" s="405"/>
      <c r="I24" s="405"/>
      <c r="J24" s="405"/>
      <c r="K24" s="405"/>
      <c r="L24" s="405"/>
      <c r="M24" s="405"/>
      <c r="N24" s="405"/>
      <c r="O24" s="405"/>
      <c r="P24" s="405"/>
      <c r="Q24" s="405"/>
      <c r="R24" s="405"/>
      <c r="S24" s="406"/>
      <c r="T24" s="40"/>
      <c r="U24" s="40"/>
      <c r="V24" s="40"/>
      <c r="W24" s="40"/>
      <c r="X24" s="40"/>
      <c r="Y24" s="40"/>
      <c r="Z24" s="40"/>
    </row>
    <row r="25" spans="1:26" ht="33" customHeight="1" x14ac:dyDescent="0.2">
      <c r="A25" s="407"/>
      <c r="B25" s="408"/>
      <c r="C25" s="408"/>
      <c r="D25" s="408"/>
      <c r="E25" s="408"/>
      <c r="F25" s="408"/>
      <c r="G25" s="408"/>
      <c r="H25" s="408"/>
      <c r="I25" s="408"/>
      <c r="J25" s="408"/>
      <c r="K25" s="408"/>
      <c r="L25" s="408"/>
      <c r="M25" s="408"/>
      <c r="N25" s="408"/>
      <c r="O25" s="408"/>
      <c r="P25" s="408"/>
      <c r="Q25" s="408"/>
      <c r="R25" s="408"/>
      <c r="S25" s="409"/>
      <c r="T25" s="40"/>
      <c r="U25" s="40"/>
      <c r="V25" s="40"/>
      <c r="W25" s="40"/>
      <c r="X25" s="40"/>
      <c r="Y25" s="40"/>
      <c r="Z25" s="40"/>
    </row>
    <row r="26" spans="1:26" ht="12.75" customHeight="1" x14ac:dyDescent="0.2">
      <c r="A26" s="5"/>
      <c r="B26" s="5"/>
      <c r="C26" s="5"/>
      <c r="D26" s="5"/>
      <c r="E26" s="5"/>
      <c r="F26" s="5"/>
      <c r="G26" s="5"/>
      <c r="H26" s="5"/>
      <c r="I26" s="5"/>
      <c r="J26" s="5"/>
      <c r="K26" s="5"/>
      <c r="L26" s="5"/>
      <c r="M26" s="5"/>
      <c r="N26" s="5"/>
      <c r="O26" s="5"/>
      <c r="P26" s="18"/>
      <c r="Q26" s="5"/>
      <c r="R26" s="5"/>
      <c r="S26" s="5"/>
      <c r="T26" s="5"/>
      <c r="U26" s="5"/>
      <c r="V26" s="5"/>
      <c r="W26" s="5"/>
      <c r="X26" s="5"/>
      <c r="Y26" s="5"/>
      <c r="Z26" s="5"/>
    </row>
    <row r="27" spans="1:26" ht="12.75" customHeight="1" x14ac:dyDescent="0.2">
      <c r="A27" s="410"/>
      <c r="B27" s="399"/>
      <c r="C27" s="399"/>
      <c r="D27" s="399"/>
      <c r="E27" s="399"/>
      <c r="F27" s="399"/>
      <c r="G27" s="399"/>
      <c r="H27" s="399"/>
      <c r="I27" s="399"/>
      <c r="J27" s="399"/>
      <c r="K27" s="399"/>
      <c r="L27" s="399"/>
      <c r="M27" s="399"/>
      <c r="N27" s="399"/>
      <c r="O27" s="399"/>
      <c r="P27" s="399"/>
      <c r="Q27" s="399"/>
      <c r="R27" s="399"/>
      <c r="S27" s="400"/>
      <c r="T27" s="5"/>
      <c r="U27" s="5"/>
      <c r="V27" s="5"/>
      <c r="W27" s="5"/>
      <c r="X27" s="5"/>
      <c r="Y27" s="5"/>
      <c r="Z27" s="5"/>
    </row>
    <row r="28" spans="1:26" ht="12.75" customHeight="1" x14ac:dyDescent="0.2">
      <c r="A28" s="5"/>
      <c r="B28" s="5"/>
      <c r="C28" s="5"/>
      <c r="D28" s="5"/>
      <c r="E28" s="5"/>
      <c r="F28" s="5"/>
      <c r="G28" s="5"/>
      <c r="H28" s="41"/>
      <c r="I28" s="5"/>
      <c r="J28" s="5"/>
      <c r="K28" s="5"/>
      <c r="L28" s="5"/>
      <c r="M28" s="5"/>
      <c r="N28" s="5"/>
      <c r="O28" s="5"/>
      <c r="P28" s="18"/>
      <c r="Q28" s="5"/>
      <c r="R28" s="5"/>
      <c r="S28" s="5"/>
      <c r="T28" s="5"/>
      <c r="U28" s="5"/>
      <c r="V28" s="5"/>
      <c r="W28" s="5"/>
      <c r="X28" s="5"/>
      <c r="Y28" s="5"/>
      <c r="Z28" s="5"/>
    </row>
    <row r="29" spans="1:26" ht="12.75" customHeight="1" x14ac:dyDescent="0.2">
      <c r="A29" s="5"/>
      <c r="B29" s="5"/>
      <c r="C29" s="5"/>
      <c r="D29" s="5"/>
      <c r="E29" s="5"/>
      <c r="F29" s="5"/>
      <c r="G29" s="5"/>
      <c r="H29" s="41"/>
      <c r="I29" s="5"/>
      <c r="J29" s="5"/>
      <c r="K29" s="5"/>
      <c r="L29" s="5"/>
      <c r="M29" s="5"/>
      <c r="N29" s="5"/>
      <c r="O29" s="5"/>
      <c r="P29" s="18"/>
      <c r="Q29" s="5"/>
      <c r="R29" s="5"/>
      <c r="S29" s="5"/>
      <c r="T29" s="5"/>
      <c r="U29" s="5"/>
      <c r="V29" s="5"/>
      <c r="W29" s="5"/>
      <c r="X29" s="5"/>
      <c r="Y29" s="5"/>
      <c r="Z29" s="5"/>
    </row>
    <row r="30" spans="1:26" ht="12.75" customHeight="1" x14ac:dyDescent="0.2">
      <c r="A30" s="5"/>
      <c r="B30" s="5"/>
      <c r="C30" s="5"/>
      <c r="D30" s="5"/>
      <c r="E30" s="5"/>
      <c r="F30" s="5"/>
      <c r="G30" s="5"/>
      <c r="H30" s="41"/>
      <c r="I30" s="5"/>
      <c r="J30" s="5"/>
      <c r="K30" s="5"/>
      <c r="L30" s="5"/>
      <c r="M30" s="5"/>
      <c r="N30" s="5"/>
      <c r="O30" s="5"/>
      <c r="P30" s="18"/>
      <c r="Q30" s="5"/>
      <c r="R30" s="5"/>
      <c r="S30" s="5"/>
      <c r="T30" s="5"/>
      <c r="U30" s="5"/>
      <c r="V30" s="5"/>
      <c r="W30" s="5"/>
      <c r="X30" s="5"/>
      <c r="Y30" s="5"/>
      <c r="Z30" s="5"/>
    </row>
    <row r="31" spans="1:26" ht="12.75" customHeight="1" x14ac:dyDescent="0.2">
      <c r="A31" s="5"/>
      <c r="B31" s="5"/>
      <c r="C31" s="5"/>
      <c r="D31" s="5"/>
      <c r="E31" s="5"/>
      <c r="F31" s="5"/>
      <c r="G31" s="5"/>
      <c r="H31" s="41"/>
      <c r="I31" s="5"/>
      <c r="J31" s="5"/>
      <c r="K31" s="5"/>
      <c r="L31" s="5"/>
      <c r="M31" s="5"/>
      <c r="N31" s="5"/>
      <c r="O31" s="5"/>
      <c r="P31" s="18"/>
      <c r="Q31" s="5"/>
      <c r="R31" s="5"/>
      <c r="S31" s="5"/>
      <c r="T31" s="5"/>
      <c r="U31" s="5"/>
      <c r="V31" s="5"/>
      <c r="W31" s="5"/>
      <c r="X31" s="5"/>
      <c r="Y31" s="5"/>
      <c r="Z31" s="5"/>
    </row>
    <row r="32" spans="1:26" ht="12.75" customHeight="1" x14ac:dyDescent="0.2">
      <c r="A32" s="5"/>
      <c r="B32" s="5"/>
      <c r="C32" s="5"/>
      <c r="D32" s="5"/>
      <c r="E32" s="5"/>
      <c r="F32" s="5"/>
      <c r="G32" s="5"/>
      <c r="H32" s="41"/>
      <c r="I32" s="5"/>
      <c r="J32" s="5"/>
      <c r="K32" s="5"/>
      <c r="L32" s="5"/>
      <c r="M32" s="5"/>
      <c r="N32" s="5"/>
      <c r="O32" s="5"/>
      <c r="P32" s="18"/>
      <c r="Q32" s="5"/>
      <c r="R32" s="5"/>
      <c r="S32" s="5"/>
      <c r="T32" s="5"/>
      <c r="U32" s="5"/>
      <c r="V32" s="5"/>
      <c r="W32" s="5"/>
      <c r="X32" s="5"/>
      <c r="Y32" s="5"/>
      <c r="Z32" s="5"/>
    </row>
    <row r="33" spans="1:26" ht="12.75" customHeight="1" x14ac:dyDescent="0.2">
      <c r="A33" s="5"/>
      <c r="B33" s="5"/>
      <c r="C33" s="5"/>
      <c r="D33" s="5"/>
      <c r="E33" s="5"/>
      <c r="F33" s="5"/>
      <c r="G33" s="5"/>
      <c r="H33" s="5"/>
      <c r="I33" s="5"/>
      <c r="J33" s="5"/>
      <c r="K33" s="5"/>
      <c r="L33" s="5"/>
      <c r="M33" s="5"/>
      <c r="N33" s="5"/>
      <c r="O33" s="5"/>
      <c r="P33" s="18"/>
      <c r="Q33" s="5"/>
      <c r="R33" s="5"/>
      <c r="S33" s="5"/>
      <c r="T33" s="5"/>
      <c r="U33" s="5"/>
      <c r="V33" s="5"/>
      <c r="W33" s="5"/>
      <c r="X33" s="5"/>
      <c r="Y33" s="5"/>
      <c r="Z33" s="5"/>
    </row>
    <row r="34" spans="1:26" ht="12.75" customHeight="1" x14ac:dyDescent="0.2">
      <c r="A34" s="5"/>
      <c r="B34" s="5"/>
      <c r="C34" s="5"/>
      <c r="D34" s="5"/>
      <c r="E34" s="5"/>
      <c r="F34" s="5"/>
      <c r="G34" s="5"/>
      <c r="H34" s="5"/>
      <c r="I34" s="5"/>
      <c r="J34" s="5"/>
      <c r="K34" s="5"/>
      <c r="L34" s="5"/>
      <c r="M34" s="5"/>
      <c r="N34" s="5"/>
      <c r="O34" s="5"/>
      <c r="P34" s="18"/>
      <c r="Q34" s="5"/>
      <c r="R34" s="5"/>
      <c r="S34" s="5"/>
      <c r="T34" s="5"/>
      <c r="U34" s="5"/>
      <c r="V34" s="5"/>
      <c r="W34" s="5"/>
      <c r="X34" s="5"/>
      <c r="Y34" s="5"/>
      <c r="Z34" s="5"/>
    </row>
    <row r="35" spans="1:26" ht="12.75" customHeight="1" x14ac:dyDescent="0.2">
      <c r="A35" s="5"/>
      <c r="B35" s="5"/>
      <c r="C35" s="5"/>
      <c r="D35" s="5"/>
      <c r="E35" s="5"/>
      <c r="F35" s="5"/>
      <c r="G35" s="5"/>
      <c r="H35" s="5"/>
      <c r="I35" s="5"/>
      <c r="J35" s="5"/>
      <c r="K35" s="5"/>
      <c r="L35" s="5"/>
      <c r="M35" s="5"/>
      <c r="N35" s="5"/>
      <c r="O35" s="5"/>
      <c r="P35" s="18"/>
      <c r="Q35" s="5"/>
      <c r="R35" s="5"/>
      <c r="S35" s="5"/>
      <c r="T35" s="5"/>
      <c r="U35" s="5"/>
      <c r="V35" s="5"/>
      <c r="W35" s="5"/>
      <c r="X35" s="5"/>
      <c r="Y35" s="5"/>
      <c r="Z35" s="5"/>
    </row>
    <row r="36" spans="1:26" ht="12.75" customHeight="1" x14ac:dyDescent="0.2">
      <c r="A36" s="5"/>
      <c r="B36" s="5"/>
      <c r="C36" s="5"/>
      <c r="D36" s="5"/>
      <c r="E36" s="5"/>
      <c r="F36" s="5"/>
      <c r="G36" s="5"/>
      <c r="H36" s="5"/>
      <c r="I36" s="5"/>
      <c r="J36" s="5"/>
      <c r="K36" s="5"/>
      <c r="L36" s="5"/>
      <c r="M36" s="5"/>
      <c r="N36" s="5"/>
      <c r="O36" s="5"/>
      <c r="P36" s="18"/>
      <c r="Q36" s="5"/>
      <c r="R36" s="5"/>
      <c r="S36" s="5"/>
      <c r="T36" s="5"/>
      <c r="U36" s="5"/>
      <c r="V36" s="5"/>
      <c r="W36" s="5"/>
      <c r="X36" s="5"/>
      <c r="Y36" s="5"/>
      <c r="Z36" s="5"/>
    </row>
    <row r="37" spans="1:26" ht="12.75" customHeight="1" x14ac:dyDescent="0.2">
      <c r="A37" s="5"/>
      <c r="B37" s="5"/>
      <c r="C37" s="5"/>
      <c r="D37" s="5"/>
      <c r="E37" s="5"/>
      <c r="F37" s="5"/>
      <c r="G37" s="5"/>
      <c r="H37" s="5"/>
      <c r="I37" s="5"/>
      <c r="J37" s="5"/>
      <c r="K37" s="5"/>
      <c r="L37" s="5"/>
      <c r="M37" s="5"/>
      <c r="N37" s="5"/>
      <c r="O37" s="5"/>
      <c r="P37" s="18"/>
      <c r="Q37" s="5"/>
      <c r="R37" s="5"/>
      <c r="S37" s="5"/>
      <c r="T37" s="5"/>
      <c r="U37" s="5"/>
      <c r="V37" s="5"/>
      <c r="W37" s="5"/>
      <c r="X37" s="5"/>
      <c r="Y37" s="5"/>
      <c r="Z37" s="5"/>
    </row>
    <row r="38" spans="1:26" ht="12.75" customHeight="1" x14ac:dyDescent="0.2">
      <c r="A38" s="5"/>
      <c r="B38" s="5"/>
      <c r="C38" s="5"/>
      <c r="D38" s="5"/>
      <c r="E38" s="5"/>
      <c r="F38" s="5"/>
      <c r="G38" s="5"/>
      <c r="H38" s="5"/>
      <c r="I38" s="5"/>
      <c r="J38" s="5"/>
      <c r="K38" s="5"/>
      <c r="L38" s="5"/>
      <c r="M38" s="5"/>
      <c r="N38" s="5"/>
      <c r="O38" s="5"/>
      <c r="P38" s="18"/>
      <c r="Q38" s="5"/>
      <c r="R38" s="5"/>
      <c r="S38" s="5"/>
      <c r="T38" s="5"/>
      <c r="U38" s="5"/>
      <c r="V38" s="5"/>
      <c r="W38" s="5"/>
      <c r="X38" s="5"/>
      <c r="Y38" s="5"/>
      <c r="Z38" s="5"/>
    </row>
    <row r="39" spans="1:26" ht="12.75" customHeight="1" x14ac:dyDescent="0.2">
      <c r="A39" s="5"/>
      <c r="B39" s="5"/>
      <c r="C39" s="5"/>
      <c r="D39" s="5"/>
      <c r="E39" s="5"/>
      <c r="F39" s="5"/>
      <c r="G39" s="5"/>
      <c r="H39" s="5"/>
      <c r="I39" s="5"/>
      <c r="J39" s="5"/>
      <c r="K39" s="5"/>
      <c r="L39" s="5"/>
      <c r="M39" s="5"/>
      <c r="N39" s="5"/>
      <c r="O39" s="5"/>
      <c r="P39" s="18"/>
      <c r="Q39" s="5"/>
      <c r="R39" s="5"/>
      <c r="S39" s="5"/>
      <c r="T39" s="5"/>
      <c r="U39" s="5"/>
      <c r="V39" s="5"/>
      <c r="W39" s="5"/>
      <c r="X39" s="5"/>
      <c r="Y39" s="5"/>
      <c r="Z39" s="5"/>
    </row>
    <row r="40" spans="1:26" ht="12.75" customHeight="1" x14ac:dyDescent="0.2">
      <c r="A40" s="5"/>
      <c r="B40" s="5"/>
      <c r="C40" s="5"/>
      <c r="D40" s="5"/>
      <c r="E40" s="5"/>
      <c r="F40" s="5"/>
      <c r="G40" s="5"/>
      <c r="H40" s="5"/>
      <c r="I40" s="5"/>
      <c r="J40" s="5"/>
      <c r="K40" s="5"/>
      <c r="L40" s="5"/>
      <c r="M40" s="5"/>
      <c r="N40" s="5"/>
      <c r="O40" s="5"/>
      <c r="P40" s="18"/>
      <c r="Q40" s="5"/>
      <c r="R40" s="5"/>
      <c r="S40" s="5"/>
      <c r="T40" s="5"/>
      <c r="U40" s="5"/>
      <c r="V40" s="5"/>
      <c r="W40" s="5"/>
      <c r="X40" s="5"/>
      <c r="Y40" s="5"/>
      <c r="Z40" s="5"/>
    </row>
    <row r="41" spans="1:26" ht="12.75" customHeight="1" x14ac:dyDescent="0.2">
      <c r="A41" s="5"/>
      <c r="B41" s="5"/>
      <c r="C41" s="5"/>
      <c r="D41" s="5"/>
      <c r="E41" s="5"/>
      <c r="F41" s="5"/>
      <c r="G41" s="5"/>
      <c r="H41" s="5"/>
      <c r="I41" s="5"/>
      <c r="J41" s="5"/>
      <c r="K41" s="5"/>
      <c r="L41" s="5"/>
      <c r="M41" s="5"/>
      <c r="N41" s="5"/>
      <c r="O41" s="5"/>
      <c r="P41" s="18"/>
      <c r="Q41" s="5"/>
      <c r="R41" s="5"/>
      <c r="S41" s="5"/>
      <c r="T41" s="5"/>
      <c r="U41" s="5"/>
      <c r="V41" s="5"/>
      <c r="W41" s="5"/>
      <c r="X41" s="5"/>
      <c r="Y41" s="5"/>
      <c r="Z41" s="5"/>
    </row>
    <row r="42" spans="1:26" ht="12.75" customHeight="1" x14ac:dyDescent="0.2">
      <c r="A42" s="5"/>
      <c r="B42" s="5"/>
      <c r="C42" s="5"/>
      <c r="D42" s="5"/>
      <c r="E42" s="5"/>
      <c r="F42" s="5"/>
      <c r="G42" s="5"/>
      <c r="H42" s="5"/>
      <c r="I42" s="5"/>
      <c r="J42" s="5"/>
      <c r="K42" s="5"/>
      <c r="L42" s="5"/>
      <c r="M42" s="5"/>
      <c r="N42" s="5"/>
      <c r="O42" s="5"/>
      <c r="P42" s="18"/>
      <c r="Q42" s="5"/>
      <c r="R42" s="5"/>
      <c r="S42" s="5"/>
      <c r="T42" s="5"/>
      <c r="U42" s="5"/>
      <c r="V42" s="5"/>
      <c r="W42" s="5"/>
      <c r="X42" s="5"/>
      <c r="Y42" s="5"/>
      <c r="Z42" s="5"/>
    </row>
    <row r="43" spans="1:26" ht="12.75" customHeight="1" x14ac:dyDescent="0.2">
      <c r="A43" s="5"/>
      <c r="B43" s="5"/>
      <c r="C43" s="5"/>
      <c r="D43" s="5"/>
      <c r="E43" s="5"/>
      <c r="F43" s="5"/>
      <c r="G43" s="5"/>
      <c r="H43" s="5"/>
      <c r="I43" s="5"/>
      <c r="J43" s="5"/>
      <c r="K43" s="5"/>
      <c r="L43" s="5"/>
      <c r="M43" s="5"/>
      <c r="N43" s="5"/>
      <c r="O43" s="5"/>
      <c r="P43" s="18"/>
      <c r="Q43" s="5"/>
      <c r="R43" s="5"/>
      <c r="S43" s="5"/>
      <c r="T43" s="5"/>
      <c r="U43" s="5"/>
      <c r="V43" s="5"/>
      <c r="W43" s="5"/>
      <c r="X43" s="5"/>
      <c r="Y43" s="5"/>
      <c r="Z43" s="5"/>
    </row>
    <row r="44" spans="1:26" ht="12.75" customHeight="1" x14ac:dyDescent="0.2">
      <c r="A44" s="5"/>
      <c r="B44" s="5"/>
      <c r="C44" s="5"/>
      <c r="D44" s="5"/>
      <c r="E44" s="5"/>
      <c r="F44" s="5"/>
      <c r="G44" s="5"/>
      <c r="H44" s="5"/>
      <c r="I44" s="5"/>
      <c r="J44" s="5"/>
      <c r="K44" s="5"/>
      <c r="L44" s="5"/>
      <c r="M44" s="5"/>
      <c r="N44" s="5"/>
      <c r="O44" s="5"/>
      <c r="P44" s="18"/>
      <c r="Q44" s="5"/>
      <c r="R44" s="5"/>
      <c r="S44" s="5"/>
      <c r="T44" s="5"/>
      <c r="U44" s="5"/>
      <c r="V44" s="5"/>
      <c r="W44" s="5"/>
      <c r="X44" s="5"/>
      <c r="Y44" s="5"/>
      <c r="Z44" s="5"/>
    </row>
    <row r="45" spans="1:26" ht="12.75" customHeight="1" x14ac:dyDescent="0.2">
      <c r="A45" s="5"/>
      <c r="B45" s="5"/>
      <c r="C45" s="5"/>
      <c r="D45" s="5"/>
      <c r="E45" s="5"/>
      <c r="F45" s="5"/>
      <c r="G45" s="5"/>
      <c r="H45" s="5"/>
      <c r="I45" s="5"/>
      <c r="J45" s="5"/>
      <c r="K45" s="5"/>
      <c r="L45" s="5"/>
      <c r="M45" s="5"/>
      <c r="N45" s="5"/>
      <c r="O45" s="5"/>
      <c r="P45" s="18"/>
      <c r="Q45" s="5"/>
      <c r="R45" s="5"/>
      <c r="S45" s="5"/>
      <c r="T45" s="5"/>
      <c r="U45" s="5"/>
      <c r="V45" s="5"/>
      <c r="W45" s="5"/>
      <c r="X45" s="5"/>
      <c r="Y45" s="5"/>
      <c r="Z45" s="5"/>
    </row>
    <row r="46" spans="1:26" ht="12.75" customHeight="1" x14ac:dyDescent="0.2">
      <c r="A46" s="5"/>
      <c r="B46" s="5"/>
      <c r="C46" s="5"/>
      <c r="D46" s="5"/>
      <c r="E46" s="5"/>
      <c r="F46" s="5"/>
      <c r="G46" s="5"/>
      <c r="H46" s="5"/>
      <c r="I46" s="5"/>
      <c r="J46" s="5"/>
      <c r="K46" s="5"/>
      <c r="L46" s="5"/>
      <c r="M46" s="5"/>
      <c r="N46" s="5"/>
      <c r="O46" s="5"/>
      <c r="P46" s="18"/>
      <c r="Q46" s="5"/>
      <c r="R46" s="5"/>
      <c r="S46" s="5"/>
      <c r="T46" s="5"/>
      <c r="U46" s="5"/>
      <c r="V46" s="5"/>
      <c r="W46" s="5"/>
      <c r="X46" s="5"/>
      <c r="Y46" s="5"/>
      <c r="Z46" s="5"/>
    </row>
    <row r="47" spans="1:26" ht="12.75" customHeight="1" x14ac:dyDescent="0.2">
      <c r="A47" s="5"/>
      <c r="B47" s="5"/>
      <c r="C47" s="5"/>
      <c r="D47" s="5"/>
      <c r="E47" s="5"/>
      <c r="F47" s="5"/>
      <c r="G47" s="5"/>
      <c r="H47" s="5"/>
      <c r="I47" s="5"/>
      <c r="J47" s="5"/>
      <c r="K47" s="5"/>
      <c r="L47" s="5"/>
      <c r="M47" s="5"/>
      <c r="N47" s="5"/>
      <c r="O47" s="5"/>
      <c r="P47" s="18"/>
      <c r="Q47" s="5"/>
      <c r="R47" s="5"/>
      <c r="S47" s="5"/>
      <c r="T47" s="5"/>
      <c r="U47" s="5"/>
      <c r="V47" s="5"/>
      <c r="W47" s="5"/>
      <c r="X47" s="5"/>
      <c r="Y47" s="5"/>
      <c r="Z47" s="5"/>
    </row>
    <row r="48" spans="1:26" ht="12.75" customHeight="1" x14ac:dyDescent="0.2">
      <c r="A48" s="5"/>
      <c r="B48" s="5"/>
      <c r="C48" s="5"/>
      <c r="D48" s="5"/>
      <c r="E48" s="5"/>
      <c r="F48" s="5"/>
      <c r="G48" s="5"/>
      <c r="H48" s="5"/>
      <c r="I48" s="5"/>
      <c r="J48" s="5"/>
      <c r="K48" s="5"/>
      <c r="L48" s="5"/>
      <c r="M48" s="5"/>
      <c r="N48" s="5"/>
      <c r="O48" s="5"/>
      <c r="P48" s="18"/>
      <c r="Q48" s="5"/>
      <c r="R48" s="5"/>
      <c r="S48" s="5"/>
      <c r="T48" s="5"/>
      <c r="U48" s="5"/>
      <c r="V48" s="5"/>
      <c r="W48" s="5"/>
      <c r="X48" s="5"/>
      <c r="Y48" s="5"/>
      <c r="Z48" s="5"/>
    </row>
    <row r="49" spans="1:26" ht="12.75" customHeight="1" x14ac:dyDescent="0.2">
      <c r="A49" s="5"/>
      <c r="B49" s="5"/>
      <c r="C49" s="5"/>
      <c r="D49" s="5"/>
      <c r="E49" s="5"/>
      <c r="F49" s="5"/>
      <c r="G49" s="5"/>
      <c r="H49" s="5"/>
      <c r="I49" s="5"/>
      <c r="J49" s="5"/>
      <c r="K49" s="5"/>
      <c r="L49" s="5"/>
      <c r="M49" s="5"/>
      <c r="N49" s="5"/>
      <c r="O49" s="5"/>
      <c r="P49" s="18"/>
      <c r="Q49" s="5"/>
      <c r="R49" s="5"/>
      <c r="S49" s="5"/>
      <c r="T49" s="5"/>
      <c r="U49" s="5"/>
      <c r="V49" s="5"/>
      <c r="W49" s="5"/>
      <c r="X49" s="5"/>
      <c r="Y49" s="5"/>
      <c r="Z49" s="5"/>
    </row>
    <row r="50" spans="1:26" ht="12.75" customHeight="1" x14ac:dyDescent="0.2">
      <c r="A50" s="5"/>
      <c r="B50" s="5"/>
      <c r="C50" s="5"/>
      <c r="D50" s="5"/>
      <c r="E50" s="5"/>
      <c r="F50" s="5"/>
      <c r="G50" s="5"/>
      <c r="H50" s="5"/>
      <c r="I50" s="5"/>
      <c r="J50" s="5"/>
      <c r="K50" s="5"/>
      <c r="L50" s="5"/>
      <c r="M50" s="5"/>
      <c r="N50" s="5"/>
      <c r="O50" s="5"/>
      <c r="P50" s="18"/>
      <c r="Q50" s="5"/>
      <c r="R50" s="5"/>
      <c r="S50" s="5"/>
      <c r="T50" s="5"/>
      <c r="U50" s="5"/>
      <c r="V50" s="5"/>
      <c r="W50" s="5"/>
      <c r="X50" s="5"/>
      <c r="Y50" s="5"/>
      <c r="Z50" s="5"/>
    </row>
    <row r="51" spans="1:26" ht="12.75" customHeight="1" x14ac:dyDescent="0.2">
      <c r="A51" s="5"/>
      <c r="B51" s="5"/>
      <c r="C51" s="5"/>
      <c r="D51" s="5"/>
      <c r="E51" s="5"/>
      <c r="F51" s="5"/>
      <c r="G51" s="5"/>
      <c r="H51" s="5"/>
      <c r="I51" s="5"/>
      <c r="J51" s="5"/>
      <c r="K51" s="5"/>
      <c r="L51" s="5"/>
      <c r="M51" s="5"/>
      <c r="N51" s="5"/>
      <c r="O51" s="5"/>
      <c r="P51" s="18"/>
      <c r="Q51" s="5"/>
      <c r="R51" s="5"/>
      <c r="S51" s="5"/>
      <c r="T51" s="5"/>
      <c r="U51" s="5"/>
      <c r="V51" s="5"/>
      <c r="W51" s="5"/>
      <c r="X51" s="5"/>
      <c r="Y51" s="5"/>
      <c r="Z51" s="5"/>
    </row>
    <row r="52" spans="1:26" ht="12.75" customHeight="1" x14ac:dyDescent="0.2">
      <c r="A52" s="5"/>
      <c r="B52" s="5"/>
      <c r="C52" s="5"/>
      <c r="D52" s="5"/>
      <c r="E52" s="5"/>
      <c r="F52" s="5"/>
      <c r="G52" s="5"/>
      <c r="H52" s="5"/>
      <c r="I52" s="5"/>
      <c r="J52" s="5"/>
      <c r="K52" s="5"/>
      <c r="L52" s="5"/>
      <c r="M52" s="5"/>
      <c r="N52" s="5"/>
      <c r="O52" s="5"/>
      <c r="P52" s="18"/>
      <c r="Q52" s="5"/>
      <c r="R52" s="5"/>
      <c r="S52" s="5"/>
      <c r="T52" s="5"/>
      <c r="U52" s="5"/>
      <c r="V52" s="5"/>
      <c r="W52" s="5"/>
      <c r="X52" s="5"/>
      <c r="Y52" s="5"/>
      <c r="Z52" s="5"/>
    </row>
    <row r="53" spans="1:26" ht="12.75" customHeight="1" x14ac:dyDescent="0.2">
      <c r="A53" s="5"/>
      <c r="B53" s="5"/>
      <c r="C53" s="5"/>
      <c r="D53" s="5"/>
      <c r="E53" s="5"/>
      <c r="F53" s="5"/>
      <c r="G53" s="5"/>
      <c r="H53" s="5"/>
      <c r="I53" s="5"/>
      <c r="J53" s="5"/>
      <c r="K53" s="5"/>
      <c r="L53" s="5"/>
      <c r="M53" s="5"/>
      <c r="N53" s="5"/>
      <c r="O53" s="5"/>
      <c r="P53" s="18"/>
      <c r="Q53" s="5"/>
      <c r="R53" s="5"/>
      <c r="S53" s="5"/>
      <c r="T53" s="5"/>
      <c r="U53" s="5"/>
      <c r="V53" s="5"/>
      <c r="W53" s="5"/>
      <c r="X53" s="5"/>
      <c r="Y53" s="5"/>
      <c r="Z53" s="5"/>
    </row>
    <row r="54" spans="1:26" ht="12.75" customHeight="1" x14ac:dyDescent="0.2">
      <c r="A54" s="5"/>
      <c r="B54" s="5"/>
      <c r="C54" s="5"/>
      <c r="D54" s="5"/>
      <c r="E54" s="5"/>
      <c r="F54" s="5"/>
      <c r="G54" s="5"/>
      <c r="H54" s="5"/>
      <c r="I54" s="5"/>
      <c r="J54" s="5"/>
      <c r="K54" s="5"/>
      <c r="L54" s="5"/>
      <c r="M54" s="5"/>
      <c r="N54" s="5"/>
      <c r="O54" s="5"/>
      <c r="P54" s="18"/>
      <c r="Q54" s="5"/>
      <c r="R54" s="5"/>
      <c r="S54" s="5"/>
      <c r="T54" s="5"/>
      <c r="U54" s="5"/>
      <c r="V54" s="5"/>
      <c r="W54" s="5"/>
      <c r="X54" s="5"/>
      <c r="Y54" s="5"/>
      <c r="Z54" s="5"/>
    </row>
    <row r="55" spans="1:26" ht="12.75" customHeight="1" x14ac:dyDescent="0.2">
      <c r="A55" s="5"/>
      <c r="B55" s="5"/>
      <c r="C55" s="5"/>
      <c r="D55" s="5"/>
      <c r="E55" s="5"/>
      <c r="F55" s="5"/>
      <c r="G55" s="5"/>
      <c r="H55" s="5"/>
      <c r="I55" s="5"/>
      <c r="J55" s="5"/>
      <c r="K55" s="5"/>
      <c r="L55" s="5"/>
      <c r="M55" s="5"/>
      <c r="N55" s="5"/>
      <c r="O55" s="5"/>
      <c r="P55" s="18"/>
      <c r="Q55" s="5"/>
      <c r="R55" s="5"/>
      <c r="S55" s="5"/>
      <c r="T55" s="5"/>
      <c r="U55" s="5"/>
      <c r="V55" s="5"/>
      <c r="W55" s="5"/>
      <c r="X55" s="5"/>
      <c r="Y55" s="5"/>
      <c r="Z55" s="5"/>
    </row>
    <row r="56" spans="1:26" ht="12.75" customHeight="1" x14ac:dyDescent="0.2">
      <c r="A56" s="5"/>
      <c r="B56" s="5"/>
      <c r="C56" s="5"/>
      <c r="D56" s="5"/>
      <c r="E56" s="5"/>
      <c r="F56" s="5"/>
      <c r="G56" s="5"/>
      <c r="H56" s="5"/>
      <c r="I56" s="5"/>
      <c r="J56" s="5"/>
      <c r="K56" s="5"/>
      <c r="L56" s="5"/>
      <c r="M56" s="5"/>
      <c r="N56" s="5"/>
      <c r="O56" s="5"/>
      <c r="P56" s="18"/>
      <c r="Q56" s="5"/>
      <c r="R56" s="5"/>
      <c r="S56" s="5"/>
      <c r="T56" s="5"/>
      <c r="U56" s="5"/>
      <c r="V56" s="5"/>
      <c r="W56" s="5"/>
      <c r="X56" s="5"/>
      <c r="Y56" s="5"/>
      <c r="Z56" s="5"/>
    </row>
    <row r="57" spans="1:26" ht="12.75" customHeight="1" x14ac:dyDescent="0.2">
      <c r="A57" s="5"/>
      <c r="B57" s="5"/>
      <c r="C57" s="5"/>
      <c r="D57" s="5"/>
      <c r="E57" s="5"/>
      <c r="F57" s="5"/>
      <c r="G57" s="5"/>
      <c r="H57" s="5"/>
      <c r="I57" s="5"/>
      <c r="J57" s="5"/>
      <c r="K57" s="5"/>
      <c r="L57" s="5"/>
      <c r="M57" s="5"/>
      <c r="N57" s="5"/>
      <c r="O57" s="5"/>
      <c r="P57" s="18"/>
      <c r="Q57" s="5"/>
      <c r="R57" s="5"/>
      <c r="S57" s="5"/>
      <c r="T57" s="5"/>
      <c r="U57" s="5"/>
      <c r="V57" s="5"/>
      <c r="W57" s="5"/>
      <c r="X57" s="5"/>
      <c r="Y57" s="5"/>
      <c r="Z57" s="5"/>
    </row>
    <row r="58" spans="1:26" ht="12.75" customHeight="1" x14ac:dyDescent="0.2">
      <c r="A58" s="5"/>
      <c r="B58" s="5"/>
      <c r="C58" s="5"/>
      <c r="D58" s="5"/>
      <c r="E58" s="5"/>
      <c r="F58" s="5"/>
      <c r="G58" s="5"/>
      <c r="H58" s="5"/>
      <c r="I58" s="5"/>
      <c r="J58" s="5"/>
      <c r="K58" s="5"/>
      <c r="L58" s="5"/>
      <c r="M58" s="5"/>
      <c r="N58" s="5"/>
      <c r="O58" s="5"/>
      <c r="P58" s="18"/>
      <c r="Q58" s="5"/>
      <c r="R58" s="5"/>
      <c r="S58" s="5"/>
      <c r="T58" s="5"/>
      <c r="U58" s="5"/>
      <c r="V58" s="5"/>
      <c r="W58" s="5"/>
      <c r="X58" s="5"/>
      <c r="Y58" s="5"/>
      <c r="Z58" s="5"/>
    </row>
    <row r="59" spans="1:26" ht="12.75" customHeight="1" x14ac:dyDescent="0.2">
      <c r="A59" s="5"/>
      <c r="B59" s="5"/>
      <c r="C59" s="5"/>
      <c r="D59" s="5"/>
      <c r="E59" s="5"/>
      <c r="F59" s="5"/>
      <c r="G59" s="5"/>
      <c r="H59" s="5"/>
      <c r="I59" s="5"/>
      <c r="J59" s="5"/>
      <c r="K59" s="5"/>
      <c r="L59" s="5"/>
      <c r="M59" s="5"/>
      <c r="N59" s="5"/>
      <c r="O59" s="5"/>
      <c r="P59" s="18"/>
      <c r="Q59" s="5"/>
      <c r="R59" s="5"/>
      <c r="S59" s="5"/>
      <c r="T59" s="5"/>
      <c r="U59" s="5"/>
      <c r="V59" s="5"/>
      <c r="W59" s="5"/>
      <c r="X59" s="5"/>
      <c r="Y59" s="5"/>
      <c r="Z59" s="5"/>
    </row>
    <row r="60" spans="1:26" ht="12.75" customHeight="1" x14ac:dyDescent="0.2">
      <c r="A60" s="5"/>
      <c r="B60" s="5"/>
      <c r="C60" s="5"/>
      <c r="D60" s="5"/>
      <c r="E60" s="5"/>
      <c r="F60" s="5"/>
      <c r="G60" s="5"/>
      <c r="H60" s="5"/>
      <c r="I60" s="5"/>
      <c r="J60" s="5"/>
      <c r="K60" s="5"/>
      <c r="L60" s="5"/>
      <c r="M60" s="5"/>
      <c r="N60" s="5"/>
      <c r="O60" s="5"/>
      <c r="P60" s="18"/>
      <c r="Q60" s="5"/>
      <c r="R60" s="5"/>
      <c r="S60" s="5"/>
      <c r="T60" s="5"/>
      <c r="U60" s="5"/>
      <c r="V60" s="5"/>
      <c r="W60" s="5"/>
      <c r="X60" s="5"/>
      <c r="Y60" s="5"/>
      <c r="Z60" s="5"/>
    </row>
    <row r="61" spans="1:26" ht="12.75" customHeight="1" x14ac:dyDescent="0.2">
      <c r="A61" s="5"/>
      <c r="B61" s="5"/>
      <c r="C61" s="5"/>
      <c r="D61" s="5"/>
      <c r="E61" s="5"/>
      <c r="F61" s="5"/>
      <c r="G61" s="5"/>
      <c r="H61" s="5"/>
      <c r="I61" s="5"/>
      <c r="J61" s="5"/>
      <c r="K61" s="5"/>
      <c r="L61" s="5"/>
      <c r="M61" s="5"/>
      <c r="N61" s="5"/>
      <c r="O61" s="5"/>
      <c r="P61" s="18"/>
      <c r="Q61" s="5"/>
      <c r="R61" s="5"/>
      <c r="S61" s="5"/>
      <c r="T61" s="5"/>
      <c r="U61" s="5"/>
      <c r="V61" s="5"/>
      <c r="W61" s="5"/>
      <c r="X61" s="5"/>
      <c r="Y61" s="5"/>
      <c r="Z61" s="5"/>
    </row>
    <row r="62" spans="1:26" ht="12.75" customHeight="1" x14ac:dyDescent="0.2">
      <c r="A62" s="5"/>
      <c r="B62" s="5"/>
      <c r="C62" s="5"/>
      <c r="D62" s="5"/>
      <c r="E62" s="5"/>
      <c r="F62" s="5"/>
      <c r="G62" s="5"/>
      <c r="H62" s="5"/>
      <c r="I62" s="5"/>
      <c r="J62" s="5"/>
      <c r="K62" s="5"/>
      <c r="L62" s="5"/>
      <c r="M62" s="5"/>
      <c r="N62" s="5"/>
      <c r="O62" s="5"/>
      <c r="P62" s="18"/>
      <c r="Q62" s="5"/>
      <c r="R62" s="5"/>
      <c r="S62" s="5"/>
      <c r="T62" s="5"/>
      <c r="U62" s="5"/>
      <c r="V62" s="5"/>
      <c r="W62" s="5"/>
      <c r="X62" s="5"/>
      <c r="Y62" s="5"/>
      <c r="Z62" s="5"/>
    </row>
    <row r="63" spans="1:26" ht="12.75" customHeight="1" x14ac:dyDescent="0.2">
      <c r="A63" s="5"/>
      <c r="B63" s="5"/>
      <c r="C63" s="5"/>
      <c r="D63" s="5"/>
      <c r="E63" s="5"/>
      <c r="F63" s="5"/>
      <c r="G63" s="5"/>
      <c r="H63" s="5"/>
      <c r="I63" s="5"/>
      <c r="J63" s="5"/>
      <c r="K63" s="5"/>
      <c r="L63" s="5"/>
      <c r="M63" s="5"/>
      <c r="N63" s="5"/>
      <c r="O63" s="5"/>
      <c r="P63" s="18"/>
      <c r="Q63" s="5"/>
      <c r="R63" s="5"/>
      <c r="S63" s="5"/>
      <c r="T63" s="5"/>
      <c r="U63" s="5"/>
      <c r="V63" s="5"/>
      <c r="W63" s="5"/>
      <c r="X63" s="5"/>
      <c r="Y63" s="5"/>
      <c r="Z63" s="5"/>
    </row>
    <row r="64" spans="1:26" ht="12.75" customHeight="1" x14ac:dyDescent="0.2">
      <c r="A64" s="5"/>
      <c r="B64" s="5"/>
      <c r="C64" s="5"/>
      <c r="D64" s="5"/>
      <c r="E64" s="5"/>
      <c r="F64" s="5"/>
      <c r="G64" s="5"/>
      <c r="H64" s="5"/>
      <c r="I64" s="5"/>
      <c r="J64" s="5"/>
      <c r="K64" s="5"/>
      <c r="L64" s="5"/>
      <c r="M64" s="5"/>
      <c r="N64" s="5"/>
      <c r="O64" s="5"/>
      <c r="P64" s="18"/>
      <c r="Q64" s="5"/>
      <c r="R64" s="5"/>
      <c r="S64" s="5"/>
      <c r="T64" s="5"/>
      <c r="U64" s="5"/>
      <c r="V64" s="5"/>
      <c r="W64" s="5"/>
      <c r="X64" s="5"/>
      <c r="Y64" s="5"/>
      <c r="Z64" s="5"/>
    </row>
    <row r="65" spans="1:26" ht="12.75" customHeight="1" x14ac:dyDescent="0.2">
      <c r="A65" s="5"/>
      <c r="B65" s="5"/>
      <c r="C65" s="5"/>
      <c r="D65" s="5"/>
      <c r="E65" s="5"/>
      <c r="F65" s="5"/>
      <c r="G65" s="5"/>
      <c r="H65" s="5"/>
      <c r="I65" s="5"/>
      <c r="J65" s="5"/>
      <c r="K65" s="5"/>
      <c r="L65" s="5"/>
      <c r="M65" s="5"/>
      <c r="N65" s="5"/>
      <c r="O65" s="5"/>
      <c r="P65" s="18"/>
      <c r="Q65" s="5"/>
      <c r="R65" s="5"/>
      <c r="S65" s="5"/>
      <c r="T65" s="5"/>
      <c r="U65" s="5"/>
      <c r="V65" s="5"/>
      <c r="W65" s="5"/>
      <c r="X65" s="5"/>
      <c r="Y65" s="5"/>
      <c r="Z65" s="5"/>
    </row>
    <row r="66" spans="1:26" ht="12.75" customHeight="1" x14ac:dyDescent="0.2">
      <c r="A66" s="5"/>
      <c r="B66" s="5"/>
      <c r="C66" s="5"/>
      <c r="D66" s="5"/>
      <c r="E66" s="5"/>
      <c r="F66" s="5"/>
      <c r="G66" s="5"/>
      <c r="H66" s="5"/>
      <c r="I66" s="5"/>
      <c r="J66" s="5"/>
      <c r="K66" s="5"/>
      <c r="L66" s="5"/>
      <c r="M66" s="5"/>
      <c r="N66" s="5"/>
      <c r="O66" s="5"/>
      <c r="P66" s="18"/>
      <c r="Q66" s="5"/>
      <c r="R66" s="5"/>
      <c r="S66" s="5"/>
      <c r="T66" s="5"/>
      <c r="U66" s="5"/>
      <c r="V66" s="5"/>
      <c r="W66" s="5"/>
      <c r="X66" s="5"/>
      <c r="Y66" s="5"/>
      <c r="Z66" s="5"/>
    </row>
    <row r="67" spans="1:26" ht="12.75" customHeight="1" x14ac:dyDescent="0.2">
      <c r="A67" s="5"/>
      <c r="B67" s="5"/>
      <c r="C67" s="5"/>
      <c r="D67" s="5"/>
      <c r="E67" s="5"/>
      <c r="F67" s="5"/>
      <c r="G67" s="5"/>
      <c r="H67" s="5"/>
      <c r="I67" s="5"/>
      <c r="J67" s="5"/>
      <c r="K67" s="5"/>
      <c r="L67" s="5"/>
      <c r="M67" s="5"/>
      <c r="N67" s="5"/>
      <c r="O67" s="5"/>
      <c r="P67" s="18"/>
      <c r="Q67" s="5"/>
      <c r="R67" s="5"/>
      <c r="S67" s="5"/>
      <c r="T67" s="5"/>
      <c r="U67" s="5"/>
      <c r="V67" s="5"/>
      <c r="W67" s="5"/>
      <c r="X67" s="5"/>
      <c r="Y67" s="5"/>
      <c r="Z67" s="5"/>
    </row>
    <row r="68" spans="1:26" ht="12.75" customHeight="1" x14ac:dyDescent="0.2">
      <c r="A68" s="5"/>
      <c r="B68" s="5"/>
      <c r="C68" s="5"/>
      <c r="D68" s="5"/>
      <c r="E68" s="5"/>
      <c r="F68" s="5"/>
      <c r="G68" s="5"/>
      <c r="H68" s="5"/>
      <c r="I68" s="5"/>
      <c r="J68" s="5"/>
      <c r="K68" s="5"/>
      <c r="L68" s="5"/>
      <c r="M68" s="5"/>
      <c r="N68" s="5"/>
      <c r="O68" s="5"/>
      <c r="P68" s="18"/>
      <c r="Q68" s="5"/>
      <c r="R68" s="5"/>
      <c r="S68" s="5"/>
      <c r="T68" s="5"/>
      <c r="U68" s="5"/>
      <c r="V68" s="5"/>
      <c r="W68" s="5"/>
      <c r="X68" s="5"/>
      <c r="Y68" s="5"/>
      <c r="Z68" s="5"/>
    </row>
    <row r="69" spans="1:26" ht="12.75" customHeight="1" x14ac:dyDescent="0.2">
      <c r="A69" s="5"/>
      <c r="B69" s="5"/>
      <c r="C69" s="5"/>
      <c r="D69" s="5"/>
      <c r="E69" s="5"/>
      <c r="F69" s="5"/>
      <c r="G69" s="5"/>
      <c r="H69" s="5"/>
      <c r="I69" s="5"/>
      <c r="J69" s="5"/>
      <c r="K69" s="5"/>
      <c r="L69" s="5"/>
      <c r="M69" s="5"/>
      <c r="N69" s="5"/>
      <c r="O69" s="5"/>
      <c r="P69" s="18"/>
      <c r="Q69" s="5"/>
      <c r="R69" s="5"/>
      <c r="S69" s="5"/>
      <c r="T69" s="5"/>
      <c r="U69" s="5"/>
      <c r="V69" s="5"/>
      <c r="W69" s="5"/>
      <c r="X69" s="5"/>
      <c r="Y69" s="5"/>
      <c r="Z69" s="5"/>
    </row>
    <row r="70" spans="1:26" ht="12.75" customHeight="1" x14ac:dyDescent="0.2">
      <c r="A70" s="5"/>
      <c r="B70" s="5"/>
      <c r="C70" s="5"/>
      <c r="D70" s="5"/>
      <c r="E70" s="5"/>
      <c r="F70" s="5"/>
      <c r="G70" s="5"/>
      <c r="H70" s="5"/>
      <c r="I70" s="5"/>
      <c r="J70" s="5"/>
      <c r="K70" s="5"/>
      <c r="L70" s="5"/>
      <c r="M70" s="5"/>
      <c r="N70" s="5"/>
      <c r="O70" s="5"/>
      <c r="P70" s="18"/>
      <c r="Q70" s="5"/>
      <c r="R70" s="5"/>
      <c r="S70" s="5"/>
      <c r="T70" s="5"/>
      <c r="U70" s="5"/>
      <c r="V70" s="5"/>
      <c r="W70" s="5"/>
      <c r="X70" s="5"/>
      <c r="Y70" s="5"/>
      <c r="Z70" s="5"/>
    </row>
    <row r="71" spans="1:26" ht="12.75" customHeight="1" x14ac:dyDescent="0.2">
      <c r="A71" s="5"/>
      <c r="B71" s="5"/>
      <c r="C71" s="5"/>
      <c r="D71" s="5"/>
      <c r="E71" s="5"/>
      <c r="F71" s="5"/>
      <c r="G71" s="5"/>
      <c r="H71" s="5"/>
      <c r="I71" s="5"/>
      <c r="J71" s="5"/>
      <c r="K71" s="5"/>
      <c r="L71" s="5"/>
      <c r="M71" s="5"/>
      <c r="N71" s="5"/>
      <c r="O71" s="5"/>
      <c r="P71" s="18"/>
      <c r="Q71" s="5"/>
      <c r="R71" s="5"/>
      <c r="S71" s="5"/>
      <c r="T71" s="5"/>
      <c r="U71" s="5"/>
      <c r="V71" s="5"/>
      <c r="W71" s="5"/>
      <c r="X71" s="5"/>
      <c r="Y71" s="5"/>
      <c r="Z71" s="5"/>
    </row>
    <row r="72" spans="1:26" ht="12.75" customHeight="1" x14ac:dyDescent="0.2">
      <c r="A72" s="5"/>
      <c r="B72" s="5"/>
      <c r="C72" s="5"/>
      <c r="D72" s="5"/>
      <c r="E72" s="5"/>
      <c r="F72" s="5"/>
      <c r="G72" s="5"/>
      <c r="H72" s="5"/>
      <c r="I72" s="5"/>
      <c r="J72" s="5"/>
      <c r="K72" s="5"/>
      <c r="L72" s="5"/>
      <c r="M72" s="5"/>
      <c r="N72" s="5"/>
      <c r="O72" s="5"/>
      <c r="P72" s="18"/>
      <c r="Q72" s="5"/>
      <c r="R72" s="5"/>
      <c r="S72" s="5"/>
      <c r="T72" s="5"/>
      <c r="U72" s="5"/>
      <c r="V72" s="5"/>
      <c r="W72" s="5"/>
      <c r="X72" s="5"/>
      <c r="Y72" s="5"/>
      <c r="Z72" s="5"/>
    </row>
    <row r="73" spans="1:26" ht="12.75" customHeight="1" x14ac:dyDescent="0.2">
      <c r="A73" s="5"/>
      <c r="B73" s="5"/>
      <c r="C73" s="5"/>
      <c r="D73" s="5"/>
      <c r="E73" s="5"/>
      <c r="F73" s="5"/>
      <c r="G73" s="5"/>
      <c r="H73" s="5"/>
      <c r="I73" s="5"/>
      <c r="J73" s="5"/>
      <c r="K73" s="5"/>
      <c r="L73" s="5"/>
      <c r="M73" s="5"/>
      <c r="N73" s="5"/>
      <c r="O73" s="5"/>
      <c r="P73" s="18"/>
      <c r="Q73" s="5"/>
      <c r="R73" s="5"/>
      <c r="S73" s="5"/>
      <c r="T73" s="5"/>
      <c r="U73" s="5"/>
      <c r="V73" s="5"/>
      <c r="W73" s="5"/>
      <c r="X73" s="5"/>
      <c r="Y73" s="5"/>
      <c r="Z73" s="5"/>
    </row>
    <row r="74" spans="1:26" ht="12.75" customHeight="1" x14ac:dyDescent="0.2">
      <c r="A74" s="5"/>
      <c r="B74" s="5"/>
      <c r="C74" s="5"/>
      <c r="D74" s="5"/>
      <c r="E74" s="5"/>
      <c r="F74" s="5"/>
      <c r="G74" s="5"/>
      <c r="H74" s="5"/>
      <c r="I74" s="5"/>
      <c r="J74" s="5"/>
      <c r="K74" s="5"/>
      <c r="L74" s="5"/>
      <c r="M74" s="5"/>
      <c r="N74" s="5"/>
      <c r="O74" s="5"/>
      <c r="P74" s="18"/>
      <c r="Q74" s="5"/>
      <c r="R74" s="5"/>
      <c r="S74" s="5"/>
      <c r="T74" s="5"/>
      <c r="U74" s="5"/>
      <c r="V74" s="5"/>
      <c r="W74" s="5"/>
      <c r="X74" s="5"/>
      <c r="Y74" s="5"/>
      <c r="Z74" s="5"/>
    </row>
    <row r="75" spans="1:26" ht="12.75" customHeight="1" x14ac:dyDescent="0.2">
      <c r="A75" s="5"/>
      <c r="B75" s="5"/>
      <c r="C75" s="5"/>
      <c r="D75" s="5"/>
      <c r="E75" s="5"/>
      <c r="F75" s="5"/>
      <c r="G75" s="5"/>
      <c r="H75" s="5"/>
      <c r="I75" s="5"/>
      <c r="J75" s="5"/>
      <c r="K75" s="5"/>
      <c r="L75" s="5"/>
      <c r="M75" s="5"/>
      <c r="N75" s="5"/>
      <c r="O75" s="5"/>
      <c r="P75" s="18"/>
      <c r="Q75" s="5"/>
      <c r="R75" s="5"/>
      <c r="S75" s="5"/>
      <c r="T75" s="5"/>
      <c r="U75" s="5"/>
      <c r="V75" s="5"/>
      <c r="W75" s="5"/>
      <c r="X75" s="5"/>
      <c r="Y75" s="5"/>
      <c r="Z75" s="5"/>
    </row>
    <row r="76" spans="1:26" ht="12.75" customHeight="1" x14ac:dyDescent="0.2">
      <c r="A76" s="5"/>
      <c r="B76" s="5"/>
      <c r="C76" s="5"/>
      <c r="D76" s="5"/>
      <c r="E76" s="5"/>
      <c r="F76" s="5"/>
      <c r="G76" s="5"/>
      <c r="H76" s="5"/>
      <c r="I76" s="5"/>
      <c r="J76" s="5"/>
      <c r="K76" s="5"/>
      <c r="L76" s="5"/>
      <c r="M76" s="5"/>
      <c r="N76" s="5"/>
      <c r="O76" s="5"/>
      <c r="P76" s="18"/>
      <c r="Q76" s="5"/>
      <c r="R76" s="5"/>
      <c r="S76" s="5"/>
      <c r="T76" s="5"/>
      <c r="U76" s="5"/>
      <c r="V76" s="5"/>
      <c r="W76" s="5"/>
      <c r="X76" s="5"/>
      <c r="Y76" s="5"/>
      <c r="Z76" s="5"/>
    </row>
    <row r="77" spans="1:26" ht="12.75" customHeight="1" x14ac:dyDescent="0.2">
      <c r="A77" s="5"/>
      <c r="B77" s="5"/>
      <c r="C77" s="5"/>
      <c r="D77" s="5"/>
      <c r="E77" s="5"/>
      <c r="F77" s="5"/>
      <c r="G77" s="5"/>
      <c r="H77" s="5"/>
      <c r="I77" s="5"/>
      <c r="J77" s="5"/>
      <c r="K77" s="5"/>
      <c r="L77" s="5"/>
      <c r="M77" s="5"/>
      <c r="N77" s="5"/>
      <c r="O77" s="5"/>
      <c r="P77" s="18"/>
      <c r="Q77" s="5"/>
      <c r="R77" s="5"/>
      <c r="S77" s="5"/>
      <c r="T77" s="5"/>
      <c r="U77" s="5"/>
      <c r="V77" s="5"/>
      <c r="W77" s="5"/>
      <c r="X77" s="5"/>
      <c r="Y77" s="5"/>
      <c r="Z77" s="5"/>
    </row>
    <row r="78" spans="1:26" ht="12.75" customHeight="1" x14ac:dyDescent="0.2">
      <c r="A78" s="5"/>
      <c r="B78" s="5"/>
      <c r="C78" s="5"/>
      <c r="D78" s="5"/>
      <c r="E78" s="5"/>
      <c r="F78" s="5"/>
      <c r="G78" s="5"/>
      <c r="H78" s="5"/>
      <c r="I78" s="5"/>
      <c r="J78" s="5"/>
      <c r="K78" s="5"/>
      <c r="L78" s="5"/>
      <c r="M78" s="5"/>
      <c r="N78" s="5"/>
      <c r="O78" s="5"/>
      <c r="P78" s="18"/>
      <c r="Q78" s="5"/>
      <c r="R78" s="5"/>
      <c r="S78" s="5"/>
      <c r="T78" s="5"/>
      <c r="U78" s="5"/>
      <c r="V78" s="5"/>
      <c r="W78" s="5"/>
      <c r="X78" s="5"/>
      <c r="Y78" s="5"/>
      <c r="Z78" s="5"/>
    </row>
    <row r="79" spans="1:26" ht="12.75" customHeight="1" x14ac:dyDescent="0.2">
      <c r="A79" s="5"/>
      <c r="B79" s="5"/>
      <c r="C79" s="5"/>
      <c r="D79" s="5"/>
      <c r="E79" s="5"/>
      <c r="F79" s="5"/>
      <c r="G79" s="5"/>
      <c r="H79" s="5"/>
      <c r="I79" s="5"/>
      <c r="J79" s="5"/>
      <c r="K79" s="5"/>
      <c r="L79" s="5"/>
      <c r="M79" s="5"/>
      <c r="N79" s="5"/>
      <c r="O79" s="5"/>
      <c r="P79" s="18"/>
      <c r="Q79" s="5"/>
      <c r="R79" s="5"/>
      <c r="S79" s="5"/>
      <c r="T79" s="5"/>
      <c r="U79" s="5"/>
      <c r="V79" s="5"/>
      <c r="W79" s="5"/>
      <c r="X79" s="5"/>
      <c r="Y79" s="5"/>
      <c r="Z79" s="5"/>
    </row>
    <row r="80" spans="1:26" ht="12.75" customHeight="1" x14ac:dyDescent="0.2">
      <c r="A80" s="5"/>
      <c r="B80" s="5"/>
      <c r="C80" s="5"/>
      <c r="D80" s="5"/>
      <c r="E80" s="5"/>
      <c r="F80" s="5"/>
      <c r="G80" s="5"/>
      <c r="H80" s="5"/>
      <c r="I80" s="5"/>
      <c r="J80" s="5"/>
      <c r="K80" s="5"/>
      <c r="L80" s="5"/>
      <c r="M80" s="5"/>
      <c r="N80" s="5"/>
      <c r="O80" s="5"/>
      <c r="P80" s="18"/>
      <c r="Q80" s="5"/>
      <c r="R80" s="5"/>
      <c r="S80" s="5"/>
      <c r="T80" s="5"/>
      <c r="U80" s="5"/>
      <c r="V80" s="5"/>
      <c r="W80" s="5"/>
      <c r="X80" s="5"/>
      <c r="Y80" s="5"/>
      <c r="Z80" s="5"/>
    </row>
    <row r="81" spans="1:26" ht="12.75" customHeight="1" x14ac:dyDescent="0.2">
      <c r="A81" s="5"/>
      <c r="B81" s="5"/>
      <c r="C81" s="5"/>
      <c r="D81" s="5"/>
      <c r="E81" s="5"/>
      <c r="F81" s="5"/>
      <c r="G81" s="5"/>
      <c r="H81" s="5"/>
      <c r="I81" s="5"/>
      <c r="J81" s="5"/>
      <c r="K81" s="5"/>
      <c r="L81" s="5"/>
      <c r="M81" s="5"/>
      <c r="N81" s="5"/>
      <c r="O81" s="5"/>
      <c r="P81" s="18"/>
      <c r="Q81" s="5"/>
      <c r="R81" s="5"/>
      <c r="S81" s="5"/>
      <c r="T81" s="5"/>
      <c r="U81" s="5"/>
      <c r="V81" s="5"/>
      <c r="W81" s="5"/>
      <c r="X81" s="5"/>
      <c r="Y81" s="5"/>
      <c r="Z81" s="5"/>
    </row>
    <row r="82" spans="1:26" ht="12.75" customHeight="1" x14ac:dyDescent="0.2">
      <c r="A82" s="5"/>
      <c r="B82" s="5"/>
      <c r="C82" s="5"/>
      <c r="D82" s="5"/>
      <c r="E82" s="5"/>
      <c r="F82" s="5"/>
      <c r="G82" s="5"/>
      <c r="H82" s="5"/>
      <c r="I82" s="5"/>
      <c r="J82" s="5"/>
      <c r="K82" s="5"/>
      <c r="L82" s="5"/>
      <c r="M82" s="5"/>
      <c r="N82" s="5"/>
      <c r="O82" s="5"/>
      <c r="P82" s="18"/>
      <c r="Q82" s="5"/>
      <c r="R82" s="5"/>
      <c r="S82" s="5"/>
      <c r="T82" s="5"/>
      <c r="U82" s="5"/>
      <c r="V82" s="5"/>
      <c r="W82" s="5"/>
      <c r="X82" s="5"/>
      <c r="Y82" s="5"/>
      <c r="Z82" s="5"/>
    </row>
    <row r="83" spans="1:26" ht="12.75" customHeight="1" x14ac:dyDescent="0.2">
      <c r="A83" s="5"/>
      <c r="B83" s="5"/>
      <c r="C83" s="5"/>
      <c r="D83" s="5"/>
      <c r="E83" s="5"/>
      <c r="F83" s="5"/>
      <c r="G83" s="5"/>
      <c r="H83" s="5"/>
      <c r="I83" s="5"/>
      <c r="J83" s="5"/>
      <c r="K83" s="5"/>
      <c r="L83" s="5"/>
      <c r="M83" s="5"/>
      <c r="N83" s="5"/>
      <c r="O83" s="5"/>
      <c r="P83" s="18"/>
      <c r="Q83" s="5"/>
      <c r="R83" s="5"/>
      <c r="S83" s="5"/>
      <c r="T83" s="5"/>
      <c r="U83" s="5"/>
      <c r="V83" s="5"/>
      <c r="W83" s="5"/>
      <c r="X83" s="5"/>
      <c r="Y83" s="5"/>
      <c r="Z83" s="5"/>
    </row>
    <row r="84" spans="1:26" ht="12.75" customHeight="1" x14ac:dyDescent="0.2">
      <c r="A84" s="5"/>
      <c r="B84" s="5"/>
      <c r="C84" s="5"/>
      <c r="D84" s="5"/>
      <c r="E84" s="5"/>
      <c r="F84" s="5"/>
      <c r="G84" s="5"/>
      <c r="H84" s="5"/>
      <c r="I84" s="5"/>
      <c r="J84" s="5"/>
      <c r="K84" s="5"/>
      <c r="L84" s="5"/>
      <c r="M84" s="5"/>
      <c r="N84" s="5"/>
      <c r="O84" s="5"/>
      <c r="P84" s="18"/>
      <c r="Q84" s="5"/>
      <c r="R84" s="5"/>
      <c r="S84" s="5"/>
      <c r="T84" s="5"/>
      <c r="U84" s="5"/>
      <c r="V84" s="5"/>
      <c r="W84" s="5"/>
      <c r="X84" s="5"/>
      <c r="Y84" s="5"/>
      <c r="Z84" s="5"/>
    </row>
    <row r="85" spans="1:26" ht="12.75" customHeight="1" x14ac:dyDescent="0.2">
      <c r="A85" s="5"/>
      <c r="B85" s="5"/>
      <c r="C85" s="5"/>
      <c r="D85" s="5"/>
      <c r="E85" s="5"/>
      <c r="F85" s="5"/>
      <c r="G85" s="5"/>
      <c r="H85" s="5"/>
      <c r="I85" s="5"/>
      <c r="J85" s="5"/>
      <c r="K85" s="5"/>
      <c r="L85" s="5"/>
      <c r="M85" s="5"/>
      <c r="N85" s="5"/>
      <c r="O85" s="5"/>
      <c r="P85" s="18"/>
      <c r="Q85" s="5"/>
      <c r="R85" s="5"/>
      <c r="S85" s="5"/>
      <c r="T85" s="5"/>
      <c r="U85" s="5"/>
      <c r="V85" s="5"/>
      <c r="W85" s="5"/>
      <c r="X85" s="5"/>
      <c r="Y85" s="5"/>
      <c r="Z85" s="5"/>
    </row>
    <row r="86" spans="1:26" ht="12.75" customHeight="1" x14ac:dyDescent="0.2">
      <c r="A86" s="5"/>
      <c r="B86" s="5"/>
      <c r="C86" s="5"/>
      <c r="D86" s="5"/>
      <c r="E86" s="5"/>
      <c r="F86" s="5"/>
      <c r="G86" s="5"/>
      <c r="H86" s="5"/>
      <c r="I86" s="5"/>
      <c r="J86" s="5"/>
      <c r="K86" s="5"/>
      <c r="L86" s="5"/>
      <c r="M86" s="5"/>
      <c r="N86" s="5"/>
      <c r="O86" s="5"/>
      <c r="P86" s="18"/>
      <c r="Q86" s="5"/>
      <c r="R86" s="5"/>
      <c r="S86" s="5"/>
      <c r="T86" s="5"/>
      <c r="U86" s="5"/>
      <c r="V86" s="5"/>
      <c r="W86" s="5"/>
      <c r="X86" s="5"/>
      <c r="Y86" s="5"/>
      <c r="Z86" s="5"/>
    </row>
    <row r="87" spans="1:26" ht="12.75" customHeight="1" x14ac:dyDescent="0.2">
      <c r="A87" s="5"/>
      <c r="B87" s="5"/>
      <c r="C87" s="5"/>
      <c r="D87" s="5"/>
      <c r="E87" s="5"/>
      <c r="F87" s="5"/>
      <c r="G87" s="5"/>
      <c r="H87" s="5"/>
      <c r="I87" s="5"/>
      <c r="J87" s="5"/>
      <c r="K87" s="5"/>
      <c r="L87" s="5"/>
      <c r="M87" s="5"/>
      <c r="N87" s="5"/>
      <c r="O87" s="5"/>
      <c r="P87" s="18"/>
      <c r="Q87" s="5"/>
      <c r="R87" s="5"/>
      <c r="S87" s="5"/>
      <c r="T87" s="5"/>
      <c r="U87" s="5"/>
      <c r="V87" s="5"/>
      <c r="W87" s="5"/>
      <c r="X87" s="5"/>
      <c r="Y87" s="5"/>
      <c r="Z87" s="5"/>
    </row>
    <row r="88" spans="1:26" ht="12.75" customHeight="1" x14ac:dyDescent="0.2">
      <c r="A88" s="5"/>
      <c r="B88" s="5"/>
      <c r="C88" s="5"/>
      <c r="D88" s="5"/>
      <c r="E88" s="5"/>
      <c r="F88" s="5"/>
      <c r="G88" s="5"/>
      <c r="H88" s="5"/>
      <c r="I88" s="5"/>
      <c r="J88" s="5"/>
      <c r="K88" s="5"/>
      <c r="L88" s="5"/>
      <c r="M88" s="5"/>
      <c r="N88" s="5"/>
      <c r="O88" s="5"/>
      <c r="P88" s="18"/>
      <c r="Q88" s="5"/>
      <c r="R88" s="5"/>
      <c r="S88" s="5"/>
      <c r="T88" s="5"/>
      <c r="U88" s="5"/>
      <c r="V88" s="5"/>
      <c r="W88" s="5"/>
      <c r="X88" s="5"/>
      <c r="Y88" s="5"/>
      <c r="Z88" s="5"/>
    </row>
    <row r="89" spans="1:26" ht="12.75" customHeight="1" x14ac:dyDescent="0.2">
      <c r="A89" s="5"/>
      <c r="B89" s="5"/>
      <c r="C89" s="5"/>
      <c r="D89" s="5"/>
      <c r="E89" s="5"/>
      <c r="F89" s="5"/>
      <c r="G89" s="5"/>
      <c r="H89" s="5"/>
      <c r="I89" s="5"/>
      <c r="J89" s="5"/>
      <c r="K89" s="5"/>
      <c r="L89" s="5"/>
      <c r="M89" s="5"/>
      <c r="N89" s="5"/>
      <c r="O89" s="5"/>
      <c r="P89" s="18"/>
      <c r="Q89" s="5"/>
      <c r="R89" s="5"/>
      <c r="S89" s="5"/>
      <c r="T89" s="5"/>
      <c r="U89" s="5"/>
      <c r="V89" s="5"/>
      <c r="W89" s="5"/>
      <c r="X89" s="5"/>
      <c r="Y89" s="5"/>
      <c r="Z89" s="5"/>
    </row>
    <row r="90" spans="1:26" ht="12.75" customHeight="1" x14ac:dyDescent="0.2">
      <c r="A90" s="5"/>
      <c r="B90" s="5"/>
      <c r="C90" s="5"/>
      <c r="D90" s="5"/>
      <c r="E90" s="5"/>
      <c r="F90" s="5"/>
      <c r="G90" s="5"/>
      <c r="H90" s="5"/>
      <c r="I90" s="5"/>
      <c r="J90" s="5"/>
      <c r="K90" s="5"/>
      <c r="L90" s="5"/>
      <c r="M90" s="5"/>
      <c r="N90" s="5"/>
      <c r="O90" s="5"/>
      <c r="P90" s="18"/>
      <c r="Q90" s="5"/>
      <c r="R90" s="5"/>
      <c r="S90" s="5"/>
      <c r="T90" s="5"/>
      <c r="U90" s="5"/>
      <c r="V90" s="5"/>
      <c r="W90" s="5"/>
      <c r="X90" s="5"/>
      <c r="Y90" s="5"/>
      <c r="Z90" s="5"/>
    </row>
    <row r="91" spans="1:26" ht="12.75" customHeight="1" x14ac:dyDescent="0.2">
      <c r="A91" s="5"/>
      <c r="B91" s="5"/>
      <c r="C91" s="5"/>
      <c r="D91" s="5"/>
      <c r="E91" s="5"/>
      <c r="F91" s="5"/>
      <c r="G91" s="5"/>
      <c r="H91" s="5"/>
      <c r="I91" s="5"/>
      <c r="J91" s="5"/>
      <c r="K91" s="5"/>
      <c r="L91" s="5"/>
      <c r="M91" s="5"/>
      <c r="N91" s="5"/>
      <c r="O91" s="5"/>
      <c r="P91" s="18"/>
      <c r="Q91" s="5"/>
      <c r="R91" s="5"/>
      <c r="S91" s="5"/>
      <c r="T91" s="5"/>
      <c r="U91" s="5"/>
      <c r="V91" s="5"/>
      <c r="W91" s="5"/>
      <c r="X91" s="5"/>
      <c r="Y91" s="5"/>
      <c r="Z91" s="5"/>
    </row>
    <row r="92" spans="1:26" ht="12.75" customHeight="1" x14ac:dyDescent="0.2">
      <c r="A92" s="5"/>
      <c r="B92" s="5"/>
      <c r="C92" s="5"/>
      <c r="D92" s="5"/>
      <c r="E92" s="5"/>
      <c r="F92" s="5"/>
      <c r="G92" s="5"/>
      <c r="H92" s="5"/>
      <c r="I92" s="5"/>
      <c r="J92" s="5"/>
      <c r="K92" s="5"/>
      <c r="L92" s="5"/>
      <c r="M92" s="5"/>
      <c r="N92" s="5"/>
      <c r="O92" s="5"/>
      <c r="P92" s="18"/>
      <c r="Q92" s="5"/>
      <c r="R92" s="5"/>
      <c r="S92" s="5"/>
      <c r="T92" s="5"/>
      <c r="U92" s="5"/>
      <c r="V92" s="5"/>
      <c r="W92" s="5"/>
      <c r="X92" s="5"/>
      <c r="Y92" s="5"/>
      <c r="Z92" s="5"/>
    </row>
    <row r="93" spans="1:26" ht="12.75" customHeight="1" x14ac:dyDescent="0.2">
      <c r="A93" s="5"/>
      <c r="B93" s="5"/>
      <c r="C93" s="5"/>
      <c r="D93" s="5"/>
      <c r="E93" s="5"/>
      <c r="F93" s="5"/>
      <c r="G93" s="5"/>
      <c r="H93" s="5"/>
      <c r="I93" s="5"/>
      <c r="J93" s="5"/>
      <c r="K93" s="5"/>
      <c r="L93" s="5"/>
      <c r="M93" s="5"/>
      <c r="N93" s="5"/>
      <c r="O93" s="5"/>
      <c r="P93" s="18"/>
      <c r="Q93" s="5"/>
      <c r="R93" s="5"/>
      <c r="S93" s="5"/>
      <c r="T93" s="5"/>
      <c r="U93" s="5"/>
      <c r="V93" s="5"/>
      <c r="W93" s="5"/>
      <c r="X93" s="5"/>
      <c r="Y93" s="5"/>
      <c r="Z93" s="5"/>
    </row>
    <row r="94" spans="1:26" ht="12.75" customHeight="1" x14ac:dyDescent="0.2">
      <c r="A94" s="5"/>
      <c r="B94" s="5"/>
      <c r="C94" s="5"/>
      <c r="D94" s="5"/>
      <c r="E94" s="5"/>
      <c r="F94" s="5"/>
      <c r="G94" s="5"/>
      <c r="H94" s="5"/>
      <c r="I94" s="5"/>
      <c r="J94" s="5"/>
      <c r="K94" s="5"/>
      <c r="L94" s="5"/>
      <c r="M94" s="5"/>
      <c r="N94" s="5"/>
      <c r="O94" s="5"/>
      <c r="P94" s="18"/>
      <c r="Q94" s="5"/>
      <c r="R94" s="5"/>
      <c r="S94" s="5"/>
      <c r="T94" s="5"/>
      <c r="U94" s="5"/>
      <c r="V94" s="5"/>
      <c r="W94" s="5"/>
      <c r="X94" s="5"/>
      <c r="Y94" s="5"/>
      <c r="Z94" s="5"/>
    </row>
    <row r="95" spans="1:26" ht="12.75" customHeight="1" x14ac:dyDescent="0.2">
      <c r="A95" s="5"/>
      <c r="B95" s="5"/>
      <c r="C95" s="5"/>
      <c r="D95" s="5"/>
      <c r="E95" s="5"/>
      <c r="F95" s="5"/>
      <c r="G95" s="5"/>
      <c r="H95" s="5"/>
      <c r="I95" s="5"/>
      <c r="J95" s="5"/>
      <c r="K95" s="5"/>
      <c r="L95" s="5"/>
      <c r="M95" s="5"/>
      <c r="N95" s="5"/>
      <c r="O95" s="5"/>
      <c r="P95" s="18"/>
      <c r="Q95" s="5"/>
      <c r="R95" s="5"/>
      <c r="S95" s="5"/>
      <c r="T95" s="5"/>
      <c r="U95" s="5"/>
      <c r="V95" s="5"/>
      <c r="W95" s="5"/>
      <c r="X95" s="5"/>
      <c r="Y95" s="5"/>
      <c r="Z95" s="5"/>
    </row>
    <row r="96" spans="1:26" ht="12.75" customHeight="1" x14ac:dyDescent="0.2">
      <c r="A96" s="5"/>
      <c r="B96" s="5"/>
      <c r="C96" s="5"/>
      <c r="D96" s="5"/>
      <c r="E96" s="5"/>
      <c r="F96" s="5"/>
      <c r="G96" s="5"/>
      <c r="H96" s="5"/>
      <c r="I96" s="5"/>
      <c r="J96" s="5"/>
      <c r="K96" s="5"/>
      <c r="L96" s="5"/>
      <c r="M96" s="5"/>
      <c r="N96" s="5"/>
      <c r="O96" s="5"/>
      <c r="P96" s="18"/>
      <c r="Q96" s="5"/>
      <c r="R96" s="5"/>
      <c r="S96" s="5"/>
      <c r="T96" s="5"/>
      <c r="U96" s="5"/>
      <c r="V96" s="5"/>
      <c r="W96" s="5"/>
      <c r="X96" s="5"/>
      <c r="Y96" s="5"/>
      <c r="Z96" s="5"/>
    </row>
    <row r="97" spans="1:26" ht="12.75" customHeight="1" x14ac:dyDescent="0.2">
      <c r="A97" s="5"/>
      <c r="B97" s="5"/>
      <c r="C97" s="5"/>
      <c r="D97" s="5"/>
      <c r="E97" s="5"/>
      <c r="F97" s="5"/>
      <c r="G97" s="5"/>
      <c r="H97" s="5"/>
      <c r="I97" s="5"/>
      <c r="J97" s="5"/>
      <c r="K97" s="5"/>
      <c r="L97" s="5"/>
      <c r="M97" s="5"/>
      <c r="N97" s="5"/>
      <c r="O97" s="5"/>
      <c r="P97" s="18"/>
      <c r="Q97" s="5"/>
      <c r="R97" s="5"/>
      <c r="S97" s="5"/>
      <c r="T97" s="5"/>
      <c r="U97" s="5"/>
      <c r="V97" s="5"/>
      <c r="W97" s="5"/>
      <c r="X97" s="5"/>
      <c r="Y97" s="5"/>
      <c r="Z97" s="5"/>
    </row>
    <row r="98" spans="1:26" ht="12.75" customHeight="1" x14ac:dyDescent="0.2">
      <c r="A98" s="5"/>
      <c r="B98" s="5"/>
      <c r="C98" s="5"/>
      <c r="D98" s="5"/>
      <c r="E98" s="5"/>
      <c r="F98" s="5"/>
      <c r="G98" s="5"/>
      <c r="H98" s="5"/>
      <c r="I98" s="5"/>
      <c r="J98" s="5"/>
      <c r="K98" s="5"/>
      <c r="L98" s="5"/>
      <c r="M98" s="5"/>
      <c r="N98" s="5"/>
      <c r="O98" s="5"/>
      <c r="P98" s="18"/>
      <c r="Q98" s="5"/>
      <c r="R98" s="5"/>
      <c r="S98" s="5"/>
      <c r="T98" s="5"/>
      <c r="U98" s="5"/>
      <c r="V98" s="5"/>
      <c r="W98" s="5"/>
      <c r="X98" s="5"/>
      <c r="Y98" s="5"/>
      <c r="Z98" s="5"/>
    </row>
    <row r="99" spans="1:26" ht="12.75" customHeight="1" x14ac:dyDescent="0.2">
      <c r="A99" s="5"/>
      <c r="B99" s="5"/>
      <c r="C99" s="5"/>
      <c r="D99" s="5"/>
      <c r="E99" s="5"/>
      <c r="F99" s="5"/>
      <c r="G99" s="5"/>
      <c r="H99" s="5"/>
      <c r="I99" s="5"/>
      <c r="J99" s="5"/>
      <c r="K99" s="5"/>
      <c r="L99" s="5"/>
      <c r="M99" s="5"/>
      <c r="N99" s="5"/>
      <c r="O99" s="5"/>
      <c r="P99" s="18"/>
      <c r="Q99" s="5"/>
      <c r="R99" s="5"/>
      <c r="S99" s="5"/>
      <c r="T99" s="5"/>
      <c r="U99" s="5"/>
      <c r="V99" s="5"/>
      <c r="W99" s="5"/>
      <c r="X99" s="5"/>
      <c r="Y99" s="5"/>
      <c r="Z99" s="5"/>
    </row>
    <row r="100" spans="1:26" ht="12.75" customHeight="1" x14ac:dyDescent="0.2">
      <c r="A100" s="5"/>
      <c r="B100" s="5"/>
      <c r="C100" s="5"/>
      <c r="D100" s="5"/>
      <c r="E100" s="5"/>
      <c r="F100" s="5"/>
      <c r="G100" s="5"/>
      <c r="H100" s="5"/>
      <c r="I100" s="5"/>
      <c r="J100" s="5"/>
      <c r="K100" s="5"/>
      <c r="L100" s="5"/>
      <c r="M100" s="5"/>
      <c r="N100" s="5"/>
      <c r="O100" s="5"/>
      <c r="P100" s="18"/>
      <c r="Q100" s="5"/>
      <c r="R100" s="5"/>
      <c r="S100" s="5"/>
      <c r="T100" s="5"/>
      <c r="U100" s="5"/>
      <c r="V100" s="5"/>
      <c r="W100" s="5"/>
      <c r="X100" s="5"/>
      <c r="Y100" s="5"/>
      <c r="Z100" s="5"/>
    </row>
    <row r="101" spans="1:26" ht="12.75" customHeight="1" x14ac:dyDescent="0.2">
      <c r="A101" s="5"/>
      <c r="B101" s="5"/>
      <c r="C101" s="5"/>
      <c r="D101" s="5"/>
      <c r="E101" s="5"/>
      <c r="F101" s="5"/>
      <c r="G101" s="5"/>
      <c r="H101" s="5"/>
      <c r="I101" s="5"/>
      <c r="J101" s="5"/>
      <c r="K101" s="5"/>
      <c r="L101" s="5"/>
      <c r="M101" s="5"/>
      <c r="N101" s="5"/>
      <c r="O101" s="5"/>
      <c r="P101" s="18"/>
      <c r="Q101" s="5"/>
      <c r="R101" s="5"/>
      <c r="S101" s="5"/>
      <c r="T101" s="5"/>
      <c r="U101" s="5"/>
      <c r="V101" s="5"/>
      <c r="W101" s="5"/>
      <c r="X101" s="5"/>
      <c r="Y101" s="5"/>
      <c r="Z101" s="5"/>
    </row>
    <row r="102" spans="1:26" ht="12.75" customHeight="1" x14ac:dyDescent="0.2">
      <c r="A102" s="5"/>
      <c r="B102" s="5"/>
      <c r="C102" s="5"/>
      <c r="D102" s="5"/>
      <c r="E102" s="5"/>
      <c r="F102" s="5"/>
      <c r="G102" s="5"/>
      <c r="H102" s="5"/>
      <c r="I102" s="5"/>
      <c r="J102" s="5"/>
      <c r="K102" s="5"/>
      <c r="L102" s="5"/>
      <c r="M102" s="5"/>
      <c r="N102" s="5"/>
      <c r="O102" s="5"/>
      <c r="P102" s="18"/>
      <c r="Q102" s="5"/>
      <c r="R102" s="5"/>
      <c r="S102" s="5"/>
      <c r="T102" s="5"/>
      <c r="U102" s="5"/>
      <c r="V102" s="5"/>
      <c r="W102" s="5"/>
      <c r="X102" s="5"/>
      <c r="Y102" s="5"/>
      <c r="Z102" s="5"/>
    </row>
    <row r="103" spans="1:26" ht="12.75" customHeight="1" x14ac:dyDescent="0.2">
      <c r="A103" s="5"/>
      <c r="B103" s="5"/>
      <c r="C103" s="5"/>
      <c r="D103" s="5"/>
      <c r="E103" s="5"/>
      <c r="F103" s="5"/>
      <c r="G103" s="5"/>
      <c r="H103" s="5"/>
      <c r="I103" s="5"/>
      <c r="J103" s="5"/>
      <c r="K103" s="5"/>
      <c r="L103" s="5"/>
      <c r="M103" s="5"/>
      <c r="N103" s="5"/>
      <c r="O103" s="5"/>
      <c r="P103" s="18"/>
      <c r="Q103" s="5"/>
      <c r="R103" s="5"/>
      <c r="S103" s="5"/>
      <c r="T103" s="5"/>
      <c r="U103" s="5"/>
      <c r="V103" s="5"/>
      <c r="W103" s="5"/>
      <c r="X103" s="5"/>
      <c r="Y103" s="5"/>
      <c r="Z103" s="5"/>
    </row>
    <row r="104" spans="1:26" ht="12.75" customHeight="1" x14ac:dyDescent="0.2">
      <c r="A104" s="5"/>
      <c r="B104" s="5"/>
      <c r="C104" s="5"/>
      <c r="D104" s="5"/>
      <c r="E104" s="5"/>
      <c r="F104" s="5"/>
      <c r="G104" s="5"/>
      <c r="H104" s="5"/>
      <c r="I104" s="5"/>
      <c r="J104" s="5"/>
      <c r="K104" s="5"/>
      <c r="L104" s="5"/>
      <c r="M104" s="5"/>
      <c r="N104" s="5"/>
      <c r="O104" s="5"/>
      <c r="P104" s="18"/>
      <c r="Q104" s="5"/>
      <c r="R104" s="5"/>
      <c r="S104" s="5"/>
      <c r="T104" s="5"/>
      <c r="U104" s="5"/>
      <c r="V104" s="5"/>
      <c r="W104" s="5"/>
      <c r="X104" s="5"/>
      <c r="Y104" s="5"/>
      <c r="Z104" s="5"/>
    </row>
    <row r="105" spans="1:26" ht="12.75" customHeight="1" x14ac:dyDescent="0.2">
      <c r="A105" s="5"/>
      <c r="B105" s="5"/>
      <c r="C105" s="5"/>
      <c r="D105" s="5"/>
      <c r="E105" s="5"/>
      <c r="F105" s="5"/>
      <c r="G105" s="5"/>
      <c r="H105" s="5"/>
      <c r="I105" s="5"/>
      <c r="J105" s="5"/>
      <c r="K105" s="5"/>
      <c r="L105" s="5"/>
      <c r="M105" s="5"/>
      <c r="N105" s="5"/>
      <c r="O105" s="5"/>
      <c r="P105" s="18"/>
      <c r="Q105" s="5"/>
      <c r="R105" s="5"/>
      <c r="S105" s="5"/>
      <c r="T105" s="5"/>
      <c r="U105" s="5"/>
      <c r="V105" s="5"/>
      <c r="W105" s="5"/>
      <c r="X105" s="5"/>
      <c r="Y105" s="5"/>
      <c r="Z105" s="5"/>
    </row>
    <row r="106" spans="1:26" ht="12.75" customHeight="1" x14ac:dyDescent="0.2">
      <c r="A106" s="5"/>
      <c r="B106" s="5"/>
      <c r="C106" s="5"/>
      <c r="D106" s="5"/>
      <c r="E106" s="5"/>
      <c r="F106" s="5"/>
      <c r="G106" s="5"/>
      <c r="H106" s="5"/>
      <c r="I106" s="5"/>
      <c r="J106" s="5"/>
      <c r="K106" s="5"/>
      <c r="L106" s="5"/>
      <c r="M106" s="5"/>
      <c r="N106" s="5"/>
      <c r="O106" s="5"/>
      <c r="P106" s="18"/>
      <c r="Q106" s="5"/>
      <c r="R106" s="5"/>
      <c r="S106" s="5"/>
      <c r="T106" s="5"/>
      <c r="U106" s="5"/>
      <c r="V106" s="5"/>
      <c r="W106" s="5"/>
      <c r="X106" s="5"/>
      <c r="Y106" s="5"/>
      <c r="Z106" s="5"/>
    </row>
    <row r="107" spans="1:26" ht="12.75" customHeight="1" x14ac:dyDescent="0.2">
      <c r="A107" s="5"/>
      <c r="B107" s="5"/>
      <c r="C107" s="5"/>
      <c r="D107" s="5"/>
      <c r="E107" s="5"/>
      <c r="F107" s="5"/>
      <c r="G107" s="5"/>
      <c r="H107" s="5"/>
      <c r="I107" s="5"/>
      <c r="J107" s="5"/>
      <c r="K107" s="5"/>
      <c r="L107" s="5"/>
      <c r="M107" s="5"/>
      <c r="N107" s="5"/>
      <c r="O107" s="5"/>
      <c r="P107" s="18"/>
      <c r="Q107" s="5"/>
      <c r="R107" s="5"/>
      <c r="S107" s="5"/>
      <c r="T107" s="5"/>
      <c r="U107" s="5"/>
      <c r="V107" s="5"/>
      <c r="W107" s="5"/>
      <c r="X107" s="5"/>
      <c r="Y107" s="5"/>
      <c r="Z107" s="5"/>
    </row>
    <row r="108" spans="1:26" ht="12.75" customHeight="1" x14ac:dyDescent="0.2">
      <c r="A108" s="5"/>
      <c r="B108" s="5"/>
      <c r="C108" s="5"/>
      <c r="D108" s="5"/>
      <c r="E108" s="5"/>
      <c r="F108" s="5"/>
      <c r="G108" s="5"/>
      <c r="H108" s="5"/>
      <c r="I108" s="5"/>
      <c r="J108" s="5"/>
      <c r="K108" s="5"/>
      <c r="L108" s="5"/>
      <c r="M108" s="5"/>
      <c r="N108" s="5"/>
      <c r="O108" s="5"/>
      <c r="P108" s="18"/>
      <c r="Q108" s="5"/>
      <c r="R108" s="5"/>
      <c r="S108" s="5"/>
      <c r="T108" s="5"/>
      <c r="U108" s="5"/>
      <c r="V108" s="5"/>
      <c r="W108" s="5"/>
      <c r="X108" s="5"/>
      <c r="Y108" s="5"/>
      <c r="Z108" s="5"/>
    </row>
    <row r="109" spans="1:26" ht="12.75" customHeight="1" x14ac:dyDescent="0.2">
      <c r="A109" s="5"/>
      <c r="B109" s="5"/>
      <c r="C109" s="5"/>
      <c r="D109" s="5"/>
      <c r="E109" s="5"/>
      <c r="F109" s="5"/>
      <c r="G109" s="5"/>
      <c r="H109" s="5"/>
      <c r="I109" s="5"/>
      <c r="J109" s="5"/>
      <c r="K109" s="5"/>
      <c r="L109" s="5"/>
      <c r="M109" s="5"/>
      <c r="N109" s="5"/>
      <c r="O109" s="5"/>
      <c r="P109" s="18"/>
      <c r="Q109" s="5"/>
      <c r="R109" s="5"/>
      <c r="S109" s="5"/>
      <c r="T109" s="5"/>
      <c r="U109" s="5"/>
      <c r="V109" s="5"/>
      <c r="W109" s="5"/>
      <c r="X109" s="5"/>
      <c r="Y109" s="5"/>
      <c r="Z109" s="5"/>
    </row>
    <row r="110" spans="1:26" ht="12.75" customHeight="1" x14ac:dyDescent="0.2">
      <c r="A110" s="5"/>
      <c r="B110" s="5"/>
      <c r="C110" s="5"/>
      <c r="D110" s="5"/>
      <c r="E110" s="5"/>
      <c r="F110" s="5"/>
      <c r="G110" s="5"/>
      <c r="H110" s="5"/>
      <c r="I110" s="5"/>
      <c r="J110" s="5"/>
      <c r="K110" s="5"/>
      <c r="L110" s="5"/>
      <c r="M110" s="5"/>
      <c r="N110" s="5"/>
      <c r="O110" s="5"/>
      <c r="P110" s="18"/>
      <c r="Q110" s="5"/>
      <c r="R110" s="5"/>
      <c r="S110" s="5"/>
      <c r="T110" s="5"/>
      <c r="U110" s="5"/>
      <c r="V110" s="5"/>
      <c r="W110" s="5"/>
      <c r="X110" s="5"/>
      <c r="Y110" s="5"/>
      <c r="Z110" s="5"/>
    </row>
    <row r="111" spans="1:26" ht="12.75" customHeight="1" x14ac:dyDescent="0.2">
      <c r="A111" s="5"/>
      <c r="B111" s="5"/>
      <c r="C111" s="5"/>
      <c r="D111" s="5"/>
      <c r="E111" s="5"/>
      <c r="F111" s="5"/>
      <c r="G111" s="5"/>
      <c r="H111" s="5"/>
      <c r="I111" s="5"/>
      <c r="J111" s="5"/>
      <c r="K111" s="5"/>
      <c r="L111" s="5"/>
      <c r="M111" s="5"/>
      <c r="N111" s="5"/>
      <c r="O111" s="5"/>
      <c r="P111" s="18"/>
      <c r="Q111" s="5"/>
      <c r="R111" s="5"/>
      <c r="S111" s="5"/>
      <c r="T111" s="5"/>
      <c r="U111" s="5"/>
      <c r="V111" s="5"/>
      <c r="W111" s="5"/>
      <c r="X111" s="5"/>
      <c r="Y111" s="5"/>
      <c r="Z111" s="5"/>
    </row>
    <row r="112" spans="1:26" ht="12.75" customHeight="1" x14ac:dyDescent="0.2">
      <c r="A112" s="5"/>
      <c r="B112" s="5"/>
      <c r="C112" s="5"/>
      <c r="D112" s="5"/>
      <c r="E112" s="5"/>
      <c r="F112" s="5"/>
      <c r="G112" s="5"/>
      <c r="H112" s="5"/>
      <c r="I112" s="5"/>
      <c r="J112" s="5"/>
      <c r="K112" s="5"/>
      <c r="L112" s="5"/>
      <c r="M112" s="5"/>
      <c r="N112" s="5"/>
      <c r="O112" s="5"/>
      <c r="P112" s="18"/>
      <c r="Q112" s="5"/>
      <c r="R112" s="5"/>
      <c r="S112" s="5"/>
      <c r="T112" s="5"/>
      <c r="U112" s="5"/>
      <c r="V112" s="5"/>
      <c r="W112" s="5"/>
      <c r="X112" s="5"/>
      <c r="Y112" s="5"/>
      <c r="Z112" s="5"/>
    </row>
    <row r="113" spans="1:26" ht="12.75" customHeight="1" x14ac:dyDescent="0.2">
      <c r="A113" s="5"/>
      <c r="B113" s="5"/>
      <c r="C113" s="5"/>
      <c r="D113" s="5"/>
      <c r="E113" s="5"/>
      <c r="F113" s="5"/>
      <c r="G113" s="5"/>
      <c r="H113" s="5"/>
      <c r="I113" s="5"/>
      <c r="J113" s="5"/>
      <c r="K113" s="5"/>
      <c r="L113" s="5"/>
      <c r="M113" s="5"/>
      <c r="N113" s="5"/>
      <c r="O113" s="5"/>
      <c r="P113" s="18"/>
      <c r="Q113" s="5"/>
      <c r="R113" s="5"/>
      <c r="S113" s="5"/>
      <c r="T113" s="5"/>
      <c r="U113" s="5"/>
      <c r="V113" s="5"/>
      <c r="W113" s="5"/>
      <c r="X113" s="5"/>
      <c r="Y113" s="5"/>
      <c r="Z113" s="5"/>
    </row>
    <row r="114" spans="1:26" ht="12.75" customHeight="1" x14ac:dyDescent="0.2">
      <c r="A114" s="5"/>
      <c r="B114" s="5"/>
      <c r="C114" s="5"/>
      <c r="D114" s="5"/>
      <c r="E114" s="5"/>
      <c r="F114" s="5"/>
      <c r="G114" s="5"/>
      <c r="H114" s="5"/>
      <c r="I114" s="5"/>
      <c r="J114" s="5"/>
      <c r="K114" s="5"/>
      <c r="L114" s="5"/>
      <c r="M114" s="5"/>
      <c r="N114" s="5"/>
      <c r="O114" s="5"/>
      <c r="P114" s="18"/>
      <c r="Q114" s="5"/>
      <c r="R114" s="5"/>
      <c r="S114" s="5"/>
      <c r="T114" s="5"/>
      <c r="U114" s="5"/>
      <c r="V114" s="5"/>
      <c r="W114" s="5"/>
      <c r="X114" s="5"/>
      <c r="Y114" s="5"/>
      <c r="Z114" s="5"/>
    </row>
    <row r="115" spans="1:26" ht="12.75" customHeight="1" x14ac:dyDescent="0.2">
      <c r="A115" s="5"/>
      <c r="B115" s="5"/>
      <c r="C115" s="5"/>
      <c r="D115" s="5"/>
      <c r="E115" s="5"/>
      <c r="F115" s="5"/>
      <c r="G115" s="5"/>
      <c r="H115" s="5"/>
      <c r="I115" s="5"/>
      <c r="J115" s="5"/>
      <c r="K115" s="5"/>
      <c r="L115" s="5"/>
      <c r="M115" s="5"/>
      <c r="N115" s="5"/>
      <c r="O115" s="5"/>
      <c r="P115" s="18"/>
      <c r="Q115" s="5"/>
      <c r="R115" s="5"/>
      <c r="S115" s="5"/>
      <c r="T115" s="5"/>
      <c r="U115" s="5"/>
      <c r="V115" s="5"/>
      <c r="W115" s="5"/>
      <c r="X115" s="5"/>
      <c r="Y115" s="5"/>
      <c r="Z115" s="5"/>
    </row>
    <row r="116" spans="1:26" ht="12.75" customHeight="1" x14ac:dyDescent="0.2">
      <c r="A116" s="5"/>
      <c r="B116" s="5"/>
      <c r="C116" s="5"/>
      <c r="D116" s="5"/>
      <c r="E116" s="5"/>
      <c r="F116" s="5"/>
      <c r="G116" s="5"/>
      <c r="H116" s="5"/>
      <c r="I116" s="5"/>
      <c r="J116" s="5"/>
      <c r="K116" s="5"/>
      <c r="L116" s="5"/>
      <c r="M116" s="5"/>
      <c r="N116" s="5"/>
      <c r="O116" s="5"/>
      <c r="P116" s="18"/>
      <c r="Q116" s="5"/>
      <c r="R116" s="5"/>
      <c r="S116" s="5"/>
      <c r="T116" s="5"/>
      <c r="U116" s="5"/>
      <c r="V116" s="5"/>
      <c r="W116" s="5"/>
      <c r="X116" s="5"/>
      <c r="Y116" s="5"/>
      <c r="Z116" s="5"/>
    </row>
    <row r="117" spans="1:26" ht="12.75" customHeight="1" x14ac:dyDescent="0.2">
      <c r="A117" s="5"/>
      <c r="B117" s="5"/>
      <c r="C117" s="5"/>
      <c r="D117" s="5"/>
      <c r="E117" s="5"/>
      <c r="F117" s="5"/>
      <c r="G117" s="5"/>
      <c r="H117" s="5"/>
      <c r="I117" s="5"/>
      <c r="J117" s="5"/>
      <c r="K117" s="5"/>
      <c r="L117" s="5"/>
      <c r="M117" s="5"/>
      <c r="N117" s="5"/>
      <c r="O117" s="5"/>
      <c r="P117" s="18"/>
      <c r="Q117" s="5"/>
      <c r="R117" s="5"/>
      <c r="S117" s="5"/>
      <c r="T117" s="5"/>
      <c r="U117" s="5"/>
      <c r="V117" s="5"/>
      <c r="W117" s="5"/>
      <c r="X117" s="5"/>
      <c r="Y117" s="5"/>
      <c r="Z117" s="5"/>
    </row>
    <row r="118" spans="1:26" ht="12.75" customHeight="1" x14ac:dyDescent="0.2">
      <c r="A118" s="5"/>
      <c r="B118" s="5"/>
      <c r="C118" s="5"/>
      <c r="D118" s="5"/>
      <c r="E118" s="5"/>
      <c r="F118" s="5"/>
      <c r="G118" s="5"/>
      <c r="H118" s="5"/>
      <c r="I118" s="5"/>
      <c r="J118" s="5"/>
      <c r="K118" s="5"/>
      <c r="L118" s="5"/>
      <c r="M118" s="5"/>
      <c r="N118" s="5"/>
      <c r="O118" s="5"/>
      <c r="P118" s="18"/>
      <c r="Q118" s="5"/>
      <c r="R118" s="5"/>
      <c r="S118" s="5"/>
      <c r="T118" s="5"/>
      <c r="U118" s="5"/>
      <c r="V118" s="5"/>
      <c r="W118" s="5"/>
      <c r="X118" s="5"/>
      <c r="Y118" s="5"/>
      <c r="Z118" s="5"/>
    </row>
    <row r="119" spans="1:26" ht="12.75" customHeight="1" x14ac:dyDescent="0.2">
      <c r="A119" s="5"/>
      <c r="B119" s="5"/>
      <c r="C119" s="5"/>
      <c r="D119" s="5"/>
      <c r="E119" s="5"/>
      <c r="F119" s="5"/>
      <c r="G119" s="5"/>
      <c r="H119" s="5"/>
      <c r="I119" s="5"/>
      <c r="J119" s="5"/>
      <c r="K119" s="5"/>
      <c r="L119" s="5"/>
      <c r="M119" s="5"/>
      <c r="N119" s="5"/>
      <c r="O119" s="5"/>
      <c r="P119" s="18"/>
      <c r="Q119" s="5"/>
      <c r="R119" s="5"/>
      <c r="S119" s="5"/>
      <c r="T119" s="5"/>
      <c r="U119" s="5"/>
      <c r="V119" s="5"/>
      <c r="W119" s="5"/>
      <c r="X119" s="5"/>
      <c r="Y119" s="5"/>
      <c r="Z119" s="5"/>
    </row>
    <row r="120" spans="1:26" ht="12.75" customHeight="1" x14ac:dyDescent="0.2">
      <c r="A120" s="5"/>
      <c r="B120" s="5"/>
      <c r="C120" s="5"/>
      <c r="D120" s="5"/>
      <c r="E120" s="5"/>
      <c r="F120" s="5"/>
      <c r="G120" s="5"/>
      <c r="H120" s="5"/>
      <c r="I120" s="5"/>
      <c r="J120" s="5"/>
      <c r="K120" s="5"/>
      <c r="L120" s="5"/>
      <c r="M120" s="5"/>
      <c r="N120" s="5"/>
      <c r="O120" s="5"/>
      <c r="P120" s="18"/>
      <c r="Q120" s="5"/>
      <c r="R120" s="5"/>
      <c r="S120" s="5"/>
      <c r="T120" s="5"/>
      <c r="U120" s="5"/>
      <c r="V120" s="5"/>
      <c r="W120" s="5"/>
      <c r="X120" s="5"/>
      <c r="Y120" s="5"/>
      <c r="Z120" s="5"/>
    </row>
    <row r="121" spans="1:26" ht="12.75" customHeight="1" x14ac:dyDescent="0.2">
      <c r="A121" s="5"/>
      <c r="B121" s="5"/>
      <c r="C121" s="5"/>
      <c r="D121" s="5"/>
      <c r="E121" s="5"/>
      <c r="F121" s="5"/>
      <c r="G121" s="5"/>
      <c r="H121" s="5"/>
      <c r="I121" s="5"/>
      <c r="J121" s="5"/>
      <c r="K121" s="5"/>
      <c r="L121" s="5"/>
      <c r="M121" s="5"/>
      <c r="N121" s="5"/>
      <c r="O121" s="5"/>
      <c r="P121" s="18"/>
      <c r="Q121" s="5"/>
      <c r="R121" s="5"/>
      <c r="S121" s="5"/>
      <c r="T121" s="5"/>
      <c r="U121" s="5"/>
      <c r="V121" s="5"/>
      <c r="W121" s="5"/>
      <c r="X121" s="5"/>
      <c r="Y121" s="5"/>
      <c r="Z121" s="5"/>
    </row>
    <row r="122" spans="1:26" ht="12.75" customHeight="1" x14ac:dyDescent="0.2">
      <c r="A122" s="5"/>
      <c r="B122" s="5"/>
      <c r="C122" s="5"/>
      <c r="D122" s="5"/>
      <c r="E122" s="5"/>
      <c r="F122" s="5"/>
      <c r="G122" s="5"/>
      <c r="H122" s="5"/>
      <c r="I122" s="5"/>
      <c r="J122" s="5"/>
      <c r="K122" s="5"/>
      <c r="L122" s="5"/>
      <c r="M122" s="5"/>
      <c r="N122" s="5"/>
      <c r="O122" s="5"/>
      <c r="P122" s="18"/>
      <c r="Q122" s="5"/>
      <c r="R122" s="5"/>
      <c r="S122" s="5"/>
      <c r="T122" s="5"/>
      <c r="U122" s="5"/>
      <c r="V122" s="5"/>
      <c r="W122" s="5"/>
      <c r="X122" s="5"/>
      <c r="Y122" s="5"/>
      <c r="Z122" s="5"/>
    </row>
    <row r="123" spans="1:26" ht="12.75" customHeight="1" x14ac:dyDescent="0.2">
      <c r="A123" s="5"/>
      <c r="B123" s="5"/>
      <c r="C123" s="5"/>
      <c r="D123" s="5"/>
      <c r="E123" s="5"/>
      <c r="F123" s="5"/>
      <c r="G123" s="5"/>
      <c r="H123" s="5"/>
      <c r="I123" s="5"/>
      <c r="J123" s="5"/>
      <c r="K123" s="5"/>
      <c r="L123" s="5"/>
      <c r="M123" s="5"/>
      <c r="N123" s="5"/>
      <c r="O123" s="5"/>
      <c r="P123" s="18"/>
      <c r="Q123" s="5"/>
      <c r="R123" s="5"/>
      <c r="S123" s="5"/>
      <c r="T123" s="5"/>
      <c r="U123" s="5"/>
      <c r="V123" s="5"/>
      <c r="W123" s="5"/>
      <c r="X123" s="5"/>
      <c r="Y123" s="5"/>
      <c r="Z123" s="5"/>
    </row>
    <row r="124" spans="1:26" ht="12.75" customHeight="1" x14ac:dyDescent="0.2">
      <c r="A124" s="5"/>
      <c r="B124" s="5"/>
      <c r="C124" s="5"/>
      <c r="D124" s="5"/>
      <c r="E124" s="5"/>
      <c r="F124" s="5"/>
      <c r="G124" s="5"/>
      <c r="H124" s="5"/>
      <c r="I124" s="5"/>
      <c r="J124" s="5"/>
      <c r="K124" s="5"/>
      <c r="L124" s="5"/>
      <c r="M124" s="5"/>
      <c r="N124" s="5"/>
      <c r="O124" s="5"/>
      <c r="P124" s="18"/>
      <c r="Q124" s="5"/>
      <c r="R124" s="5"/>
      <c r="S124" s="5"/>
      <c r="T124" s="5"/>
      <c r="U124" s="5"/>
      <c r="V124" s="5"/>
      <c r="W124" s="5"/>
      <c r="X124" s="5"/>
      <c r="Y124" s="5"/>
      <c r="Z124" s="5"/>
    </row>
    <row r="125" spans="1:26" ht="12.75" customHeight="1" x14ac:dyDescent="0.2">
      <c r="A125" s="5"/>
      <c r="B125" s="5"/>
      <c r="C125" s="5"/>
      <c r="D125" s="5"/>
      <c r="E125" s="5"/>
      <c r="F125" s="5"/>
      <c r="G125" s="5"/>
      <c r="H125" s="5"/>
      <c r="I125" s="5"/>
      <c r="J125" s="5"/>
      <c r="K125" s="5"/>
      <c r="L125" s="5"/>
      <c r="M125" s="5"/>
      <c r="N125" s="5"/>
      <c r="O125" s="5"/>
      <c r="P125" s="18"/>
      <c r="Q125" s="5"/>
      <c r="R125" s="5"/>
      <c r="S125" s="5"/>
      <c r="T125" s="5"/>
      <c r="U125" s="5"/>
      <c r="V125" s="5"/>
      <c r="W125" s="5"/>
      <c r="X125" s="5"/>
      <c r="Y125" s="5"/>
      <c r="Z125" s="5"/>
    </row>
    <row r="126" spans="1:26" ht="12.75" customHeight="1" x14ac:dyDescent="0.2">
      <c r="A126" s="5"/>
      <c r="B126" s="5"/>
      <c r="C126" s="5"/>
      <c r="D126" s="5"/>
      <c r="E126" s="5"/>
      <c r="F126" s="5"/>
      <c r="G126" s="5"/>
      <c r="H126" s="5"/>
      <c r="I126" s="5"/>
      <c r="J126" s="5"/>
      <c r="K126" s="5"/>
      <c r="L126" s="5"/>
      <c r="M126" s="5"/>
      <c r="N126" s="5"/>
      <c r="O126" s="5"/>
      <c r="P126" s="18"/>
      <c r="Q126" s="5"/>
      <c r="R126" s="5"/>
      <c r="S126" s="5"/>
      <c r="T126" s="5"/>
      <c r="U126" s="5"/>
      <c r="V126" s="5"/>
      <c r="W126" s="5"/>
      <c r="X126" s="5"/>
      <c r="Y126" s="5"/>
      <c r="Z126" s="5"/>
    </row>
    <row r="127" spans="1:26" ht="12.75" customHeight="1" x14ac:dyDescent="0.2">
      <c r="A127" s="5"/>
      <c r="B127" s="5"/>
      <c r="C127" s="5"/>
      <c r="D127" s="5"/>
      <c r="E127" s="5"/>
      <c r="F127" s="5"/>
      <c r="G127" s="5"/>
      <c r="H127" s="5"/>
      <c r="I127" s="5"/>
      <c r="J127" s="5"/>
      <c r="K127" s="5"/>
      <c r="L127" s="5"/>
      <c r="M127" s="5"/>
      <c r="N127" s="5"/>
      <c r="O127" s="5"/>
      <c r="P127" s="18"/>
      <c r="Q127" s="5"/>
      <c r="R127" s="5"/>
      <c r="S127" s="5"/>
      <c r="T127" s="5"/>
      <c r="U127" s="5"/>
      <c r="V127" s="5"/>
      <c r="W127" s="5"/>
      <c r="X127" s="5"/>
      <c r="Y127" s="5"/>
      <c r="Z127" s="5"/>
    </row>
    <row r="128" spans="1:26" ht="12.75" customHeight="1" x14ac:dyDescent="0.2">
      <c r="A128" s="5"/>
      <c r="B128" s="5"/>
      <c r="C128" s="5"/>
      <c r="D128" s="5"/>
      <c r="E128" s="5"/>
      <c r="F128" s="5"/>
      <c r="G128" s="5"/>
      <c r="H128" s="5"/>
      <c r="I128" s="5"/>
      <c r="J128" s="5"/>
      <c r="K128" s="5"/>
      <c r="L128" s="5"/>
      <c r="M128" s="5"/>
      <c r="N128" s="5"/>
      <c r="O128" s="5"/>
      <c r="P128" s="18"/>
      <c r="Q128" s="5"/>
      <c r="R128" s="5"/>
      <c r="S128" s="5"/>
      <c r="T128" s="5"/>
      <c r="U128" s="5"/>
      <c r="V128" s="5"/>
      <c r="W128" s="5"/>
      <c r="X128" s="5"/>
      <c r="Y128" s="5"/>
      <c r="Z128" s="5"/>
    </row>
    <row r="129" spans="1:26" ht="12.75" customHeight="1" x14ac:dyDescent="0.2">
      <c r="A129" s="5"/>
      <c r="B129" s="5"/>
      <c r="C129" s="5"/>
      <c r="D129" s="5"/>
      <c r="E129" s="5"/>
      <c r="F129" s="5"/>
      <c r="G129" s="5"/>
      <c r="H129" s="5"/>
      <c r="I129" s="5"/>
      <c r="J129" s="5"/>
      <c r="K129" s="5"/>
      <c r="L129" s="5"/>
      <c r="M129" s="5"/>
      <c r="N129" s="5"/>
      <c r="O129" s="5"/>
      <c r="P129" s="18"/>
      <c r="Q129" s="5"/>
      <c r="R129" s="5"/>
      <c r="S129" s="5"/>
      <c r="T129" s="5"/>
      <c r="U129" s="5"/>
      <c r="V129" s="5"/>
      <c r="W129" s="5"/>
      <c r="X129" s="5"/>
      <c r="Y129" s="5"/>
      <c r="Z129" s="5"/>
    </row>
    <row r="130" spans="1:26" ht="12.75" customHeight="1" x14ac:dyDescent="0.2">
      <c r="A130" s="5"/>
      <c r="B130" s="5"/>
      <c r="C130" s="5"/>
      <c r="D130" s="5"/>
      <c r="E130" s="5"/>
      <c r="F130" s="5"/>
      <c r="G130" s="5"/>
      <c r="H130" s="5"/>
      <c r="I130" s="5"/>
      <c r="J130" s="5"/>
      <c r="K130" s="5"/>
      <c r="L130" s="5"/>
      <c r="M130" s="5"/>
      <c r="N130" s="5"/>
      <c r="O130" s="5"/>
      <c r="P130" s="18"/>
      <c r="Q130" s="5"/>
      <c r="R130" s="5"/>
      <c r="S130" s="5"/>
      <c r="T130" s="5"/>
      <c r="U130" s="5"/>
      <c r="V130" s="5"/>
      <c r="W130" s="5"/>
      <c r="X130" s="5"/>
      <c r="Y130" s="5"/>
      <c r="Z130" s="5"/>
    </row>
    <row r="131" spans="1:26" ht="12.75" customHeight="1" x14ac:dyDescent="0.2">
      <c r="A131" s="5"/>
      <c r="B131" s="5"/>
      <c r="C131" s="5"/>
      <c r="D131" s="5"/>
      <c r="E131" s="5"/>
      <c r="F131" s="5"/>
      <c r="G131" s="5"/>
      <c r="H131" s="5"/>
      <c r="I131" s="5"/>
      <c r="J131" s="5"/>
      <c r="K131" s="5"/>
      <c r="L131" s="5"/>
      <c r="M131" s="5"/>
      <c r="N131" s="5"/>
      <c r="O131" s="5"/>
      <c r="P131" s="18"/>
      <c r="Q131" s="5"/>
      <c r="R131" s="5"/>
      <c r="S131" s="5"/>
      <c r="T131" s="5"/>
      <c r="U131" s="5"/>
      <c r="V131" s="5"/>
      <c r="W131" s="5"/>
      <c r="X131" s="5"/>
      <c r="Y131" s="5"/>
      <c r="Z131" s="5"/>
    </row>
    <row r="132" spans="1:26" ht="12.75" customHeight="1" x14ac:dyDescent="0.2">
      <c r="A132" s="5"/>
      <c r="B132" s="5"/>
      <c r="C132" s="5"/>
      <c r="D132" s="5"/>
      <c r="E132" s="5"/>
      <c r="F132" s="5"/>
      <c r="G132" s="5"/>
      <c r="H132" s="5"/>
      <c r="I132" s="5"/>
      <c r="J132" s="5"/>
      <c r="K132" s="5"/>
      <c r="L132" s="5"/>
      <c r="M132" s="5"/>
      <c r="N132" s="5"/>
      <c r="O132" s="5"/>
      <c r="P132" s="18"/>
      <c r="Q132" s="5"/>
      <c r="R132" s="5"/>
      <c r="S132" s="5"/>
      <c r="T132" s="5"/>
      <c r="U132" s="5"/>
      <c r="V132" s="5"/>
      <c r="W132" s="5"/>
      <c r="X132" s="5"/>
      <c r="Y132" s="5"/>
      <c r="Z132" s="5"/>
    </row>
    <row r="133" spans="1:26" ht="12.75" customHeight="1" x14ac:dyDescent="0.2">
      <c r="A133" s="5"/>
      <c r="B133" s="5"/>
      <c r="C133" s="5"/>
      <c r="D133" s="5"/>
      <c r="E133" s="5"/>
      <c r="F133" s="5"/>
      <c r="G133" s="5"/>
      <c r="H133" s="5"/>
      <c r="I133" s="5"/>
      <c r="J133" s="5"/>
      <c r="K133" s="5"/>
      <c r="L133" s="5"/>
      <c r="M133" s="5"/>
      <c r="N133" s="5"/>
      <c r="O133" s="5"/>
      <c r="P133" s="18"/>
      <c r="Q133" s="5"/>
      <c r="R133" s="5"/>
      <c r="S133" s="5"/>
      <c r="T133" s="5"/>
      <c r="U133" s="5"/>
      <c r="V133" s="5"/>
      <c r="W133" s="5"/>
      <c r="X133" s="5"/>
      <c r="Y133" s="5"/>
      <c r="Z133" s="5"/>
    </row>
    <row r="134" spans="1:26" ht="12.75" customHeight="1" x14ac:dyDescent="0.2">
      <c r="A134" s="5"/>
      <c r="B134" s="5"/>
      <c r="C134" s="5"/>
      <c r="D134" s="5"/>
      <c r="E134" s="5"/>
      <c r="F134" s="5"/>
      <c r="G134" s="5"/>
      <c r="H134" s="5"/>
      <c r="I134" s="5"/>
      <c r="J134" s="5"/>
      <c r="K134" s="5"/>
      <c r="L134" s="5"/>
      <c r="M134" s="5"/>
      <c r="N134" s="5"/>
      <c r="O134" s="5"/>
      <c r="P134" s="18"/>
      <c r="Q134" s="5"/>
      <c r="R134" s="5"/>
      <c r="S134" s="5"/>
      <c r="T134" s="5"/>
      <c r="U134" s="5"/>
      <c r="V134" s="5"/>
      <c r="W134" s="5"/>
      <c r="X134" s="5"/>
      <c r="Y134" s="5"/>
      <c r="Z134" s="5"/>
    </row>
    <row r="135" spans="1:26" ht="12.75" customHeight="1" x14ac:dyDescent="0.2">
      <c r="A135" s="5"/>
      <c r="B135" s="5"/>
      <c r="C135" s="5"/>
      <c r="D135" s="5"/>
      <c r="E135" s="5"/>
      <c r="F135" s="5"/>
      <c r="G135" s="5"/>
      <c r="H135" s="5"/>
      <c r="I135" s="5"/>
      <c r="J135" s="5"/>
      <c r="K135" s="5"/>
      <c r="L135" s="5"/>
      <c r="M135" s="5"/>
      <c r="N135" s="5"/>
      <c r="O135" s="5"/>
      <c r="P135" s="18"/>
      <c r="Q135" s="5"/>
      <c r="R135" s="5"/>
      <c r="S135" s="5"/>
      <c r="T135" s="5"/>
      <c r="U135" s="5"/>
      <c r="V135" s="5"/>
      <c r="W135" s="5"/>
      <c r="X135" s="5"/>
      <c r="Y135" s="5"/>
      <c r="Z135" s="5"/>
    </row>
    <row r="136" spans="1:26" ht="12.75" customHeight="1" x14ac:dyDescent="0.2">
      <c r="A136" s="5"/>
      <c r="B136" s="5"/>
      <c r="C136" s="5"/>
      <c r="D136" s="5"/>
      <c r="E136" s="5"/>
      <c r="F136" s="5"/>
      <c r="G136" s="5"/>
      <c r="H136" s="5"/>
      <c r="I136" s="5"/>
      <c r="J136" s="5"/>
      <c r="K136" s="5"/>
      <c r="L136" s="5"/>
      <c r="M136" s="5"/>
      <c r="N136" s="5"/>
      <c r="O136" s="5"/>
      <c r="P136" s="18"/>
      <c r="Q136" s="5"/>
      <c r="R136" s="5"/>
      <c r="S136" s="5"/>
      <c r="T136" s="5"/>
      <c r="U136" s="5"/>
      <c r="V136" s="5"/>
      <c r="W136" s="5"/>
      <c r="X136" s="5"/>
      <c r="Y136" s="5"/>
      <c r="Z136" s="5"/>
    </row>
    <row r="137" spans="1:26" ht="12.75" customHeight="1" x14ac:dyDescent="0.2">
      <c r="A137" s="5"/>
      <c r="B137" s="5"/>
      <c r="C137" s="5"/>
      <c r="D137" s="5"/>
      <c r="E137" s="5"/>
      <c r="F137" s="5"/>
      <c r="G137" s="5"/>
      <c r="H137" s="5"/>
      <c r="I137" s="5"/>
      <c r="J137" s="5"/>
      <c r="K137" s="5"/>
      <c r="L137" s="5"/>
      <c r="M137" s="5"/>
      <c r="N137" s="5"/>
      <c r="O137" s="5"/>
      <c r="P137" s="18"/>
      <c r="Q137" s="5"/>
      <c r="R137" s="5"/>
      <c r="S137" s="5"/>
      <c r="T137" s="5"/>
      <c r="U137" s="5"/>
      <c r="V137" s="5"/>
      <c r="W137" s="5"/>
      <c r="X137" s="5"/>
      <c r="Y137" s="5"/>
      <c r="Z137" s="5"/>
    </row>
    <row r="138" spans="1:26" ht="12.75" customHeight="1" x14ac:dyDescent="0.2">
      <c r="A138" s="5"/>
      <c r="B138" s="5"/>
      <c r="C138" s="5"/>
      <c r="D138" s="5"/>
      <c r="E138" s="5"/>
      <c r="F138" s="5"/>
      <c r="G138" s="5"/>
      <c r="H138" s="5"/>
      <c r="I138" s="5"/>
      <c r="J138" s="5"/>
      <c r="K138" s="5"/>
      <c r="L138" s="5"/>
      <c r="M138" s="5"/>
      <c r="N138" s="5"/>
      <c r="O138" s="5"/>
      <c r="P138" s="18"/>
      <c r="Q138" s="5"/>
      <c r="R138" s="5"/>
      <c r="S138" s="5"/>
      <c r="T138" s="5"/>
      <c r="U138" s="5"/>
      <c r="V138" s="5"/>
      <c r="W138" s="5"/>
      <c r="X138" s="5"/>
      <c r="Y138" s="5"/>
      <c r="Z138" s="5"/>
    </row>
    <row r="139" spans="1:26" ht="12.75" customHeight="1" x14ac:dyDescent="0.2">
      <c r="A139" s="5"/>
      <c r="B139" s="5"/>
      <c r="C139" s="5"/>
      <c r="D139" s="5"/>
      <c r="E139" s="5"/>
      <c r="F139" s="5"/>
      <c r="G139" s="5"/>
      <c r="H139" s="5"/>
      <c r="I139" s="5"/>
      <c r="J139" s="5"/>
      <c r="K139" s="5"/>
      <c r="L139" s="5"/>
      <c r="M139" s="5"/>
      <c r="N139" s="5"/>
      <c r="O139" s="5"/>
      <c r="P139" s="18"/>
      <c r="Q139" s="5"/>
      <c r="R139" s="5"/>
      <c r="S139" s="5"/>
      <c r="T139" s="5"/>
      <c r="U139" s="5"/>
      <c r="V139" s="5"/>
      <c r="W139" s="5"/>
      <c r="X139" s="5"/>
      <c r="Y139" s="5"/>
      <c r="Z139" s="5"/>
    </row>
    <row r="140" spans="1:26" ht="12.75" customHeight="1" x14ac:dyDescent="0.2">
      <c r="A140" s="5"/>
      <c r="B140" s="5"/>
      <c r="C140" s="5"/>
      <c r="D140" s="5"/>
      <c r="E140" s="5"/>
      <c r="F140" s="5"/>
      <c r="G140" s="5"/>
      <c r="H140" s="5"/>
      <c r="I140" s="5"/>
      <c r="J140" s="5"/>
      <c r="K140" s="5"/>
      <c r="L140" s="5"/>
      <c r="M140" s="5"/>
      <c r="N140" s="5"/>
      <c r="O140" s="5"/>
      <c r="P140" s="18"/>
      <c r="Q140" s="5"/>
      <c r="R140" s="5"/>
      <c r="S140" s="5"/>
      <c r="T140" s="5"/>
      <c r="U140" s="5"/>
      <c r="V140" s="5"/>
      <c r="W140" s="5"/>
      <c r="X140" s="5"/>
      <c r="Y140" s="5"/>
      <c r="Z140" s="5"/>
    </row>
    <row r="141" spans="1:26" ht="12.75" customHeight="1" x14ac:dyDescent="0.2">
      <c r="A141" s="5"/>
      <c r="B141" s="5"/>
      <c r="C141" s="5"/>
      <c r="D141" s="5"/>
      <c r="E141" s="5"/>
      <c r="F141" s="5"/>
      <c r="G141" s="5"/>
      <c r="H141" s="5"/>
      <c r="I141" s="5"/>
      <c r="J141" s="5"/>
      <c r="K141" s="5"/>
      <c r="L141" s="5"/>
      <c r="M141" s="5"/>
      <c r="N141" s="5"/>
      <c r="O141" s="5"/>
      <c r="P141" s="18"/>
      <c r="Q141" s="5"/>
      <c r="R141" s="5"/>
      <c r="S141" s="5"/>
      <c r="T141" s="5"/>
      <c r="U141" s="5"/>
      <c r="V141" s="5"/>
      <c r="W141" s="5"/>
      <c r="X141" s="5"/>
      <c r="Y141" s="5"/>
      <c r="Z141" s="5"/>
    </row>
    <row r="142" spans="1:26" ht="12.75" customHeight="1" x14ac:dyDescent="0.2">
      <c r="A142" s="5"/>
      <c r="B142" s="5"/>
      <c r="C142" s="5"/>
      <c r="D142" s="5"/>
      <c r="E142" s="5"/>
      <c r="F142" s="5"/>
      <c r="G142" s="5"/>
      <c r="H142" s="5"/>
      <c r="I142" s="5"/>
      <c r="J142" s="5"/>
      <c r="K142" s="5"/>
      <c r="L142" s="5"/>
      <c r="M142" s="5"/>
      <c r="N142" s="5"/>
      <c r="O142" s="5"/>
      <c r="P142" s="18"/>
      <c r="Q142" s="5"/>
      <c r="R142" s="5"/>
      <c r="S142" s="5"/>
      <c r="T142" s="5"/>
      <c r="U142" s="5"/>
      <c r="V142" s="5"/>
      <c r="W142" s="5"/>
      <c r="X142" s="5"/>
      <c r="Y142" s="5"/>
      <c r="Z142" s="5"/>
    </row>
    <row r="143" spans="1:26" ht="12.75" customHeight="1" x14ac:dyDescent="0.2">
      <c r="A143" s="5"/>
      <c r="B143" s="5"/>
      <c r="C143" s="5"/>
      <c r="D143" s="5"/>
      <c r="E143" s="5"/>
      <c r="F143" s="5"/>
      <c r="G143" s="5"/>
      <c r="H143" s="5"/>
      <c r="I143" s="5"/>
      <c r="J143" s="5"/>
      <c r="K143" s="5"/>
      <c r="L143" s="5"/>
      <c r="M143" s="5"/>
      <c r="N143" s="5"/>
      <c r="O143" s="5"/>
      <c r="P143" s="18"/>
      <c r="Q143" s="5"/>
      <c r="R143" s="5"/>
      <c r="S143" s="5"/>
      <c r="T143" s="5"/>
      <c r="U143" s="5"/>
      <c r="V143" s="5"/>
      <c r="W143" s="5"/>
      <c r="X143" s="5"/>
      <c r="Y143" s="5"/>
      <c r="Z143" s="5"/>
    </row>
    <row r="144" spans="1:26" ht="12.75" customHeight="1" x14ac:dyDescent="0.2">
      <c r="A144" s="5"/>
      <c r="B144" s="5"/>
      <c r="C144" s="5"/>
      <c r="D144" s="5"/>
      <c r="E144" s="5"/>
      <c r="F144" s="5"/>
      <c r="G144" s="5"/>
      <c r="H144" s="5"/>
      <c r="I144" s="5"/>
      <c r="J144" s="5"/>
      <c r="K144" s="5"/>
      <c r="L144" s="5"/>
      <c r="M144" s="5"/>
      <c r="N144" s="5"/>
      <c r="O144" s="5"/>
      <c r="P144" s="18"/>
      <c r="Q144" s="5"/>
      <c r="R144" s="5"/>
      <c r="S144" s="5"/>
      <c r="T144" s="5"/>
      <c r="U144" s="5"/>
      <c r="V144" s="5"/>
      <c r="W144" s="5"/>
      <c r="X144" s="5"/>
      <c r="Y144" s="5"/>
      <c r="Z144" s="5"/>
    </row>
    <row r="145" spans="1:26" ht="12.75" customHeight="1" x14ac:dyDescent="0.2">
      <c r="A145" s="5"/>
      <c r="B145" s="5"/>
      <c r="C145" s="5"/>
      <c r="D145" s="5"/>
      <c r="E145" s="5"/>
      <c r="F145" s="5"/>
      <c r="G145" s="5"/>
      <c r="H145" s="5"/>
      <c r="I145" s="5"/>
      <c r="J145" s="5"/>
      <c r="K145" s="5"/>
      <c r="L145" s="5"/>
      <c r="M145" s="5"/>
      <c r="N145" s="5"/>
      <c r="O145" s="5"/>
      <c r="P145" s="18"/>
      <c r="Q145" s="5"/>
      <c r="R145" s="5"/>
      <c r="S145" s="5"/>
      <c r="T145" s="5"/>
      <c r="U145" s="5"/>
      <c r="V145" s="5"/>
      <c r="W145" s="5"/>
      <c r="X145" s="5"/>
      <c r="Y145" s="5"/>
      <c r="Z145" s="5"/>
    </row>
    <row r="146" spans="1:26" ht="12.75" customHeight="1" x14ac:dyDescent="0.2">
      <c r="A146" s="5"/>
      <c r="B146" s="5"/>
      <c r="C146" s="5"/>
      <c r="D146" s="5"/>
      <c r="E146" s="5"/>
      <c r="F146" s="5"/>
      <c r="G146" s="5"/>
      <c r="H146" s="5"/>
      <c r="I146" s="5"/>
      <c r="J146" s="5"/>
      <c r="K146" s="5"/>
      <c r="L146" s="5"/>
      <c r="M146" s="5"/>
      <c r="N146" s="5"/>
      <c r="O146" s="5"/>
      <c r="P146" s="18"/>
      <c r="Q146" s="5"/>
      <c r="R146" s="5"/>
      <c r="S146" s="5"/>
      <c r="T146" s="5"/>
      <c r="U146" s="5"/>
      <c r="V146" s="5"/>
      <c r="W146" s="5"/>
      <c r="X146" s="5"/>
      <c r="Y146" s="5"/>
      <c r="Z146" s="5"/>
    </row>
    <row r="147" spans="1:26" ht="12.75" customHeight="1" x14ac:dyDescent="0.2">
      <c r="A147" s="5"/>
      <c r="B147" s="5"/>
      <c r="C147" s="5"/>
      <c r="D147" s="5"/>
      <c r="E147" s="5"/>
      <c r="F147" s="5"/>
      <c r="G147" s="5"/>
      <c r="H147" s="5"/>
      <c r="I147" s="5"/>
      <c r="J147" s="5"/>
      <c r="K147" s="5"/>
      <c r="L147" s="5"/>
      <c r="M147" s="5"/>
      <c r="N147" s="5"/>
      <c r="O147" s="5"/>
      <c r="P147" s="18"/>
      <c r="Q147" s="5"/>
      <c r="R147" s="5"/>
      <c r="S147" s="5"/>
      <c r="T147" s="5"/>
      <c r="U147" s="5"/>
      <c r="V147" s="5"/>
      <c r="W147" s="5"/>
      <c r="X147" s="5"/>
      <c r="Y147" s="5"/>
      <c r="Z147" s="5"/>
    </row>
    <row r="148" spans="1:26" ht="12.75" customHeight="1" x14ac:dyDescent="0.2">
      <c r="A148" s="5"/>
      <c r="B148" s="5"/>
      <c r="C148" s="5"/>
      <c r="D148" s="5"/>
      <c r="E148" s="5"/>
      <c r="F148" s="5"/>
      <c r="G148" s="5"/>
      <c r="H148" s="5"/>
      <c r="I148" s="5"/>
      <c r="J148" s="5"/>
      <c r="K148" s="5"/>
      <c r="L148" s="5"/>
      <c r="M148" s="5"/>
      <c r="N148" s="5"/>
      <c r="O148" s="5"/>
      <c r="P148" s="18"/>
      <c r="Q148" s="5"/>
      <c r="R148" s="5"/>
      <c r="S148" s="5"/>
      <c r="T148" s="5"/>
      <c r="U148" s="5"/>
      <c r="V148" s="5"/>
      <c r="W148" s="5"/>
      <c r="X148" s="5"/>
      <c r="Y148" s="5"/>
      <c r="Z148" s="5"/>
    </row>
    <row r="149" spans="1:26" ht="12.75" customHeight="1" x14ac:dyDescent="0.2">
      <c r="A149" s="5"/>
      <c r="B149" s="5"/>
      <c r="C149" s="5"/>
      <c r="D149" s="5"/>
      <c r="E149" s="5"/>
      <c r="F149" s="5"/>
      <c r="G149" s="5"/>
      <c r="H149" s="5"/>
      <c r="I149" s="5"/>
      <c r="J149" s="5"/>
      <c r="K149" s="5"/>
      <c r="L149" s="5"/>
      <c r="M149" s="5"/>
      <c r="N149" s="5"/>
      <c r="O149" s="5"/>
      <c r="P149" s="18"/>
      <c r="Q149" s="5"/>
      <c r="R149" s="5"/>
      <c r="S149" s="5"/>
      <c r="T149" s="5"/>
      <c r="U149" s="5"/>
      <c r="V149" s="5"/>
      <c r="W149" s="5"/>
      <c r="X149" s="5"/>
      <c r="Y149" s="5"/>
      <c r="Z149" s="5"/>
    </row>
    <row r="150" spans="1:26" ht="12.75" customHeight="1" x14ac:dyDescent="0.2">
      <c r="A150" s="5"/>
      <c r="B150" s="5"/>
      <c r="C150" s="5"/>
      <c r="D150" s="5"/>
      <c r="E150" s="5"/>
      <c r="F150" s="5"/>
      <c r="G150" s="5"/>
      <c r="H150" s="5"/>
      <c r="I150" s="5"/>
      <c r="J150" s="5"/>
      <c r="K150" s="5"/>
      <c r="L150" s="5"/>
      <c r="M150" s="5"/>
      <c r="N150" s="5"/>
      <c r="O150" s="5"/>
      <c r="P150" s="18"/>
      <c r="Q150" s="5"/>
      <c r="R150" s="5"/>
      <c r="S150" s="5"/>
      <c r="T150" s="5"/>
      <c r="U150" s="5"/>
      <c r="V150" s="5"/>
      <c r="W150" s="5"/>
      <c r="X150" s="5"/>
      <c r="Y150" s="5"/>
      <c r="Z150" s="5"/>
    </row>
    <row r="151" spans="1:26" ht="12.75" customHeight="1" x14ac:dyDescent="0.2">
      <c r="A151" s="5"/>
      <c r="B151" s="5"/>
      <c r="C151" s="5"/>
      <c r="D151" s="5"/>
      <c r="E151" s="5"/>
      <c r="F151" s="5"/>
      <c r="G151" s="5"/>
      <c r="H151" s="5"/>
      <c r="I151" s="5"/>
      <c r="J151" s="5"/>
      <c r="K151" s="5"/>
      <c r="L151" s="5"/>
      <c r="M151" s="5"/>
      <c r="N151" s="5"/>
      <c r="O151" s="5"/>
      <c r="P151" s="18"/>
      <c r="Q151" s="5"/>
      <c r="R151" s="5"/>
      <c r="S151" s="5"/>
      <c r="T151" s="5"/>
      <c r="U151" s="5"/>
      <c r="V151" s="5"/>
      <c r="W151" s="5"/>
      <c r="X151" s="5"/>
      <c r="Y151" s="5"/>
      <c r="Z151" s="5"/>
    </row>
    <row r="152" spans="1:26" ht="12.75" customHeight="1" x14ac:dyDescent="0.2">
      <c r="A152" s="5"/>
      <c r="B152" s="5"/>
      <c r="C152" s="5"/>
      <c r="D152" s="5"/>
      <c r="E152" s="5"/>
      <c r="F152" s="5"/>
      <c r="G152" s="5"/>
      <c r="H152" s="5"/>
      <c r="I152" s="5"/>
      <c r="J152" s="5"/>
      <c r="K152" s="5"/>
      <c r="L152" s="5"/>
      <c r="M152" s="5"/>
      <c r="N152" s="5"/>
      <c r="O152" s="5"/>
      <c r="P152" s="18"/>
      <c r="Q152" s="5"/>
      <c r="R152" s="5"/>
      <c r="S152" s="5"/>
      <c r="T152" s="5"/>
      <c r="U152" s="5"/>
      <c r="V152" s="5"/>
      <c r="W152" s="5"/>
      <c r="X152" s="5"/>
      <c r="Y152" s="5"/>
      <c r="Z152" s="5"/>
    </row>
    <row r="153" spans="1:26" ht="12.75" customHeight="1" x14ac:dyDescent="0.2">
      <c r="A153" s="5"/>
      <c r="B153" s="5"/>
      <c r="C153" s="5"/>
      <c r="D153" s="5"/>
      <c r="E153" s="5"/>
      <c r="F153" s="5"/>
      <c r="G153" s="5"/>
      <c r="H153" s="5"/>
      <c r="I153" s="5"/>
      <c r="J153" s="5"/>
      <c r="K153" s="5"/>
      <c r="L153" s="5"/>
      <c r="M153" s="5"/>
      <c r="N153" s="5"/>
      <c r="O153" s="5"/>
      <c r="P153" s="18"/>
      <c r="Q153" s="5"/>
      <c r="R153" s="5"/>
      <c r="S153" s="5"/>
      <c r="T153" s="5"/>
      <c r="U153" s="5"/>
      <c r="V153" s="5"/>
      <c r="W153" s="5"/>
      <c r="X153" s="5"/>
      <c r="Y153" s="5"/>
      <c r="Z153" s="5"/>
    </row>
    <row r="154" spans="1:26" ht="12.75" customHeight="1" x14ac:dyDescent="0.2">
      <c r="A154" s="5"/>
      <c r="B154" s="5"/>
      <c r="C154" s="5"/>
      <c r="D154" s="5"/>
      <c r="E154" s="5"/>
      <c r="F154" s="5"/>
      <c r="G154" s="5"/>
      <c r="H154" s="5"/>
      <c r="I154" s="5"/>
      <c r="J154" s="5"/>
      <c r="K154" s="5"/>
      <c r="L154" s="5"/>
      <c r="M154" s="5"/>
      <c r="N154" s="5"/>
      <c r="O154" s="5"/>
      <c r="P154" s="18"/>
      <c r="Q154" s="5"/>
      <c r="R154" s="5"/>
      <c r="S154" s="5"/>
      <c r="T154" s="5"/>
      <c r="U154" s="5"/>
      <c r="V154" s="5"/>
      <c r="W154" s="5"/>
      <c r="X154" s="5"/>
      <c r="Y154" s="5"/>
      <c r="Z154" s="5"/>
    </row>
    <row r="155" spans="1:26" ht="12.75" customHeight="1" x14ac:dyDescent="0.2">
      <c r="A155" s="5"/>
      <c r="B155" s="5"/>
      <c r="C155" s="5"/>
      <c r="D155" s="5"/>
      <c r="E155" s="5"/>
      <c r="F155" s="5"/>
      <c r="G155" s="5"/>
      <c r="H155" s="5"/>
      <c r="I155" s="5"/>
      <c r="J155" s="5"/>
      <c r="K155" s="5"/>
      <c r="L155" s="5"/>
      <c r="M155" s="5"/>
      <c r="N155" s="5"/>
      <c r="O155" s="5"/>
      <c r="P155" s="18"/>
      <c r="Q155" s="5"/>
      <c r="R155" s="5"/>
      <c r="S155" s="5"/>
      <c r="T155" s="5"/>
      <c r="U155" s="5"/>
      <c r="V155" s="5"/>
      <c r="W155" s="5"/>
      <c r="X155" s="5"/>
      <c r="Y155" s="5"/>
      <c r="Z155" s="5"/>
    </row>
    <row r="156" spans="1:26" ht="12.75" customHeight="1" x14ac:dyDescent="0.2">
      <c r="A156" s="5"/>
      <c r="B156" s="5"/>
      <c r="C156" s="5"/>
      <c r="D156" s="5"/>
      <c r="E156" s="5"/>
      <c r="F156" s="5"/>
      <c r="G156" s="5"/>
      <c r="H156" s="5"/>
      <c r="I156" s="5"/>
      <c r="J156" s="5"/>
      <c r="K156" s="5"/>
      <c r="L156" s="5"/>
      <c r="M156" s="5"/>
      <c r="N156" s="5"/>
      <c r="O156" s="5"/>
      <c r="P156" s="18"/>
      <c r="Q156" s="5"/>
      <c r="R156" s="5"/>
      <c r="S156" s="5"/>
      <c r="T156" s="5"/>
      <c r="U156" s="5"/>
      <c r="V156" s="5"/>
      <c r="W156" s="5"/>
      <c r="X156" s="5"/>
      <c r="Y156" s="5"/>
      <c r="Z156" s="5"/>
    </row>
    <row r="157" spans="1:26" ht="12.75" customHeight="1" x14ac:dyDescent="0.2">
      <c r="A157" s="5"/>
      <c r="B157" s="5"/>
      <c r="C157" s="5"/>
      <c r="D157" s="5"/>
      <c r="E157" s="5"/>
      <c r="F157" s="5"/>
      <c r="G157" s="5"/>
      <c r="H157" s="5"/>
      <c r="I157" s="5"/>
      <c r="J157" s="5"/>
      <c r="K157" s="5"/>
      <c r="L157" s="5"/>
      <c r="M157" s="5"/>
      <c r="N157" s="5"/>
      <c r="O157" s="5"/>
      <c r="P157" s="18"/>
      <c r="Q157" s="5"/>
      <c r="R157" s="5"/>
      <c r="S157" s="5"/>
      <c r="T157" s="5"/>
      <c r="U157" s="5"/>
      <c r="V157" s="5"/>
      <c r="W157" s="5"/>
      <c r="X157" s="5"/>
      <c r="Y157" s="5"/>
      <c r="Z157" s="5"/>
    </row>
    <row r="158" spans="1:26" ht="12.75" customHeight="1" x14ac:dyDescent="0.2">
      <c r="A158" s="5"/>
      <c r="B158" s="5"/>
      <c r="C158" s="5"/>
      <c r="D158" s="5"/>
      <c r="E158" s="5"/>
      <c r="F158" s="5"/>
      <c r="G158" s="5"/>
      <c r="H158" s="5"/>
      <c r="I158" s="5"/>
      <c r="J158" s="5"/>
      <c r="K158" s="5"/>
      <c r="L158" s="5"/>
      <c r="M158" s="5"/>
      <c r="N158" s="5"/>
      <c r="O158" s="5"/>
      <c r="P158" s="18"/>
      <c r="Q158" s="5"/>
      <c r="R158" s="5"/>
      <c r="S158" s="5"/>
      <c r="T158" s="5"/>
      <c r="U158" s="5"/>
      <c r="V158" s="5"/>
      <c r="W158" s="5"/>
      <c r="X158" s="5"/>
      <c r="Y158" s="5"/>
      <c r="Z158" s="5"/>
    </row>
    <row r="159" spans="1:26" ht="12.75" customHeight="1" x14ac:dyDescent="0.2">
      <c r="A159" s="5"/>
      <c r="B159" s="5"/>
      <c r="C159" s="5"/>
      <c r="D159" s="5"/>
      <c r="E159" s="5"/>
      <c r="F159" s="5"/>
      <c r="G159" s="5"/>
      <c r="H159" s="5"/>
      <c r="I159" s="5"/>
      <c r="J159" s="5"/>
      <c r="K159" s="5"/>
      <c r="L159" s="5"/>
      <c r="M159" s="5"/>
      <c r="N159" s="5"/>
      <c r="O159" s="5"/>
      <c r="P159" s="18"/>
      <c r="Q159" s="5"/>
      <c r="R159" s="5"/>
      <c r="S159" s="5"/>
      <c r="T159" s="5"/>
      <c r="U159" s="5"/>
      <c r="V159" s="5"/>
      <c r="W159" s="5"/>
      <c r="X159" s="5"/>
      <c r="Y159" s="5"/>
      <c r="Z159" s="5"/>
    </row>
    <row r="160" spans="1:26" ht="12.75" customHeight="1" x14ac:dyDescent="0.2">
      <c r="A160" s="5"/>
      <c r="B160" s="5"/>
      <c r="C160" s="5"/>
      <c r="D160" s="5"/>
      <c r="E160" s="5"/>
      <c r="F160" s="5"/>
      <c r="G160" s="5"/>
      <c r="H160" s="5"/>
      <c r="I160" s="5"/>
      <c r="J160" s="5"/>
      <c r="K160" s="5"/>
      <c r="L160" s="5"/>
      <c r="M160" s="5"/>
      <c r="N160" s="5"/>
      <c r="O160" s="5"/>
      <c r="P160" s="18"/>
      <c r="Q160" s="5"/>
      <c r="R160" s="5"/>
      <c r="S160" s="5"/>
      <c r="T160" s="5"/>
      <c r="U160" s="5"/>
      <c r="V160" s="5"/>
      <c r="W160" s="5"/>
      <c r="X160" s="5"/>
      <c r="Y160" s="5"/>
      <c r="Z160" s="5"/>
    </row>
    <row r="161" spans="1:26" ht="12.75" customHeight="1" x14ac:dyDescent="0.2">
      <c r="A161" s="5"/>
      <c r="B161" s="5"/>
      <c r="C161" s="5"/>
      <c r="D161" s="5"/>
      <c r="E161" s="5"/>
      <c r="F161" s="5"/>
      <c r="G161" s="5"/>
      <c r="H161" s="5"/>
      <c r="I161" s="5"/>
      <c r="J161" s="5"/>
      <c r="K161" s="5"/>
      <c r="L161" s="5"/>
      <c r="M161" s="5"/>
      <c r="N161" s="5"/>
      <c r="O161" s="5"/>
      <c r="P161" s="18"/>
      <c r="Q161" s="5"/>
      <c r="R161" s="5"/>
      <c r="S161" s="5"/>
      <c r="T161" s="5"/>
      <c r="U161" s="5"/>
      <c r="V161" s="5"/>
      <c r="W161" s="5"/>
      <c r="X161" s="5"/>
      <c r="Y161" s="5"/>
      <c r="Z161" s="5"/>
    </row>
    <row r="162" spans="1:26" ht="12.75" customHeight="1" x14ac:dyDescent="0.2">
      <c r="A162" s="5"/>
      <c r="B162" s="5"/>
      <c r="C162" s="5"/>
      <c r="D162" s="5"/>
      <c r="E162" s="5"/>
      <c r="F162" s="5"/>
      <c r="G162" s="5"/>
      <c r="H162" s="5"/>
      <c r="I162" s="5"/>
      <c r="J162" s="5"/>
      <c r="K162" s="5"/>
      <c r="L162" s="5"/>
      <c r="M162" s="5"/>
      <c r="N162" s="5"/>
      <c r="O162" s="5"/>
      <c r="P162" s="18"/>
      <c r="Q162" s="5"/>
      <c r="R162" s="5"/>
      <c r="S162" s="5"/>
      <c r="T162" s="5"/>
      <c r="U162" s="5"/>
      <c r="V162" s="5"/>
      <c r="W162" s="5"/>
      <c r="X162" s="5"/>
      <c r="Y162" s="5"/>
      <c r="Z162" s="5"/>
    </row>
    <row r="163" spans="1:26" ht="12.75" customHeight="1" x14ac:dyDescent="0.2">
      <c r="A163" s="5"/>
      <c r="B163" s="5"/>
      <c r="C163" s="5"/>
      <c r="D163" s="5"/>
      <c r="E163" s="5"/>
      <c r="F163" s="5"/>
      <c r="G163" s="5"/>
      <c r="H163" s="5"/>
      <c r="I163" s="5"/>
      <c r="J163" s="5"/>
      <c r="K163" s="5"/>
      <c r="L163" s="5"/>
      <c r="M163" s="5"/>
      <c r="N163" s="5"/>
      <c r="O163" s="5"/>
      <c r="P163" s="18"/>
      <c r="Q163" s="5"/>
      <c r="R163" s="5"/>
      <c r="S163" s="5"/>
      <c r="T163" s="5"/>
      <c r="U163" s="5"/>
      <c r="V163" s="5"/>
      <c r="W163" s="5"/>
      <c r="X163" s="5"/>
      <c r="Y163" s="5"/>
      <c r="Z163" s="5"/>
    </row>
    <row r="164" spans="1:26" ht="12.75" customHeight="1" x14ac:dyDescent="0.2">
      <c r="A164" s="5"/>
      <c r="B164" s="5"/>
      <c r="C164" s="5"/>
      <c r="D164" s="5"/>
      <c r="E164" s="5"/>
      <c r="F164" s="5"/>
      <c r="G164" s="5"/>
      <c r="H164" s="5"/>
      <c r="I164" s="5"/>
      <c r="J164" s="5"/>
      <c r="K164" s="5"/>
      <c r="L164" s="5"/>
      <c r="M164" s="5"/>
      <c r="N164" s="5"/>
      <c r="O164" s="5"/>
      <c r="P164" s="18"/>
      <c r="Q164" s="5"/>
      <c r="R164" s="5"/>
      <c r="S164" s="5"/>
      <c r="T164" s="5"/>
      <c r="U164" s="5"/>
      <c r="V164" s="5"/>
      <c r="W164" s="5"/>
      <c r="X164" s="5"/>
      <c r="Y164" s="5"/>
      <c r="Z164" s="5"/>
    </row>
    <row r="165" spans="1:26" ht="12.75" customHeight="1" x14ac:dyDescent="0.2">
      <c r="A165" s="5"/>
      <c r="B165" s="5"/>
      <c r="C165" s="5"/>
      <c r="D165" s="5"/>
      <c r="E165" s="5"/>
      <c r="F165" s="5"/>
      <c r="G165" s="5"/>
      <c r="H165" s="5"/>
      <c r="I165" s="5"/>
      <c r="J165" s="5"/>
      <c r="K165" s="5"/>
      <c r="L165" s="5"/>
      <c r="M165" s="5"/>
      <c r="N165" s="5"/>
      <c r="O165" s="5"/>
      <c r="P165" s="18"/>
      <c r="Q165" s="5"/>
      <c r="R165" s="5"/>
      <c r="S165" s="5"/>
      <c r="T165" s="5"/>
      <c r="U165" s="5"/>
      <c r="V165" s="5"/>
      <c r="W165" s="5"/>
      <c r="X165" s="5"/>
      <c r="Y165" s="5"/>
      <c r="Z165" s="5"/>
    </row>
    <row r="166" spans="1:26" ht="12.75" customHeight="1" x14ac:dyDescent="0.2">
      <c r="A166" s="5"/>
      <c r="B166" s="5"/>
      <c r="C166" s="5"/>
      <c r="D166" s="5"/>
      <c r="E166" s="5"/>
      <c r="F166" s="5"/>
      <c r="G166" s="5"/>
      <c r="H166" s="5"/>
      <c r="I166" s="5"/>
      <c r="J166" s="5"/>
      <c r="K166" s="5"/>
      <c r="L166" s="5"/>
      <c r="M166" s="5"/>
      <c r="N166" s="5"/>
      <c r="O166" s="5"/>
      <c r="P166" s="18"/>
      <c r="Q166" s="5"/>
      <c r="R166" s="5"/>
      <c r="S166" s="5"/>
      <c r="T166" s="5"/>
      <c r="U166" s="5"/>
      <c r="V166" s="5"/>
      <c r="W166" s="5"/>
      <c r="X166" s="5"/>
      <c r="Y166" s="5"/>
      <c r="Z166" s="5"/>
    </row>
    <row r="167" spans="1:26" ht="12.75" customHeight="1" x14ac:dyDescent="0.2">
      <c r="A167" s="5"/>
      <c r="B167" s="5"/>
      <c r="C167" s="5"/>
      <c r="D167" s="5"/>
      <c r="E167" s="5"/>
      <c r="F167" s="5"/>
      <c r="G167" s="5"/>
      <c r="H167" s="5"/>
      <c r="I167" s="5"/>
      <c r="J167" s="5"/>
      <c r="K167" s="5"/>
      <c r="L167" s="5"/>
      <c r="M167" s="5"/>
      <c r="N167" s="5"/>
      <c r="O167" s="5"/>
      <c r="P167" s="18"/>
      <c r="Q167" s="5"/>
      <c r="R167" s="5"/>
      <c r="S167" s="5"/>
      <c r="T167" s="5"/>
      <c r="U167" s="5"/>
      <c r="V167" s="5"/>
      <c r="W167" s="5"/>
      <c r="X167" s="5"/>
      <c r="Y167" s="5"/>
      <c r="Z167" s="5"/>
    </row>
    <row r="168" spans="1:26" ht="12.75" customHeight="1" x14ac:dyDescent="0.2">
      <c r="A168" s="5"/>
      <c r="B168" s="5"/>
      <c r="C168" s="5"/>
      <c r="D168" s="5"/>
      <c r="E168" s="5"/>
      <c r="F168" s="5"/>
      <c r="G168" s="5"/>
      <c r="H168" s="5"/>
      <c r="I168" s="5"/>
      <c r="J168" s="5"/>
      <c r="K168" s="5"/>
      <c r="L168" s="5"/>
      <c r="M168" s="5"/>
      <c r="N168" s="5"/>
      <c r="O168" s="5"/>
      <c r="P168" s="18"/>
      <c r="Q168" s="5"/>
      <c r="R168" s="5"/>
      <c r="S168" s="5"/>
      <c r="T168" s="5"/>
      <c r="U168" s="5"/>
      <c r="V168" s="5"/>
      <c r="W168" s="5"/>
      <c r="X168" s="5"/>
      <c r="Y168" s="5"/>
      <c r="Z168" s="5"/>
    </row>
    <row r="169" spans="1:26" ht="12.75" customHeight="1" x14ac:dyDescent="0.2">
      <c r="A169" s="5"/>
      <c r="B169" s="5"/>
      <c r="C169" s="5"/>
      <c r="D169" s="5"/>
      <c r="E169" s="5"/>
      <c r="F169" s="5"/>
      <c r="G169" s="5"/>
      <c r="H169" s="5"/>
      <c r="I169" s="5"/>
      <c r="J169" s="5"/>
      <c r="K169" s="5"/>
      <c r="L169" s="5"/>
      <c r="M169" s="5"/>
      <c r="N169" s="5"/>
      <c r="O169" s="5"/>
      <c r="P169" s="18"/>
      <c r="Q169" s="5"/>
      <c r="R169" s="5"/>
      <c r="S169" s="5"/>
      <c r="T169" s="5"/>
      <c r="U169" s="5"/>
      <c r="V169" s="5"/>
      <c r="W169" s="5"/>
      <c r="X169" s="5"/>
      <c r="Y169" s="5"/>
      <c r="Z169" s="5"/>
    </row>
    <row r="170" spans="1:26" ht="12.75" customHeight="1" x14ac:dyDescent="0.2">
      <c r="A170" s="5"/>
      <c r="B170" s="5"/>
      <c r="C170" s="5"/>
      <c r="D170" s="5"/>
      <c r="E170" s="5"/>
      <c r="F170" s="5"/>
      <c r="G170" s="5"/>
      <c r="H170" s="5"/>
      <c r="I170" s="5"/>
      <c r="J170" s="5"/>
      <c r="K170" s="5"/>
      <c r="L170" s="5"/>
      <c r="M170" s="5"/>
      <c r="N170" s="5"/>
      <c r="O170" s="5"/>
      <c r="P170" s="18"/>
      <c r="Q170" s="5"/>
      <c r="R170" s="5"/>
      <c r="S170" s="5"/>
      <c r="T170" s="5"/>
      <c r="U170" s="5"/>
      <c r="V170" s="5"/>
      <c r="W170" s="5"/>
      <c r="X170" s="5"/>
      <c r="Y170" s="5"/>
      <c r="Z170" s="5"/>
    </row>
    <row r="171" spans="1:26" ht="12.75" customHeight="1" x14ac:dyDescent="0.2">
      <c r="A171" s="5"/>
      <c r="B171" s="5"/>
      <c r="C171" s="5"/>
      <c r="D171" s="5"/>
      <c r="E171" s="5"/>
      <c r="F171" s="5"/>
      <c r="G171" s="5"/>
      <c r="H171" s="5"/>
      <c r="I171" s="5"/>
      <c r="J171" s="5"/>
      <c r="K171" s="5"/>
      <c r="L171" s="5"/>
      <c r="M171" s="5"/>
      <c r="N171" s="5"/>
      <c r="O171" s="5"/>
      <c r="P171" s="18"/>
      <c r="Q171" s="5"/>
      <c r="R171" s="5"/>
      <c r="S171" s="5"/>
      <c r="T171" s="5"/>
      <c r="U171" s="5"/>
      <c r="V171" s="5"/>
      <c r="W171" s="5"/>
      <c r="X171" s="5"/>
      <c r="Y171" s="5"/>
      <c r="Z171" s="5"/>
    </row>
    <row r="172" spans="1:26" ht="12.75" customHeight="1" x14ac:dyDescent="0.2">
      <c r="A172" s="5"/>
      <c r="B172" s="5"/>
      <c r="C172" s="5"/>
      <c r="D172" s="5"/>
      <c r="E172" s="5"/>
      <c r="F172" s="5"/>
      <c r="G172" s="5"/>
      <c r="H172" s="5"/>
      <c r="I172" s="5"/>
      <c r="J172" s="5"/>
      <c r="K172" s="5"/>
      <c r="L172" s="5"/>
      <c r="M172" s="5"/>
      <c r="N172" s="5"/>
      <c r="O172" s="5"/>
      <c r="P172" s="18"/>
      <c r="Q172" s="5"/>
      <c r="R172" s="5"/>
      <c r="S172" s="5"/>
      <c r="T172" s="5"/>
      <c r="U172" s="5"/>
      <c r="V172" s="5"/>
      <c r="W172" s="5"/>
      <c r="X172" s="5"/>
      <c r="Y172" s="5"/>
      <c r="Z172" s="5"/>
    </row>
    <row r="173" spans="1:26" ht="12.75" customHeight="1" x14ac:dyDescent="0.2">
      <c r="A173" s="5"/>
      <c r="B173" s="5"/>
      <c r="C173" s="5"/>
      <c r="D173" s="5"/>
      <c r="E173" s="5"/>
      <c r="F173" s="5"/>
      <c r="G173" s="5"/>
      <c r="H173" s="5"/>
      <c r="I173" s="5"/>
      <c r="J173" s="5"/>
      <c r="K173" s="5"/>
      <c r="L173" s="5"/>
      <c r="M173" s="5"/>
      <c r="N173" s="5"/>
      <c r="O173" s="5"/>
      <c r="P173" s="18"/>
      <c r="Q173" s="5"/>
      <c r="R173" s="5"/>
      <c r="S173" s="5"/>
      <c r="T173" s="5"/>
      <c r="U173" s="5"/>
      <c r="V173" s="5"/>
      <c r="W173" s="5"/>
      <c r="X173" s="5"/>
      <c r="Y173" s="5"/>
      <c r="Z173" s="5"/>
    </row>
    <row r="174" spans="1:26" ht="12.75" customHeight="1" x14ac:dyDescent="0.2">
      <c r="A174" s="5"/>
      <c r="B174" s="5"/>
      <c r="C174" s="5"/>
      <c r="D174" s="5"/>
      <c r="E174" s="5"/>
      <c r="F174" s="5"/>
      <c r="G174" s="5"/>
      <c r="H174" s="5"/>
      <c r="I174" s="5"/>
      <c r="J174" s="5"/>
      <c r="K174" s="5"/>
      <c r="L174" s="5"/>
      <c r="M174" s="5"/>
      <c r="N174" s="5"/>
      <c r="O174" s="5"/>
      <c r="P174" s="18"/>
      <c r="Q174" s="5"/>
      <c r="R174" s="5"/>
      <c r="S174" s="5"/>
      <c r="T174" s="5"/>
      <c r="U174" s="5"/>
      <c r="V174" s="5"/>
      <c r="W174" s="5"/>
      <c r="X174" s="5"/>
      <c r="Y174" s="5"/>
      <c r="Z174" s="5"/>
    </row>
    <row r="175" spans="1:26" ht="12.75" customHeight="1" x14ac:dyDescent="0.2">
      <c r="A175" s="5"/>
      <c r="B175" s="5"/>
      <c r="C175" s="5"/>
      <c r="D175" s="5"/>
      <c r="E175" s="5"/>
      <c r="F175" s="5"/>
      <c r="G175" s="5"/>
      <c r="H175" s="5"/>
      <c r="I175" s="5"/>
      <c r="J175" s="5"/>
      <c r="K175" s="5"/>
      <c r="L175" s="5"/>
      <c r="M175" s="5"/>
      <c r="N175" s="5"/>
      <c r="O175" s="5"/>
      <c r="P175" s="18"/>
      <c r="Q175" s="5"/>
      <c r="R175" s="5"/>
      <c r="S175" s="5"/>
      <c r="T175" s="5"/>
      <c r="U175" s="5"/>
      <c r="V175" s="5"/>
      <c r="W175" s="5"/>
      <c r="X175" s="5"/>
      <c r="Y175" s="5"/>
      <c r="Z175" s="5"/>
    </row>
    <row r="176" spans="1:26" ht="12.75" customHeight="1" x14ac:dyDescent="0.2">
      <c r="A176" s="5"/>
      <c r="B176" s="5"/>
      <c r="C176" s="5"/>
      <c r="D176" s="5"/>
      <c r="E176" s="5"/>
      <c r="F176" s="5"/>
      <c r="G176" s="5"/>
      <c r="H176" s="5"/>
      <c r="I176" s="5"/>
      <c r="J176" s="5"/>
      <c r="K176" s="5"/>
      <c r="L176" s="5"/>
      <c r="M176" s="5"/>
      <c r="N176" s="5"/>
      <c r="O176" s="5"/>
      <c r="P176" s="18"/>
      <c r="Q176" s="5"/>
      <c r="R176" s="5"/>
      <c r="S176" s="5"/>
      <c r="T176" s="5"/>
      <c r="U176" s="5"/>
      <c r="V176" s="5"/>
      <c r="W176" s="5"/>
      <c r="X176" s="5"/>
      <c r="Y176" s="5"/>
      <c r="Z176" s="5"/>
    </row>
    <row r="177" spans="1:26" ht="12.75" customHeight="1" x14ac:dyDescent="0.2">
      <c r="A177" s="5"/>
      <c r="B177" s="5"/>
      <c r="C177" s="5"/>
      <c r="D177" s="5"/>
      <c r="E177" s="5"/>
      <c r="F177" s="5"/>
      <c r="G177" s="5"/>
      <c r="H177" s="5"/>
      <c r="I177" s="5"/>
      <c r="J177" s="5"/>
      <c r="K177" s="5"/>
      <c r="L177" s="5"/>
      <c r="M177" s="5"/>
      <c r="N177" s="5"/>
      <c r="O177" s="5"/>
      <c r="P177" s="18"/>
      <c r="Q177" s="5"/>
      <c r="R177" s="5"/>
      <c r="S177" s="5"/>
      <c r="T177" s="5"/>
      <c r="U177" s="5"/>
      <c r="V177" s="5"/>
      <c r="W177" s="5"/>
      <c r="X177" s="5"/>
      <c r="Y177" s="5"/>
      <c r="Z177" s="5"/>
    </row>
    <row r="178" spans="1:26" ht="12.75" customHeight="1" x14ac:dyDescent="0.2">
      <c r="A178" s="5"/>
      <c r="B178" s="5"/>
      <c r="C178" s="5"/>
      <c r="D178" s="5"/>
      <c r="E178" s="5"/>
      <c r="F178" s="5"/>
      <c r="G178" s="5"/>
      <c r="H178" s="5"/>
      <c r="I178" s="5"/>
      <c r="J178" s="5"/>
      <c r="K178" s="5"/>
      <c r="L178" s="5"/>
      <c r="M178" s="5"/>
      <c r="N178" s="5"/>
      <c r="O178" s="5"/>
      <c r="P178" s="18"/>
      <c r="Q178" s="5"/>
      <c r="R178" s="5"/>
      <c r="S178" s="5"/>
      <c r="T178" s="5"/>
      <c r="U178" s="5"/>
      <c r="V178" s="5"/>
      <c r="W178" s="5"/>
      <c r="X178" s="5"/>
      <c r="Y178" s="5"/>
      <c r="Z178" s="5"/>
    </row>
    <row r="179" spans="1:26" ht="12.75" customHeight="1" x14ac:dyDescent="0.2">
      <c r="A179" s="5"/>
      <c r="B179" s="5"/>
      <c r="C179" s="5"/>
      <c r="D179" s="5"/>
      <c r="E179" s="5"/>
      <c r="F179" s="5"/>
      <c r="G179" s="5"/>
      <c r="H179" s="5"/>
      <c r="I179" s="5"/>
      <c r="J179" s="5"/>
      <c r="K179" s="5"/>
      <c r="L179" s="5"/>
      <c r="M179" s="5"/>
      <c r="N179" s="5"/>
      <c r="O179" s="5"/>
      <c r="P179" s="18"/>
      <c r="Q179" s="5"/>
      <c r="R179" s="5"/>
      <c r="S179" s="5"/>
      <c r="T179" s="5"/>
      <c r="U179" s="5"/>
      <c r="V179" s="5"/>
      <c r="W179" s="5"/>
      <c r="X179" s="5"/>
      <c r="Y179" s="5"/>
      <c r="Z179" s="5"/>
    </row>
    <row r="180" spans="1:26" ht="12.75" customHeight="1" x14ac:dyDescent="0.2">
      <c r="A180" s="5"/>
      <c r="B180" s="5"/>
      <c r="C180" s="5"/>
      <c r="D180" s="5"/>
      <c r="E180" s="5"/>
      <c r="F180" s="5"/>
      <c r="G180" s="5"/>
      <c r="H180" s="5"/>
      <c r="I180" s="5"/>
      <c r="J180" s="5"/>
      <c r="K180" s="5"/>
      <c r="L180" s="5"/>
      <c r="M180" s="5"/>
      <c r="N180" s="5"/>
      <c r="O180" s="5"/>
      <c r="P180" s="18"/>
      <c r="Q180" s="5"/>
      <c r="R180" s="5"/>
      <c r="S180" s="5"/>
      <c r="T180" s="5"/>
      <c r="U180" s="5"/>
      <c r="V180" s="5"/>
      <c r="W180" s="5"/>
      <c r="X180" s="5"/>
      <c r="Y180" s="5"/>
      <c r="Z180" s="5"/>
    </row>
    <row r="181" spans="1:26" ht="12.75" customHeight="1" x14ac:dyDescent="0.2">
      <c r="A181" s="5"/>
      <c r="B181" s="5"/>
      <c r="C181" s="5"/>
      <c r="D181" s="5"/>
      <c r="E181" s="5"/>
      <c r="F181" s="5"/>
      <c r="G181" s="5"/>
      <c r="H181" s="5"/>
      <c r="I181" s="5"/>
      <c r="J181" s="5"/>
      <c r="K181" s="5"/>
      <c r="L181" s="5"/>
      <c r="M181" s="5"/>
      <c r="N181" s="5"/>
      <c r="O181" s="5"/>
      <c r="P181" s="18"/>
      <c r="Q181" s="5"/>
      <c r="R181" s="5"/>
      <c r="S181" s="5"/>
      <c r="T181" s="5"/>
      <c r="U181" s="5"/>
      <c r="V181" s="5"/>
      <c r="W181" s="5"/>
      <c r="X181" s="5"/>
      <c r="Y181" s="5"/>
      <c r="Z181" s="5"/>
    </row>
    <row r="182" spans="1:26" ht="12.75" customHeight="1" x14ac:dyDescent="0.2">
      <c r="A182" s="5"/>
      <c r="B182" s="5"/>
      <c r="C182" s="5"/>
      <c r="D182" s="5"/>
      <c r="E182" s="5"/>
      <c r="F182" s="5"/>
      <c r="G182" s="5"/>
      <c r="H182" s="5"/>
      <c r="I182" s="5"/>
      <c r="J182" s="5"/>
      <c r="K182" s="5"/>
      <c r="L182" s="5"/>
      <c r="M182" s="5"/>
      <c r="N182" s="5"/>
      <c r="O182" s="5"/>
      <c r="P182" s="18"/>
      <c r="Q182" s="5"/>
      <c r="R182" s="5"/>
      <c r="S182" s="5"/>
      <c r="T182" s="5"/>
      <c r="U182" s="5"/>
      <c r="V182" s="5"/>
      <c r="W182" s="5"/>
      <c r="X182" s="5"/>
      <c r="Y182" s="5"/>
      <c r="Z182" s="5"/>
    </row>
    <row r="183" spans="1:26" ht="12.75" customHeight="1" x14ac:dyDescent="0.2">
      <c r="A183" s="5"/>
      <c r="B183" s="5"/>
      <c r="C183" s="5"/>
      <c r="D183" s="5"/>
      <c r="E183" s="5"/>
      <c r="F183" s="5"/>
      <c r="G183" s="5"/>
      <c r="H183" s="5"/>
      <c r="I183" s="5"/>
      <c r="J183" s="5"/>
      <c r="K183" s="5"/>
      <c r="L183" s="5"/>
      <c r="M183" s="5"/>
      <c r="N183" s="5"/>
      <c r="O183" s="5"/>
      <c r="P183" s="18"/>
      <c r="Q183" s="5"/>
      <c r="R183" s="5"/>
      <c r="S183" s="5"/>
      <c r="T183" s="5"/>
      <c r="U183" s="5"/>
      <c r="V183" s="5"/>
      <c r="W183" s="5"/>
      <c r="X183" s="5"/>
      <c r="Y183" s="5"/>
      <c r="Z183" s="5"/>
    </row>
    <row r="184" spans="1:26" ht="12.75" customHeight="1" x14ac:dyDescent="0.2">
      <c r="A184" s="5"/>
      <c r="B184" s="5"/>
      <c r="C184" s="5"/>
      <c r="D184" s="5"/>
      <c r="E184" s="5"/>
      <c r="F184" s="5"/>
      <c r="G184" s="5"/>
      <c r="H184" s="5"/>
      <c r="I184" s="5"/>
      <c r="J184" s="5"/>
      <c r="K184" s="5"/>
      <c r="L184" s="5"/>
      <c r="M184" s="5"/>
      <c r="N184" s="5"/>
      <c r="O184" s="5"/>
      <c r="P184" s="18"/>
      <c r="Q184" s="5"/>
      <c r="R184" s="5"/>
      <c r="S184" s="5"/>
      <c r="T184" s="5"/>
      <c r="U184" s="5"/>
      <c r="V184" s="5"/>
      <c r="W184" s="5"/>
      <c r="X184" s="5"/>
      <c r="Y184" s="5"/>
      <c r="Z184" s="5"/>
    </row>
    <row r="185" spans="1:26" ht="12.75" customHeight="1" x14ac:dyDescent="0.2">
      <c r="A185" s="5"/>
      <c r="B185" s="5"/>
      <c r="C185" s="5"/>
      <c r="D185" s="5"/>
      <c r="E185" s="5"/>
      <c r="F185" s="5"/>
      <c r="G185" s="5"/>
      <c r="H185" s="5"/>
      <c r="I185" s="5"/>
      <c r="J185" s="5"/>
      <c r="K185" s="5"/>
      <c r="L185" s="5"/>
      <c r="M185" s="5"/>
      <c r="N185" s="5"/>
      <c r="O185" s="5"/>
      <c r="P185" s="18"/>
      <c r="Q185" s="5"/>
      <c r="R185" s="5"/>
      <c r="S185" s="5"/>
      <c r="T185" s="5"/>
      <c r="U185" s="5"/>
      <c r="V185" s="5"/>
      <c r="W185" s="5"/>
      <c r="X185" s="5"/>
      <c r="Y185" s="5"/>
      <c r="Z185" s="5"/>
    </row>
    <row r="186" spans="1:26" ht="12.75" customHeight="1" x14ac:dyDescent="0.2">
      <c r="A186" s="5"/>
      <c r="B186" s="5"/>
      <c r="C186" s="5"/>
      <c r="D186" s="5"/>
      <c r="E186" s="5"/>
      <c r="F186" s="5"/>
      <c r="G186" s="5"/>
      <c r="H186" s="5"/>
      <c r="I186" s="5"/>
      <c r="J186" s="5"/>
      <c r="K186" s="5"/>
      <c r="L186" s="5"/>
      <c r="M186" s="5"/>
      <c r="N186" s="5"/>
      <c r="O186" s="5"/>
      <c r="P186" s="18"/>
      <c r="Q186" s="5"/>
      <c r="R186" s="5"/>
      <c r="S186" s="5"/>
      <c r="T186" s="5"/>
      <c r="U186" s="5"/>
      <c r="V186" s="5"/>
      <c r="W186" s="5"/>
      <c r="X186" s="5"/>
      <c r="Y186" s="5"/>
      <c r="Z186" s="5"/>
    </row>
    <row r="187" spans="1:26" ht="12.75" customHeight="1" x14ac:dyDescent="0.2">
      <c r="A187" s="5"/>
      <c r="B187" s="5"/>
      <c r="C187" s="5"/>
      <c r="D187" s="5"/>
      <c r="E187" s="5"/>
      <c r="F187" s="5"/>
      <c r="G187" s="5"/>
      <c r="H187" s="5"/>
      <c r="I187" s="5"/>
      <c r="J187" s="5"/>
      <c r="K187" s="5"/>
      <c r="L187" s="5"/>
      <c r="M187" s="5"/>
      <c r="N187" s="5"/>
      <c r="O187" s="5"/>
      <c r="P187" s="18"/>
      <c r="Q187" s="5"/>
      <c r="R187" s="5"/>
      <c r="S187" s="5"/>
      <c r="T187" s="5"/>
      <c r="U187" s="5"/>
      <c r="V187" s="5"/>
      <c r="W187" s="5"/>
      <c r="X187" s="5"/>
      <c r="Y187" s="5"/>
      <c r="Z187" s="5"/>
    </row>
    <row r="188" spans="1:26" ht="12.75" customHeight="1" x14ac:dyDescent="0.2">
      <c r="A188" s="5"/>
      <c r="B188" s="5"/>
      <c r="C188" s="5"/>
      <c r="D188" s="5"/>
      <c r="E188" s="5"/>
      <c r="F188" s="5"/>
      <c r="G188" s="5"/>
      <c r="H188" s="5"/>
      <c r="I188" s="5"/>
      <c r="J188" s="5"/>
      <c r="K188" s="5"/>
      <c r="L188" s="5"/>
      <c r="M188" s="5"/>
      <c r="N188" s="5"/>
      <c r="O188" s="5"/>
      <c r="P188" s="18"/>
      <c r="Q188" s="5"/>
      <c r="R188" s="5"/>
      <c r="S188" s="5"/>
      <c r="T188" s="5"/>
      <c r="U188" s="5"/>
      <c r="V188" s="5"/>
      <c r="W188" s="5"/>
      <c r="X188" s="5"/>
      <c r="Y188" s="5"/>
      <c r="Z188" s="5"/>
    </row>
    <row r="189" spans="1:26" ht="12.75" customHeight="1" x14ac:dyDescent="0.2">
      <c r="A189" s="5"/>
      <c r="B189" s="5"/>
      <c r="C189" s="5"/>
      <c r="D189" s="5"/>
      <c r="E189" s="5"/>
      <c r="F189" s="5"/>
      <c r="G189" s="5"/>
      <c r="H189" s="5"/>
      <c r="I189" s="5"/>
      <c r="J189" s="5"/>
      <c r="K189" s="5"/>
      <c r="L189" s="5"/>
      <c r="M189" s="5"/>
      <c r="N189" s="5"/>
      <c r="O189" s="5"/>
      <c r="P189" s="18"/>
      <c r="Q189" s="5"/>
      <c r="R189" s="5"/>
      <c r="S189" s="5"/>
      <c r="T189" s="5"/>
      <c r="U189" s="5"/>
      <c r="V189" s="5"/>
      <c r="W189" s="5"/>
      <c r="X189" s="5"/>
      <c r="Y189" s="5"/>
      <c r="Z189" s="5"/>
    </row>
    <row r="190" spans="1:26" ht="12.75" customHeight="1" x14ac:dyDescent="0.2">
      <c r="A190" s="5"/>
      <c r="B190" s="5"/>
      <c r="C190" s="5"/>
      <c r="D190" s="5"/>
      <c r="E190" s="5"/>
      <c r="F190" s="5"/>
      <c r="G190" s="5"/>
      <c r="H190" s="5"/>
      <c r="I190" s="5"/>
      <c r="J190" s="5"/>
      <c r="K190" s="5"/>
      <c r="L190" s="5"/>
      <c r="M190" s="5"/>
      <c r="N190" s="5"/>
      <c r="O190" s="5"/>
      <c r="P190" s="18"/>
      <c r="Q190" s="5"/>
      <c r="R190" s="5"/>
      <c r="S190" s="5"/>
      <c r="T190" s="5"/>
      <c r="U190" s="5"/>
      <c r="V190" s="5"/>
      <c r="W190" s="5"/>
      <c r="X190" s="5"/>
      <c r="Y190" s="5"/>
      <c r="Z190" s="5"/>
    </row>
    <row r="191" spans="1:26" ht="12.75" customHeight="1" x14ac:dyDescent="0.2">
      <c r="A191" s="5"/>
      <c r="B191" s="5"/>
      <c r="C191" s="5"/>
      <c r="D191" s="5"/>
      <c r="E191" s="5"/>
      <c r="F191" s="5"/>
      <c r="G191" s="5"/>
      <c r="H191" s="5"/>
      <c r="I191" s="5"/>
      <c r="J191" s="5"/>
      <c r="K191" s="5"/>
      <c r="L191" s="5"/>
      <c r="M191" s="5"/>
      <c r="N191" s="5"/>
      <c r="O191" s="5"/>
      <c r="P191" s="18"/>
      <c r="Q191" s="5"/>
      <c r="R191" s="5"/>
      <c r="S191" s="5"/>
      <c r="T191" s="5"/>
      <c r="U191" s="5"/>
      <c r="V191" s="5"/>
      <c r="W191" s="5"/>
      <c r="X191" s="5"/>
      <c r="Y191" s="5"/>
      <c r="Z191" s="5"/>
    </row>
    <row r="192" spans="1:26" ht="12.75" customHeight="1" x14ac:dyDescent="0.2">
      <c r="A192" s="5"/>
      <c r="B192" s="5"/>
      <c r="C192" s="5"/>
      <c r="D192" s="5"/>
      <c r="E192" s="5"/>
      <c r="F192" s="5"/>
      <c r="G192" s="5"/>
      <c r="H192" s="5"/>
      <c r="I192" s="5"/>
      <c r="J192" s="5"/>
      <c r="K192" s="5"/>
      <c r="L192" s="5"/>
      <c r="M192" s="5"/>
      <c r="N192" s="5"/>
      <c r="O192" s="5"/>
      <c r="P192" s="18"/>
      <c r="Q192" s="5"/>
      <c r="R192" s="5"/>
      <c r="S192" s="5"/>
      <c r="T192" s="5"/>
      <c r="U192" s="5"/>
      <c r="V192" s="5"/>
      <c r="W192" s="5"/>
      <c r="X192" s="5"/>
      <c r="Y192" s="5"/>
      <c r="Z192" s="5"/>
    </row>
    <row r="193" spans="1:26" ht="12.75" customHeight="1" x14ac:dyDescent="0.2">
      <c r="A193" s="5"/>
      <c r="B193" s="5"/>
      <c r="C193" s="5"/>
      <c r="D193" s="5"/>
      <c r="E193" s="5"/>
      <c r="F193" s="5"/>
      <c r="G193" s="5"/>
      <c r="H193" s="5"/>
      <c r="I193" s="5"/>
      <c r="J193" s="5"/>
      <c r="K193" s="5"/>
      <c r="L193" s="5"/>
      <c r="M193" s="5"/>
      <c r="N193" s="5"/>
      <c r="O193" s="5"/>
      <c r="P193" s="18"/>
      <c r="Q193" s="5"/>
      <c r="R193" s="5"/>
      <c r="S193" s="5"/>
      <c r="T193" s="5"/>
      <c r="U193" s="5"/>
      <c r="V193" s="5"/>
      <c r="W193" s="5"/>
      <c r="X193" s="5"/>
      <c r="Y193" s="5"/>
      <c r="Z193" s="5"/>
    </row>
    <row r="194" spans="1:26" ht="12.75" customHeight="1" x14ac:dyDescent="0.2">
      <c r="A194" s="5"/>
      <c r="B194" s="5"/>
      <c r="C194" s="5"/>
      <c r="D194" s="5"/>
      <c r="E194" s="5"/>
      <c r="F194" s="5"/>
      <c r="G194" s="5"/>
      <c r="H194" s="5"/>
      <c r="I194" s="5"/>
      <c r="J194" s="5"/>
      <c r="K194" s="5"/>
      <c r="L194" s="5"/>
      <c r="M194" s="5"/>
      <c r="N194" s="5"/>
      <c r="O194" s="5"/>
      <c r="P194" s="18"/>
      <c r="Q194" s="5"/>
      <c r="R194" s="5"/>
      <c r="S194" s="5"/>
      <c r="T194" s="5"/>
      <c r="U194" s="5"/>
      <c r="V194" s="5"/>
      <c r="W194" s="5"/>
      <c r="X194" s="5"/>
      <c r="Y194" s="5"/>
      <c r="Z194" s="5"/>
    </row>
    <row r="195" spans="1:26" ht="12.75" customHeight="1" x14ac:dyDescent="0.2">
      <c r="A195" s="5"/>
      <c r="B195" s="5"/>
      <c r="C195" s="5"/>
      <c r="D195" s="5"/>
      <c r="E195" s="5"/>
      <c r="F195" s="5"/>
      <c r="G195" s="5"/>
      <c r="H195" s="5"/>
      <c r="I195" s="5"/>
      <c r="J195" s="5"/>
      <c r="K195" s="5"/>
      <c r="L195" s="5"/>
      <c r="M195" s="5"/>
      <c r="N195" s="5"/>
      <c r="O195" s="5"/>
      <c r="P195" s="18"/>
      <c r="Q195" s="5"/>
      <c r="R195" s="5"/>
      <c r="S195" s="5"/>
      <c r="T195" s="5"/>
      <c r="U195" s="5"/>
      <c r="V195" s="5"/>
      <c r="W195" s="5"/>
      <c r="X195" s="5"/>
      <c r="Y195" s="5"/>
      <c r="Z195" s="5"/>
    </row>
    <row r="196" spans="1:26" ht="12.75" customHeight="1" x14ac:dyDescent="0.2">
      <c r="A196" s="5"/>
      <c r="B196" s="5"/>
      <c r="C196" s="5"/>
      <c r="D196" s="5"/>
      <c r="E196" s="5"/>
      <c r="F196" s="5"/>
      <c r="G196" s="5"/>
      <c r="H196" s="5"/>
      <c r="I196" s="5"/>
      <c r="J196" s="5"/>
      <c r="K196" s="5"/>
      <c r="L196" s="5"/>
      <c r="M196" s="5"/>
      <c r="N196" s="5"/>
      <c r="O196" s="5"/>
      <c r="P196" s="18"/>
      <c r="Q196" s="5"/>
      <c r="R196" s="5"/>
      <c r="S196" s="5"/>
      <c r="T196" s="5"/>
      <c r="U196" s="5"/>
      <c r="V196" s="5"/>
      <c r="W196" s="5"/>
      <c r="X196" s="5"/>
      <c r="Y196" s="5"/>
      <c r="Z196" s="5"/>
    </row>
    <row r="197" spans="1:26" ht="12.75" customHeight="1" x14ac:dyDescent="0.2">
      <c r="A197" s="5"/>
      <c r="B197" s="5"/>
      <c r="C197" s="5"/>
      <c r="D197" s="5"/>
      <c r="E197" s="5"/>
      <c r="F197" s="5"/>
      <c r="G197" s="5"/>
      <c r="H197" s="5"/>
      <c r="I197" s="5"/>
      <c r="J197" s="5"/>
      <c r="K197" s="5"/>
      <c r="L197" s="5"/>
      <c r="M197" s="5"/>
      <c r="N197" s="5"/>
      <c r="O197" s="5"/>
      <c r="P197" s="18"/>
      <c r="Q197" s="5"/>
      <c r="R197" s="5"/>
      <c r="S197" s="5"/>
      <c r="T197" s="5"/>
      <c r="U197" s="5"/>
      <c r="V197" s="5"/>
      <c r="W197" s="5"/>
      <c r="X197" s="5"/>
      <c r="Y197" s="5"/>
      <c r="Z197" s="5"/>
    </row>
    <row r="198" spans="1:26" ht="12.75" customHeight="1" x14ac:dyDescent="0.2">
      <c r="A198" s="5"/>
      <c r="B198" s="5"/>
      <c r="C198" s="5"/>
      <c r="D198" s="5"/>
      <c r="E198" s="5"/>
      <c r="F198" s="5"/>
      <c r="G198" s="5"/>
      <c r="H198" s="5"/>
      <c r="I198" s="5"/>
      <c r="J198" s="5"/>
      <c r="K198" s="5"/>
      <c r="L198" s="5"/>
      <c r="M198" s="5"/>
      <c r="N198" s="5"/>
      <c r="O198" s="5"/>
      <c r="P198" s="18"/>
      <c r="Q198" s="5"/>
      <c r="R198" s="5"/>
      <c r="S198" s="5"/>
      <c r="T198" s="5"/>
      <c r="U198" s="5"/>
      <c r="V198" s="5"/>
      <c r="W198" s="5"/>
      <c r="X198" s="5"/>
      <c r="Y198" s="5"/>
      <c r="Z198" s="5"/>
    </row>
    <row r="199" spans="1:26" ht="12.75" customHeight="1" x14ac:dyDescent="0.2">
      <c r="A199" s="5"/>
      <c r="B199" s="5"/>
      <c r="C199" s="5"/>
      <c r="D199" s="5"/>
      <c r="E199" s="5"/>
      <c r="F199" s="5"/>
      <c r="G199" s="5"/>
      <c r="H199" s="5"/>
      <c r="I199" s="5"/>
      <c r="J199" s="5"/>
      <c r="K199" s="5"/>
      <c r="L199" s="5"/>
      <c r="M199" s="5"/>
      <c r="N199" s="5"/>
      <c r="O199" s="5"/>
      <c r="P199" s="18"/>
      <c r="Q199" s="5"/>
      <c r="R199" s="5"/>
      <c r="S199" s="5"/>
      <c r="T199" s="5"/>
      <c r="U199" s="5"/>
      <c r="V199" s="5"/>
      <c r="W199" s="5"/>
      <c r="X199" s="5"/>
      <c r="Y199" s="5"/>
      <c r="Z199" s="5"/>
    </row>
    <row r="200" spans="1:26" ht="12.75" customHeight="1" x14ac:dyDescent="0.2">
      <c r="A200" s="5"/>
      <c r="B200" s="5"/>
      <c r="C200" s="5"/>
      <c r="D200" s="5"/>
      <c r="E200" s="5"/>
      <c r="F200" s="5"/>
      <c r="G200" s="5"/>
      <c r="H200" s="5"/>
      <c r="I200" s="5"/>
      <c r="J200" s="5"/>
      <c r="K200" s="5"/>
      <c r="L200" s="5"/>
      <c r="M200" s="5"/>
      <c r="N200" s="5"/>
      <c r="O200" s="5"/>
      <c r="P200" s="18"/>
      <c r="Q200" s="5"/>
      <c r="R200" s="5"/>
      <c r="S200" s="5"/>
      <c r="T200" s="5"/>
      <c r="U200" s="5"/>
      <c r="V200" s="5"/>
      <c r="W200" s="5"/>
      <c r="X200" s="5"/>
      <c r="Y200" s="5"/>
      <c r="Z200" s="5"/>
    </row>
    <row r="201" spans="1:26" ht="12.75" customHeight="1" x14ac:dyDescent="0.2">
      <c r="A201" s="5"/>
      <c r="B201" s="5"/>
      <c r="C201" s="5"/>
      <c r="D201" s="5"/>
      <c r="E201" s="5"/>
      <c r="F201" s="5"/>
      <c r="G201" s="5"/>
      <c r="H201" s="5"/>
      <c r="I201" s="5"/>
      <c r="J201" s="5"/>
      <c r="K201" s="5"/>
      <c r="L201" s="5"/>
      <c r="M201" s="5"/>
      <c r="N201" s="5"/>
      <c r="O201" s="5"/>
      <c r="P201" s="18"/>
      <c r="Q201" s="5"/>
      <c r="R201" s="5"/>
      <c r="S201" s="5"/>
      <c r="T201" s="5"/>
      <c r="U201" s="5"/>
      <c r="V201" s="5"/>
      <c r="W201" s="5"/>
      <c r="X201" s="5"/>
      <c r="Y201" s="5"/>
      <c r="Z201" s="5"/>
    </row>
    <row r="202" spans="1:26" ht="12.75" customHeight="1" x14ac:dyDescent="0.2">
      <c r="A202" s="5"/>
      <c r="B202" s="5"/>
      <c r="C202" s="5"/>
      <c r="D202" s="5"/>
      <c r="E202" s="5"/>
      <c r="F202" s="5"/>
      <c r="G202" s="5"/>
      <c r="H202" s="5"/>
      <c r="I202" s="5"/>
      <c r="J202" s="5"/>
      <c r="K202" s="5"/>
      <c r="L202" s="5"/>
      <c r="M202" s="5"/>
      <c r="N202" s="5"/>
      <c r="O202" s="5"/>
      <c r="P202" s="18"/>
      <c r="Q202" s="5"/>
      <c r="R202" s="5"/>
      <c r="S202" s="5"/>
      <c r="T202" s="5"/>
      <c r="U202" s="5"/>
      <c r="V202" s="5"/>
      <c r="W202" s="5"/>
      <c r="X202" s="5"/>
      <c r="Y202" s="5"/>
      <c r="Z202" s="5"/>
    </row>
    <row r="203" spans="1:26" ht="12.75" customHeight="1" x14ac:dyDescent="0.2">
      <c r="A203" s="5"/>
      <c r="B203" s="5"/>
      <c r="C203" s="5"/>
      <c r="D203" s="5"/>
      <c r="E203" s="5"/>
      <c r="F203" s="5"/>
      <c r="G203" s="5"/>
      <c r="H203" s="5"/>
      <c r="I203" s="5"/>
      <c r="J203" s="5"/>
      <c r="K203" s="5"/>
      <c r="L203" s="5"/>
      <c r="M203" s="5"/>
      <c r="N203" s="5"/>
      <c r="O203" s="5"/>
      <c r="P203" s="18"/>
      <c r="Q203" s="5"/>
      <c r="R203" s="5"/>
      <c r="S203" s="5"/>
      <c r="T203" s="5"/>
      <c r="U203" s="5"/>
      <c r="V203" s="5"/>
      <c r="W203" s="5"/>
      <c r="X203" s="5"/>
      <c r="Y203" s="5"/>
      <c r="Z203" s="5"/>
    </row>
    <row r="204" spans="1:26" ht="12.75" customHeight="1" x14ac:dyDescent="0.2">
      <c r="A204" s="5"/>
      <c r="B204" s="5"/>
      <c r="C204" s="5"/>
      <c r="D204" s="5"/>
      <c r="E204" s="5"/>
      <c r="F204" s="5"/>
      <c r="G204" s="5"/>
      <c r="H204" s="5"/>
      <c r="I204" s="5"/>
      <c r="J204" s="5"/>
      <c r="K204" s="5"/>
      <c r="L204" s="5"/>
      <c r="M204" s="5"/>
      <c r="N204" s="5"/>
      <c r="O204" s="5"/>
      <c r="P204" s="18"/>
      <c r="Q204" s="5"/>
      <c r="R204" s="5"/>
      <c r="S204" s="5"/>
      <c r="T204" s="5"/>
      <c r="U204" s="5"/>
      <c r="V204" s="5"/>
      <c r="W204" s="5"/>
      <c r="X204" s="5"/>
      <c r="Y204" s="5"/>
      <c r="Z204" s="5"/>
    </row>
    <row r="205" spans="1:26" ht="12.75" customHeight="1" x14ac:dyDescent="0.2">
      <c r="A205" s="5"/>
      <c r="B205" s="5"/>
      <c r="C205" s="5"/>
      <c r="D205" s="5"/>
      <c r="E205" s="5"/>
      <c r="F205" s="5"/>
      <c r="G205" s="5"/>
      <c r="H205" s="5"/>
      <c r="I205" s="5"/>
      <c r="J205" s="5"/>
      <c r="K205" s="5"/>
      <c r="L205" s="5"/>
      <c r="M205" s="5"/>
      <c r="N205" s="5"/>
      <c r="O205" s="5"/>
      <c r="P205" s="18"/>
      <c r="Q205" s="5"/>
      <c r="R205" s="5"/>
      <c r="S205" s="5"/>
      <c r="T205" s="5"/>
      <c r="U205" s="5"/>
      <c r="V205" s="5"/>
      <c r="W205" s="5"/>
      <c r="X205" s="5"/>
      <c r="Y205" s="5"/>
      <c r="Z205" s="5"/>
    </row>
    <row r="206" spans="1:26" ht="12.75" customHeight="1" x14ac:dyDescent="0.2">
      <c r="A206" s="5"/>
      <c r="B206" s="5"/>
      <c r="C206" s="5"/>
      <c r="D206" s="5"/>
      <c r="E206" s="5"/>
      <c r="F206" s="5"/>
      <c r="G206" s="5"/>
      <c r="H206" s="5"/>
      <c r="I206" s="5"/>
      <c r="J206" s="5"/>
      <c r="K206" s="5"/>
      <c r="L206" s="5"/>
      <c r="M206" s="5"/>
      <c r="N206" s="5"/>
      <c r="O206" s="5"/>
      <c r="P206" s="18"/>
      <c r="Q206" s="5"/>
      <c r="R206" s="5"/>
      <c r="S206" s="5"/>
      <c r="T206" s="5"/>
      <c r="U206" s="5"/>
      <c r="V206" s="5"/>
      <c r="W206" s="5"/>
      <c r="X206" s="5"/>
      <c r="Y206" s="5"/>
      <c r="Z206" s="5"/>
    </row>
    <row r="207" spans="1:26" ht="12.75" customHeight="1" x14ac:dyDescent="0.2">
      <c r="A207" s="5"/>
      <c r="B207" s="5"/>
      <c r="C207" s="5"/>
      <c r="D207" s="5"/>
      <c r="E207" s="5"/>
      <c r="F207" s="5"/>
      <c r="G207" s="5"/>
      <c r="H207" s="5"/>
      <c r="I207" s="5"/>
      <c r="J207" s="5"/>
      <c r="K207" s="5"/>
      <c r="L207" s="5"/>
      <c r="M207" s="5"/>
      <c r="N207" s="5"/>
      <c r="O207" s="5"/>
      <c r="P207" s="18"/>
      <c r="Q207" s="5"/>
      <c r="R207" s="5"/>
      <c r="S207" s="5"/>
      <c r="T207" s="5"/>
      <c r="U207" s="5"/>
      <c r="V207" s="5"/>
      <c r="W207" s="5"/>
      <c r="X207" s="5"/>
      <c r="Y207" s="5"/>
      <c r="Z207" s="5"/>
    </row>
    <row r="208" spans="1:26" ht="12.75" customHeight="1" x14ac:dyDescent="0.2">
      <c r="A208" s="5"/>
      <c r="B208" s="5"/>
      <c r="C208" s="5"/>
      <c r="D208" s="5"/>
      <c r="E208" s="5"/>
      <c r="F208" s="5"/>
      <c r="G208" s="5"/>
      <c r="H208" s="5"/>
      <c r="I208" s="5"/>
      <c r="J208" s="5"/>
      <c r="K208" s="5"/>
      <c r="L208" s="5"/>
      <c r="M208" s="5"/>
      <c r="N208" s="5"/>
      <c r="O208" s="5"/>
      <c r="P208" s="18"/>
      <c r="Q208" s="5"/>
      <c r="R208" s="5"/>
      <c r="S208" s="5"/>
      <c r="T208" s="5"/>
      <c r="U208" s="5"/>
      <c r="V208" s="5"/>
      <c r="W208" s="5"/>
      <c r="X208" s="5"/>
      <c r="Y208" s="5"/>
      <c r="Z208" s="5"/>
    </row>
    <row r="209" spans="1:26" ht="12.75" customHeight="1" x14ac:dyDescent="0.2">
      <c r="A209" s="5"/>
      <c r="B209" s="5"/>
      <c r="C209" s="5"/>
      <c r="D209" s="5"/>
      <c r="E209" s="5"/>
      <c r="F209" s="5"/>
      <c r="G209" s="5"/>
      <c r="H209" s="5"/>
      <c r="I209" s="5"/>
      <c r="J209" s="5"/>
      <c r="K209" s="5"/>
      <c r="L209" s="5"/>
      <c r="M209" s="5"/>
      <c r="N209" s="5"/>
      <c r="O209" s="5"/>
      <c r="P209" s="18"/>
      <c r="Q209" s="5"/>
      <c r="R209" s="5"/>
      <c r="S209" s="5"/>
      <c r="T209" s="5"/>
      <c r="U209" s="5"/>
      <c r="V209" s="5"/>
      <c r="W209" s="5"/>
      <c r="X209" s="5"/>
      <c r="Y209" s="5"/>
      <c r="Z209" s="5"/>
    </row>
    <row r="210" spans="1:26" ht="12.75" customHeight="1" x14ac:dyDescent="0.2">
      <c r="A210" s="5"/>
      <c r="B210" s="5"/>
      <c r="C210" s="5"/>
      <c r="D210" s="5"/>
      <c r="E210" s="5"/>
      <c r="F210" s="5"/>
      <c r="G210" s="5"/>
      <c r="H210" s="5"/>
      <c r="I210" s="5"/>
      <c r="J210" s="5"/>
      <c r="K210" s="5"/>
      <c r="L210" s="5"/>
      <c r="M210" s="5"/>
      <c r="N210" s="5"/>
      <c r="O210" s="5"/>
      <c r="P210" s="18"/>
      <c r="Q210" s="5"/>
      <c r="R210" s="5"/>
      <c r="S210" s="5"/>
      <c r="T210" s="5"/>
      <c r="U210" s="5"/>
      <c r="V210" s="5"/>
      <c r="W210" s="5"/>
      <c r="X210" s="5"/>
      <c r="Y210" s="5"/>
      <c r="Z210" s="5"/>
    </row>
    <row r="211" spans="1:26" ht="12.75" customHeight="1" x14ac:dyDescent="0.2">
      <c r="A211" s="5"/>
      <c r="B211" s="5"/>
      <c r="C211" s="5"/>
      <c r="D211" s="5"/>
      <c r="E211" s="5"/>
      <c r="F211" s="5"/>
      <c r="G211" s="5"/>
      <c r="H211" s="5"/>
      <c r="I211" s="5"/>
      <c r="J211" s="5"/>
      <c r="K211" s="5"/>
      <c r="L211" s="5"/>
      <c r="M211" s="5"/>
      <c r="N211" s="5"/>
      <c r="O211" s="5"/>
      <c r="P211" s="18"/>
      <c r="Q211" s="5"/>
      <c r="R211" s="5"/>
      <c r="S211" s="5"/>
      <c r="T211" s="5"/>
      <c r="U211" s="5"/>
      <c r="V211" s="5"/>
      <c r="W211" s="5"/>
      <c r="X211" s="5"/>
      <c r="Y211" s="5"/>
      <c r="Z211" s="5"/>
    </row>
    <row r="212" spans="1:26" ht="12.75" customHeight="1" x14ac:dyDescent="0.2">
      <c r="A212" s="5"/>
      <c r="B212" s="5"/>
      <c r="C212" s="5"/>
      <c r="D212" s="5"/>
      <c r="E212" s="5"/>
      <c r="F212" s="5"/>
      <c r="G212" s="5"/>
      <c r="H212" s="5"/>
      <c r="I212" s="5"/>
      <c r="J212" s="5"/>
      <c r="K212" s="5"/>
      <c r="L212" s="5"/>
      <c r="M212" s="5"/>
      <c r="N212" s="5"/>
      <c r="O212" s="5"/>
      <c r="P212" s="18"/>
      <c r="Q212" s="5"/>
      <c r="R212" s="5"/>
      <c r="S212" s="5"/>
      <c r="T212" s="5"/>
      <c r="U212" s="5"/>
      <c r="V212" s="5"/>
      <c r="W212" s="5"/>
      <c r="X212" s="5"/>
      <c r="Y212" s="5"/>
      <c r="Z212" s="5"/>
    </row>
    <row r="213" spans="1:26" ht="12.75" customHeight="1" x14ac:dyDescent="0.2">
      <c r="A213" s="5"/>
      <c r="B213" s="5"/>
      <c r="C213" s="5"/>
      <c r="D213" s="5"/>
      <c r="E213" s="5"/>
      <c r="F213" s="5"/>
      <c r="G213" s="5"/>
      <c r="H213" s="5"/>
      <c r="I213" s="5"/>
      <c r="J213" s="5"/>
      <c r="K213" s="5"/>
      <c r="L213" s="5"/>
      <c r="M213" s="5"/>
      <c r="N213" s="5"/>
      <c r="O213" s="5"/>
      <c r="P213" s="18"/>
      <c r="Q213" s="5"/>
      <c r="R213" s="5"/>
      <c r="S213" s="5"/>
      <c r="T213" s="5"/>
      <c r="U213" s="5"/>
      <c r="V213" s="5"/>
      <c r="W213" s="5"/>
      <c r="X213" s="5"/>
      <c r="Y213" s="5"/>
      <c r="Z213" s="5"/>
    </row>
    <row r="214" spans="1:26" ht="12.75" customHeight="1" x14ac:dyDescent="0.2">
      <c r="A214" s="5"/>
      <c r="B214" s="5"/>
      <c r="C214" s="5"/>
      <c r="D214" s="5"/>
      <c r="E214" s="5"/>
      <c r="F214" s="5"/>
      <c r="G214" s="5"/>
      <c r="H214" s="5"/>
      <c r="I214" s="5"/>
      <c r="J214" s="5"/>
      <c r="K214" s="5"/>
      <c r="L214" s="5"/>
      <c r="M214" s="5"/>
      <c r="N214" s="5"/>
      <c r="O214" s="5"/>
      <c r="P214" s="18"/>
      <c r="Q214" s="5"/>
      <c r="R214" s="5"/>
      <c r="S214" s="5"/>
      <c r="T214" s="5"/>
      <c r="U214" s="5"/>
      <c r="V214" s="5"/>
      <c r="W214" s="5"/>
      <c r="X214" s="5"/>
      <c r="Y214" s="5"/>
      <c r="Z214" s="5"/>
    </row>
    <row r="215" spans="1:26" ht="12.75" customHeight="1" x14ac:dyDescent="0.2">
      <c r="A215" s="5"/>
      <c r="B215" s="5"/>
      <c r="C215" s="5"/>
      <c r="D215" s="5"/>
      <c r="E215" s="5"/>
      <c r="F215" s="5"/>
      <c r="G215" s="5"/>
      <c r="H215" s="5"/>
      <c r="I215" s="5"/>
      <c r="J215" s="5"/>
      <c r="K215" s="5"/>
      <c r="L215" s="5"/>
      <c r="M215" s="5"/>
      <c r="N215" s="5"/>
      <c r="O215" s="5"/>
      <c r="P215" s="18"/>
      <c r="Q215" s="5"/>
      <c r="R215" s="5"/>
      <c r="S215" s="5"/>
      <c r="T215" s="5"/>
      <c r="U215" s="5"/>
      <c r="V215" s="5"/>
      <c r="W215" s="5"/>
      <c r="X215" s="5"/>
      <c r="Y215" s="5"/>
      <c r="Z215" s="5"/>
    </row>
    <row r="216" spans="1:26" ht="12.75" customHeight="1" x14ac:dyDescent="0.2">
      <c r="A216" s="5"/>
      <c r="B216" s="5"/>
      <c r="C216" s="5"/>
      <c r="D216" s="5"/>
      <c r="E216" s="5"/>
      <c r="F216" s="5"/>
      <c r="G216" s="5"/>
      <c r="H216" s="5"/>
      <c r="I216" s="5"/>
      <c r="J216" s="5"/>
      <c r="K216" s="5"/>
      <c r="L216" s="5"/>
      <c r="M216" s="5"/>
      <c r="N216" s="5"/>
      <c r="O216" s="5"/>
      <c r="P216" s="18"/>
      <c r="Q216" s="5"/>
      <c r="R216" s="5"/>
      <c r="S216" s="5"/>
      <c r="T216" s="5"/>
      <c r="U216" s="5"/>
      <c r="V216" s="5"/>
      <c r="W216" s="5"/>
      <c r="X216" s="5"/>
      <c r="Y216" s="5"/>
      <c r="Z216" s="5"/>
    </row>
    <row r="217" spans="1:26" ht="12.75" customHeight="1" x14ac:dyDescent="0.2">
      <c r="A217" s="5"/>
      <c r="B217" s="5"/>
      <c r="C217" s="5"/>
      <c r="D217" s="5"/>
      <c r="E217" s="5"/>
      <c r="F217" s="5"/>
      <c r="G217" s="5"/>
      <c r="H217" s="5"/>
      <c r="I217" s="5"/>
      <c r="J217" s="5"/>
      <c r="K217" s="5"/>
      <c r="L217" s="5"/>
      <c r="M217" s="5"/>
      <c r="N217" s="5"/>
      <c r="O217" s="5"/>
      <c r="P217" s="18"/>
      <c r="Q217" s="5"/>
      <c r="R217" s="5"/>
      <c r="S217" s="5"/>
      <c r="T217" s="5"/>
      <c r="U217" s="5"/>
      <c r="V217" s="5"/>
      <c r="W217" s="5"/>
      <c r="X217" s="5"/>
      <c r="Y217" s="5"/>
      <c r="Z217" s="5"/>
    </row>
    <row r="218" spans="1:26" ht="12.75" customHeight="1" x14ac:dyDescent="0.2">
      <c r="A218" s="5"/>
      <c r="B218" s="5"/>
      <c r="C218" s="5"/>
      <c r="D218" s="5"/>
      <c r="E218" s="5"/>
      <c r="F218" s="5"/>
      <c r="G218" s="5"/>
      <c r="H218" s="5"/>
      <c r="I218" s="5"/>
      <c r="J218" s="5"/>
      <c r="K218" s="5"/>
      <c r="L218" s="5"/>
      <c r="M218" s="5"/>
      <c r="N218" s="5"/>
      <c r="O218" s="5"/>
      <c r="P218" s="18"/>
      <c r="Q218" s="5"/>
      <c r="R218" s="5"/>
      <c r="S218" s="5"/>
      <c r="T218" s="5"/>
      <c r="U218" s="5"/>
      <c r="V218" s="5"/>
      <c r="W218" s="5"/>
      <c r="X218" s="5"/>
      <c r="Y218" s="5"/>
      <c r="Z218" s="5"/>
    </row>
    <row r="219" spans="1:26" ht="12.75" customHeight="1" x14ac:dyDescent="0.2">
      <c r="A219" s="5"/>
      <c r="B219" s="5"/>
      <c r="C219" s="5"/>
      <c r="D219" s="5"/>
      <c r="E219" s="5"/>
      <c r="F219" s="5"/>
      <c r="G219" s="5"/>
      <c r="H219" s="5"/>
      <c r="I219" s="5"/>
      <c r="J219" s="5"/>
      <c r="K219" s="5"/>
      <c r="L219" s="5"/>
      <c r="M219" s="5"/>
      <c r="N219" s="5"/>
      <c r="O219" s="5"/>
      <c r="P219" s="18"/>
      <c r="Q219" s="5"/>
      <c r="R219" s="5"/>
      <c r="S219" s="5"/>
      <c r="T219" s="5"/>
      <c r="U219" s="5"/>
      <c r="V219" s="5"/>
      <c r="W219" s="5"/>
      <c r="X219" s="5"/>
      <c r="Y219" s="5"/>
      <c r="Z219" s="5"/>
    </row>
    <row r="220" spans="1:26" ht="12.75" customHeight="1" x14ac:dyDescent="0.2">
      <c r="A220" s="5"/>
      <c r="B220" s="5"/>
      <c r="C220" s="5"/>
      <c r="D220" s="5"/>
      <c r="E220" s="5"/>
      <c r="F220" s="5"/>
      <c r="G220" s="5"/>
      <c r="H220" s="5"/>
      <c r="I220" s="5"/>
      <c r="J220" s="5"/>
      <c r="K220" s="5"/>
      <c r="L220" s="5"/>
      <c r="M220" s="5"/>
      <c r="N220" s="5"/>
      <c r="O220" s="5"/>
      <c r="P220" s="18"/>
      <c r="Q220" s="5"/>
      <c r="R220" s="5"/>
      <c r="S220" s="5"/>
      <c r="T220" s="5"/>
      <c r="U220" s="5"/>
      <c r="V220" s="5"/>
      <c r="W220" s="5"/>
      <c r="X220" s="5"/>
      <c r="Y220" s="5"/>
      <c r="Z220" s="5"/>
    </row>
    <row r="221" spans="1:26" ht="12.75" customHeight="1" x14ac:dyDescent="0.2">
      <c r="A221" s="5"/>
      <c r="B221" s="5"/>
      <c r="C221" s="5"/>
      <c r="D221" s="5"/>
      <c r="E221" s="5"/>
      <c r="F221" s="5"/>
      <c r="G221" s="5"/>
      <c r="H221" s="5"/>
      <c r="I221" s="5"/>
      <c r="J221" s="5"/>
      <c r="K221" s="5"/>
      <c r="L221" s="5"/>
      <c r="M221" s="5"/>
      <c r="N221" s="5"/>
      <c r="O221" s="5"/>
      <c r="P221" s="18"/>
      <c r="Q221" s="5"/>
      <c r="R221" s="5"/>
      <c r="S221" s="5"/>
      <c r="T221" s="5"/>
      <c r="U221" s="5"/>
      <c r="V221" s="5"/>
      <c r="W221" s="5"/>
      <c r="X221" s="5"/>
      <c r="Y221" s="5"/>
      <c r="Z221" s="5"/>
    </row>
    <row r="222" spans="1:26" ht="12.75" customHeight="1" x14ac:dyDescent="0.2">
      <c r="A222" s="5"/>
      <c r="B222" s="5"/>
      <c r="C222" s="5"/>
      <c r="D222" s="5"/>
      <c r="E222" s="5"/>
      <c r="F222" s="5"/>
      <c r="G222" s="5"/>
      <c r="H222" s="5"/>
      <c r="I222" s="5"/>
      <c r="J222" s="5"/>
      <c r="K222" s="5"/>
      <c r="L222" s="5"/>
      <c r="M222" s="5"/>
      <c r="N222" s="5"/>
      <c r="O222" s="5"/>
      <c r="P222" s="18"/>
      <c r="Q222" s="5"/>
      <c r="R222" s="5"/>
      <c r="S222" s="5"/>
      <c r="T222" s="5"/>
      <c r="U222" s="5"/>
      <c r="V222" s="5"/>
      <c r="W222" s="5"/>
      <c r="X222" s="5"/>
      <c r="Y222" s="5"/>
      <c r="Z222" s="5"/>
    </row>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2">
    <mergeCell ref="B14:F14"/>
    <mergeCell ref="B15:F15"/>
    <mergeCell ref="F6:N7"/>
    <mergeCell ref="B11:F11"/>
    <mergeCell ref="O11:S11"/>
    <mergeCell ref="B12:F12"/>
    <mergeCell ref="B13:F13"/>
    <mergeCell ref="B16:F16"/>
    <mergeCell ref="B17:F17"/>
    <mergeCell ref="B18:F18"/>
    <mergeCell ref="A22:S25"/>
    <mergeCell ref="A27:S27"/>
  </mergeCells>
  <hyperlinks>
    <hyperlink ref="Q16" r:id="rId1" xr:uid="{00000000-0004-0000-0000-000000000000}"/>
  </hyperlinks>
  <pageMargins left="0.78740157499999996" right="0.78740157499999996" top="0.984251969" bottom="0.984251969" header="0" footer="0"/>
  <pageSetup paperSize="9"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98"/>
  <sheetViews>
    <sheetView showGridLines="0" workbookViewId="0"/>
  </sheetViews>
  <sheetFormatPr defaultColWidth="14.42578125" defaultRowHeight="15" customHeight="1" x14ac:dyDescent="0.2"/>
  <cols>
    <col min="1" max="1" width="24.7109375" customWidth="1"/>
    <col min="2" max="11" width="9.140625" customWidth="1"/>
    <col min="12" max="12" width="11" customWidth="1"/>
    <col min="13" max="22" width="9.140625" customWidth="1"/>
  </cols>
  <sheetData>
    <row r="1" spans="1:22" ht="27" customHeight="1" x14ac:dyDescent="0.2">
      <c r="A1" s="42" t="s">
        <v>13</v>
      </c>
      <c r="B1" s="43"/>
      <c r="C1" s="43"/>
      <c r="D1" s="43"/>
      <c r="E1" s="43"/>
      <c r="F1" s="43"/>
      <c r="G1" s="43"/>
      <c r="H1" s="43"/>
      <c r="I1" s="43"/>
      <c r="J1" s="43"/>
      <c r="K1" s="43"/>
      <c r="L1" s="43"/>
      <c r="M1" s="43"/>
      <c r="N1" s="43"/>
      <c r="O1" s="43"/>
      <c r="P1" s="43"/>
      <c r="Q1" s="43"/>
      <c r="R1" s="43"/>
      <c r="S1" s="43"/>
      <c r="T1" s="43"/>
      <c r="U1" s="43"/>
      <c r="V1" s="43"/>
    </row>
    <row r="2" spans="1:22" ht="13.5" customHeight="1" x14ac:dyDescent="0.25">
      <c r="A2" s="43"/>
      <c r="B2" s="43"/>
      <c r="C2" s="43"/>
      <c r="D2" s="43"/>
      <c r="E2" s="43"/>
      <c r="F2" s="43"/>
      <c r="G2" s="43"/>
      <c r="H2" s="43"/>
      <c r="I2" s="43"/>
      <c r="J2" s="43"/>
      <c r="K2" s="43"/>
      <c r="L2" s="44"/>
      <c r="M2" s="43"/>
      <c r="N2" s="43"/>
      <c r="O2" s="43"/>
      <c r="P2" s="43"/>
      <c r="Q2" s="43"/>
      <c r="R2" s="43"/>
      <c r="S2" s="43"/>
      <c r="T2" s="43"/>
      <c r="U2" s="43"/>
      <c r="V2" s="43"/>
    </row>
    <row r="3" spans="1:22" ht="12.75" customHeight="1" x14ac:dyDescent="0.2">
      <c r="A3" s="45" t="s">
        <v>14</v>
      </c>
      <c r="B3" s="43"/>
      <c r="C3" s="43"/>
      <c r="D3" s="43"/>
      <c r="E3" s="43"/>
      <c r="F3" s="43"/>
      <c r="G3" s="43"/>
      <c r="H3" s="43"/>
      <c r="I3" s="43"/>
      <c r="J3" s="43"/>
      <c r="K3" s="43"/>
      <c r="L3" s="43"/>
      <c r="M3" s="46"/>
      <c r="N3" s="46"/>
      <c r="O3" s="46"/>
      <c r="P3" s="46"/>
      <c r="Q3" s="46"/>
      <c r="R3" s="46"/>
      <c r="S3" s="46"/>
      <c r="T3" s="46"/>
      <c r="U3" s="46"/>
      <c r="V3" s="46"/>
    </row>
    <row r="4" spans="1:22" ht="13.5" customHeight="1" x14ac:dyDescent="0.2">
      <c r="A4" s="47"/>
      <c r="B4" s="43"/>
      <c r="C4" s="43"/>
      <c r="D4" s="43"/>
      <c r="E4" s="43"/>
      <c r="F4" s="43"/>
      <c r="G4" s="43"/>
      <c r="H4" s="43"/>
      <c r="I4" s="43"/>
      <c r="J4" s="43"/>
      <c r="K4" s="43"/>
      <c r="L4" s="43"/>
      <c r="M4" s="46"/>
      <c r="N4" s="46"/>
      <c r="O4" s="46"/>
      <c r="P4" s="46"/>
      <c r="Q4" s="46"/>
      <c r="R4" s="46"/>
      <c r="S4" s="46"/>
      <c r="T4" s="46"/>
      <c r="U4" s="46"/>
      <c r="V4" s="46"/>
    </row>
    <row r="5" spans="1:22" ht="12.75" customHeight="1" x14ac:dyDescent="0.2">
      <c r="A5" s="45" t="s">
        <v>15</v>
      </c>
      <c r="B5" s="43"/>
      <c r="C5" s="43"/>
      <c r="D5" s="43"/>
      <c r="E5" s="43"/>
      <c r="F5" s="43"/>
      <c r="G5" s="43"/>
      <c r="H5" s="43"/>
      <c r="I5" s="43"/>
      <c r="J5" s="43"/>
      <c r="K5" s="43"/>
      <c r="L5" s="43"/>
      <c r="M5" s="46"/>
      <c r="N5" s="46"/>
      <c r="O5" s="46"/>
      <c r="P5" s="46"/>
      <c r="Q5" s="46"/>
      <c r="R5" s="46"/>
      <c r="S5" s="46"/>
      <c r="T5" s="46"/>
      <c r="U5" s="46"/>
      <c r="V5" s="46"/>
    </row>
    <row r="6" spans="1:22" ht="12.75" customHeight="1" x14ac:dyDescent="0.2">
      <c r="A6" s="45" t="s">
        <v>16</v>
      </c>
      <c r="B6" s="43"/>
      <c r="C6" s="48"/>
      <c r="D6" s="48"/>
      <c r="E6" s="48"/>
      <c r="F6" s="48"/>
      <c r="G6" s="48"/>
      <c r="H6" s="48"/>
      <c r="I6" s="48"/>
      <c r="J6" s="48"/>
      <c r="K6" s="47"/>
      <c r="L6" s="47"/>
      <c r="M6" s="49"/>
      <c r="N6" s="46"/>
      <c r="O6" s="46"/>
      <c r="P6" s="46"/>
      <c r="Q6" s="46"/>
      <c r="R6" s="46"/>
      <c r="S6" s="46"/>
      <c r="T6" s="46"/>
      <c r="U6" s="46"/>
      <c r="V6" s="46"/>
    </row>
    <row r="7" spans="1:22" ht="8.25" customHeight="1" x14ac:dyDescent="0.2">
      <c r="A7" s="50"/>
      <c r="B7" s="43"/>
      <c r="C7" s="50"/>
      <c r="D7" s="50"/>
      <c r="E7" s="50"/>
      <c r="F7" s="50"/>
      <c r="G7" s="50"/>
      <c r="H7" s="50"/>
      <c r="I7" s="50"/>
      <c r="J7" s="50"/>
      <c r="K7" s="47"/>
      <c r="L7" s="47"/>
      <c r="M7" s="49"/>
      <c r="N7" s="46"/>
      <c r="O7" s="46"/>
      <c r="P7" s="46"/>
      <c r="Q7" s="46"/>
      <c r="R7" s="46"/>
      <c r="S7" s="46"/>
      <c r="T7" s="46"/>
      <c r="U7" s="46"/>
      <c r="V7" s="46"/>
    </row>
    <row r="8" spans="1:22" ht="8.25" customHeight="1" x14ac:dyDescent="0.2">
      <c r="A8" s="43"/>
      <c r="B8" s="45"/>
      <c r="C8" s="43"/>
      <c r="D8" s="43"/>
      <c r="E8" s="43"/>
      <c r="F8" s="43"/>
      <c r="G8" s="43"/>
      <c r="H8" s="43"/>
      <c r="I8" s="43"/>
      <c r="J8" s="43"/>
      <c r="K8" s="43"/>
      <c r="L8" s="43"/>
      <c r="M8" s="43"/>
      <c r="N8" s="43"/>
      <c r="O8" s="43"/>
      <c r="P8" s="43"/>
      <c r="Q8" s="43"/>
      <c r="R8" s="43"/>
      <c r="S8" s="43"/>
      <c r="T8" s="43"/>
      <c r="U8" s="43"/>
      <c r="V8" s="43"/>
    </row>
    <row r="9" spans="1:22" ht="21" customHeight="1" x14ac:dyDescent="0.2">
      <c r="A9" s="51" t="s">
        <v>17</v>
      </c>
      <c r="B9" s="414" t="s">
        <v>18</v>
      </c>
      <c r="C9" s="405"/>
      <c r="D9" s="405"/>
      <c r="E9" s="405"/>
      <c r="F9" s="405"/>
      <c r="G9" s="405"/>
      <c r="H9" s="405"/>
      <c r="I9" s="405"/>
      <c r="J9" s="405"/>
      <c r="K9" s="405"/>
      <c r="L9" s="405"/>
      <c r="M9" s="46"/>
      <c r="N9" s="46"/>
      <c r="O9" s="46"/>
      <c r="P9" s="46"/>
      <c r="Q9" s="46"/>
      <c r="R9" s="46"/>
      <c r="S9" s="46"/>
      <c r="T9" s="46"/>
      <c r="U9" s="46"/>
      <c r="V9" s="46"/>
    </row>
    <row r="10" spans="1:22" ht="12.75" customHeight="1" x14ac:dyDescent="0.2">
      <c r="A10" s="52" t="s">
        <v>19</v>
      </c>
      <c r="B10" s="53" t="s">
        <v>20</v>
      </c>
      <c r="C10" s="54"/>
      <c r="D10" s="54"/>
      <c r="E10" s="54"/>
      <c r="F10" s="54"/>
      <c r="G10" s="54"/>
      <c r="H10" s="54"/>
      <c r="I10" s="54"/>
      <c r="J10" s="54"/>
      <c r="K10" s="54"/>
      <c r="L10" s="54"/>
      <c r="M10" s="46"/>
      <c r="N10" s="46"/>
      <c r="O10" s="46"/>
      <c r="P10" s="46"/>
      <c r="Q10" s="46"/>
      <c r="R10" s="46"/>
      <c r="S10" s="46"/>
      <c r="T10" s="46"/>
      <c r="U10" s="46"/>
      <c r="V10" s="46"/>
    </row>
    <row r="11" spans="1:22" ht="12.75" customHeight="1" x14ac:dyDescent="0.2">
      <c r="A11" s="52" t="s">
        <v>21</v>
      </c>
      <c r="B11" s="53" t="s">
        <v>22</v>
      </c>
      <c r="C11" s="54"/>
      <c r="D11" s="54"/>
      <c r="E11" s="54"/>
      <c r="F11" s="54"/>
      <c r="G11" s="54"/>
      <c r="H11" s="54"/>
      <c r="I11" s="54"/>
      <c r="J11" s="54"/>
      <c r="K11" s="54"/>
      <c r="L11" s="54"/>
      <c r="M11" s="46"/>
      <c r="N11" s="46"/>
      <c r="O11" s="46"/>
      <c r="P11" s="46"/>
      <c r="Q11" s="46"/>
      <c r="R11" s="46"/>
      <c r="S11" s="46"/>
      <c r="T11" s="46"/>
      <c r="U11" s="46"/>
      <c r="V11" s="46"/>
    </row>
    <row r="12" spans="1:22" ht="12.75" customHeight="1" x14ac:dyDescent="0.2">
      <c r="A12" s="52" t="s">
        <v>23</v>
      </c>
      <c r="B12" s="53" t="s">
        <v>24</v>
      </c>
      <c r="C12" s="54"/>
      <c r="D12" s="54"/>
      <c r="E12" s="54"/>
      <c r="F12" s="54"/>
      <c r="G12" s="54"/>
      <c r="H12" s="54"/>
      <c r="I12" s="54"/>
      <c r="J12" s="54"/>
      <c r="K12" s="54"/>
      <c r="L12" s="54"/>
      <c r="M12" s="46"/>
      <c r="N12" s="46"/>
      <c r="O12" s="46"/>
      <c r="P12" s="46"/>
      <c r="Q12" s="46"/>
      <c r="R12" s="46"/>
      <c r="S12" s="46"/>
      <c r="T12" s="46"/>
      <c r="U12" s="46"/>
      <c r="V12" s="46"/>
    </row>
    <row r="13" spans="1:22" ht="12.75" customHeight="1" x14ac:dyDescent="0.2">
      <c r="A13" s="52" t="s">
        <v>25</v>
      </c>
      <c r="B13" s="53" t="s">
        <v>26</v>
      </c>
      <c r="C13" s="54"/>
      <c r="D13" s="54"/>
      <c r="E13" s="54"/>
      <c r="F13" s="54"/>
      <c r="G13" s="54"/>
      <c r="H13" s="54"/>
      <c r="I13" s="54"/>
      <c r="J13" s="54"/>
      <c r="K13" s="54"/>
      <c r="L13" s="54"/>
      <c r="M13" s="46"/>
      <c r="N13" s="46"/>
      <c r="O13" s="46"/>
      <c r="P13" s="46"/>
      <c r="Q13" s="46"/>
      <c r="R13" s="46"/>
      <c r="S13" s="46"/>
      <c r="T13" s="46"/>
      <c r="U13" s="46"/>
      <c r="V13" s="46"/>
    </row>
    <row r="14" spans="1:22" ht="12.75" customHeight="1" x14ac:dyDescent="0.2">
      <c r="A14" s="52" t="s">
        <v>27</v>
      </c>
      <c r="B14" s="53" t="s">
        <v>28</v>
      </c>
      <c r="C14" s="54"/>
      <c r="D14" s="54"/>
      <c r="E14" s="54"/>
      <c r="F14" s="54"/>
      <c r="G14" s="54"/>
      <c r="H14" s="54"/>
      <c r="I14" s="54"/>
      <c r="J14" s="54"/>
      <c r="K14" s="54"/>
      <c r="L14" s="54"/>
      <c r="M14" s="46"/>
      <c r="N14" s="46"/>
      <c r="O14" s="46"/>
      <c r="P14" s="46"/>
      <c r="Q14" s="46"/>
      <c r="R14" s="46"/>
      <c r="S14" s="46"/>
      <c r="T14" s="46"/>
      <c r="U14" s="46"/>
      <c r="V14" s="46"/>
    </row>
    <row r="15" spans="1:22" ht="12.75" customHeight="1" x14ac:dyDescent="0.2">
      <c r="A15" s="52" t="s">
        <v>29</v>
      </c>
      <c r="B15" s="53" t="s">
        <v>30</v>
      </c>
      <c r="C15" s="54"/>
      <c r="D15" s="54"/>
      <c r="E15" s="54"/>
      <c r="F15" s="54"/>
      <c r="G15" s="54"/>
      <c r="H15" s="54"/>
      <c r="I15" s="54"/>
      <c r="J15" s="54"/>
      <c r="K15" s="54"/>
      <c r="L15" s="54"/>
      <c r="M15" s="46"/>
      <c r="N15" s="46"/>
      <c r="O15" s="46"/>
      <c r="P15" s="46"/>
      <c r="Q15" s="46"/>
      <c r="R15" s="46"/>
      <c r="S15" s="46"/>
      <c r="T15" s="46"/>
      <c r="U15" s="46"/>
      <c r="V15" s="46"/>
    </row>
    <row r="16" spans="1:22" ht="12.75" customHeight="1" x14ac:dyDescent="0.2">
      <c r="A16" s="52" t="s">
        <v>31</v>
      </c>
      <c r="B16" s="53" t="s">
        <v>32</v>
      </c>
      <c r="C16" s="54"/>
      <c r="D16" s="54"/>
      <c r="E16" s="54"/>
      <c r="F16" s="54"/>
      <c r="G16" s="54"/>
      <c r="H16" s="54"/>
      <c r="I16" s="54"/>
      <c r="J16" s="54"/>
      <c r="K16" s="54"/>
      <c r="L16" s="54"/>
      <c r="M16" s="46"/>
      <c r="N16" s="46"/>
      <c r="O16" s="46"/>
      <c r="P16" s="46"/>
      <c r="Q16" s="46"/>
      <c r="R16" s="46"/>
      <c r="S16" s="46"/>
      <c r="T16" s="46"/>
      <c r="U16" s="46"/>
      <c r="V16" s="46"/>
    </row>
    <row r="17" spans="1:22" ht="7.5" customHeight="1" x14ac:dyDescent="0.2">
      <c r="A17" s="55"/>
      <c r="B17" s="56"/>
      <c r="C17" s="43"/>
      <c r="D17" s="43"/>
      <c r="E17" s="43"/>
      <c r="F17" s="43"/>
      <c r="G17" s="43"/>
      <c r="H17" s="43"/>
      <c r="I17" s="43"/>
      <c r="J17" s="43"/>
      <c r="K17" s="43"/>
      <c r="L17" s="43"/>
      <c r="M17" s="43"/>
      <c r="N17" s="43"/>
      <c r="O17" s="43"/>
      <c r="P17" s="43"/>
      <c r="Q17" s="43"/>
      <c r="R17" s="43"/>
      <c r="S17" s="43"/>
      <c r="T17" s="43"/>
      <c r="U17" s="43"/>
      <c r="V17" s="43"/>
    </row>
    <row r="18" spans="1:22" ht="16.5" customHeight="1" x14ac:dyDescent="0.2">
      <c r="A18" s="415" t="s">
        <v>33</v>
      </c>
      <c r="B18" s="416"/>
      <c r="C18" s="416"/>
      <c r="D18" s="416"/>
      <c r="E18" s="416"/>
      <c r="F18" s="416"/>
      <c r="G18" s="416"/>
      <c r="H18" s="416"/>
      <c r="I18" s="416"/>
      <c r="J18" s="416"/>
      <c r="K18" s="416"/>
      <c r="L18" s="417"/>
      <c r="M18" s="46"/>
      <c r="N18" s="46"/>
      <c r="O18" s="46"/>
      <c r="P18" s="46"/>
      <c r="Q18" s="46"/>
      <c r="R18" s="46"/>
      <c r="S18" s="46"/>
      <c r="T18" s="46"/>
      <c r="U18" s="46"/>
      <c r="V18" s="46"/>
    </row>
    <row r="19" spans="1:22" ht="16.5" customHeight="1" x14ac:dyDescent="0.2">
      <c r="A19" s="407"/>
      <c r="B19" s="408"/>
      <c r="C19" s="408"/>
      <c r="D19" s="408"/>
      <c r="E19" s="408"/>
      <c r="F19" s="408"/>
      <c r="G19" s="408"/>
      <c r="H19" s="408"/>
      <c r="I19" s="408"/>
      <c r="J19" s="408"/>
      <c r="K19" s="408"/>
      <c r="L19" s="409"/>
      <c r="M19" s="43"/>
      <c r="N19" s="43"/>
      <c r="O19" s="43"/>
      <c r="P19" s="43"/>
      <c r="Q19" s="43"/>
      <c r="R19" s="43"/>
      <c r="S19" s="43"/>
      <c r="T19" s="43"/>
      <c r="U19" s="43"/>
      <c r="V19" s="43"/>
    </row>
    <row r="20" spans="1:22" ht="12.75" customHeight="1" x14ac:dyDescent="0.2">
      <c r="A20" s="57"/>
      <c r="B20" s="57"/>
      <c r="C20" s="57"/>
      <c r="D20" s="57"/>
      <c r="E20" s="57"/>
      <c r="F20" s="57"/>
      <c r="G20" s="57"/>
      <c r="H20" s="57"/>
      <c r="I20" s="58"/>
      <c r="J20" s="58"/>
      <c r="K20" s="58"/>
      <c r="L20" s="58"/>
      <c r="M20" s="43"/>
      <c r="N20" s="43"/>
      <c r="O20" s="43"/>
      <c r="P20" s="43"/>
      <c r="Q20" s="43"/>
      <c r="R20" s="43"/>
      <c r="S20" s="43"/>
      <c r="T20" s="43"/>
      <c r="U20" s="43"/>
      <c r="V20" s="43"/>
    </row>
    <row r="21" spans="1:22" ht="12" customHeight="1" x14ac:dyDescent="0.2">
      <c r="A21" s="57"/>
      <c r="B21" s="57"/>
      <c r="C21" s="57"/>
      <c r="D21" s="57"/>
      <c r="E21" s="57"/>
      <c r="F21" s="57"/>
      <c r="G21" s="57"/>
      <c r="H21" s="57"/>
      <c r="I21" s="58"/>
      <c r="J21" s="58"/>
      <c r="K21" s="58"/>
      <c r="L21" s="58"/>
      <c r="M21" s="43"/>
      <c r="N21" s="43"/>
      <c r="O21" s="43"/>
      <c r="P21" s="43"/>
      <c r="Q21" s="43"/>
      <c r="R21" s="43"/>
      <c r="S21" s="43"/>
      <c r="T21" s="43"/>
      <c r="U21" s="43"/>
      <c r="V21" s="43"/>
    </row>
    <row r="22" spans="1:22" ht="12.75" customHeight="1" x14ac:dyDescent="0.2">
      <c r="A22" s="43"/>
      <c r="B22" s="43"/>
      <c r="C22" s="43"/>
      <c r="D22" s="43"/>
      <c r="E22" s="43"/>
      <c r="F22" s="43"/>
      <c r="G22" s="43"/>
      <c r="H22" s="43"/>
      <c r="I22" s="43"/>
      <c r="J22" s="43"/>
      <c r="K22" s="43"/>
      <c r="L22" s="43"/>
      <c r="M22" s="43"/>
      <c r="N22" s="43"/>
      <c r="O22" s="43"/>
      <c r="P22" s="43"/>
      <c r="Q22" s="43"/>
      <c r="R22" s="43"/>
      <c r="S22" s="43"/>
      <c r="T22" s="43"/>
      <c r="U22" s="43"/>
      <c r="V22" s="43"/>
    </row>
    <row r="23" spans="1:22" ht="12.75" customHeight="1" x14ac:dyDescent="0.2">
      <c r="A23" s="43"/>
      <c r="B23" s="43"/>
      <c r="C23" s="43"/>
      <c r="D23" s="43"/>
      <c r="E23" s="43"/>
      <c r="F23" s="43"/>
      <c r="G23" s="43"/>
      <c r="H23" s="43"/>
      <c r="I23" s="43"/>
      <c r="J23" s="43"/>
      <c r="K23" s="43"/>
      <c r="L23" s="43"/>
      <c r="M23" s="43"/>
      <c r="N23" s="43"/>
      <c r="O23" s="43"/>
      <c r="P23" s="43"/>
      <c r="Q23" s="43"/>
      <c r="R23" s="43"/>
      <c r="S23" s="43"/>
      <c r="T23" s="43"/>
      <c r="U23" s="43"/>
      <c r="V23" s="43"/>
    </row>
    <row r="24" spans="1:22" ht="12.75" customHeight="1" x14ac:dyDescent="0.2">
      <c r="A24" s="43"/>
      <c r="B24" s="43"/>
      <c r="C24" s="43"/>
      <c r="D24" s="43"/>
      <c r="E24" s="43"/>
      <c r="F24" s="43"/>
      <c r="G24" s="43"/>
      <c r="H24" s="43"/>
      <c r="I24" s="43"/>
      <c r="J24" s="43"/>
      <c r="K24" s="43"/>
      <c r="L24" s="43"/>
      <c r="M24" s="43"/>
      <c r="N24" s="43"/>
      <c r="O24" s="43"/>
      <c r="P24" s="43"/>
      <c r="Q24" s="43"/>
      <c r="R24" s="43"/>
      <c r="S24" s="43"/>
      <c r="T24" s="43"/>
      <c r="U24" s="43"/>
      <c r="V24" s="43"/>
    </row>
    <row r="25" spans="1:22" ht="12.75" customHeight="1" x14ac:dyDescent="0.2">
      <c r="A25" s="43"/>
      <c r="B25" s="43"/>
      <c r="C25" s="43"/>
      <c r="D25" s="43"/>
      <c r="E25" s="43"/>
      <c r="F25" s="43"/>
      <c r="G25" s="43"/>
      <c r="H25" s="43"/>
      <c r="I25" s="43"/>
      <c r="J25" s="43"/>
      <c r="K25" s="43"/>
      <c r="L25" s="43"/>
      <c r="M25" s="43"/>
      <c r="N25" s="43"/>
      <c r="O25" s="43"/>
      <c r="P25" s="43"/>
      <c r="Q25" s="43"/>
      <c r="R25" s="43"/>
      <c r="S25" s="43"/>
      <c r="T25" s="43"/>
      <c r="U25" s="43"/>
      <c r="V25" s="43"/>
    </row>
    <row r="26" spans="1:22" ht="12.75" customHeight="1" x14ac:dyDescent="0.2">
      <c r="A26" s="43"/>
      <c r="B26" s="43"/>
      <c r="C26" s="43"/>
      <c r="D26" s="43"/>
      <c r="E26" s="43"/>
      <c r="F26" s="43"/>
      <c r="G26" s="43"/>
      <c r="H26" s="43"/>
      <c r="I26" s="43"/>
      <c r="J26" s="43"/>
      <c r="K26" s="43"/>
      <c r="L26" s="43"/>
      <c r="M26" s="43"/>
      <c r="N26" s="43"/>
      <c r="O26" s="43"/>
      <c r="P26" s="43"/>
      <c r="Q26" s="43"/>
      <c r="R26" s="43"/>
      <c r="S26" s="43"/>
      <c r="T26" s="43"/>
      <c r="U26" s="43"/>
      <c r="V26" s="43"/>
    </row>
    <row r="27" spans="1:22" ht="12.75" customHeight="1" x14ac:dyDescent="0.2">
      <c r="A27" s="43"/>
      <c r="B27" s="43"/>
      <c r="C27" s="43"/>
      <c r="D27" s="43"/>
      <c r="E27" s="43"/>
      <c r="F27" s="43"/>
      <c r="G27" s="43"/>
      <c r="H27" s="43"/>
      <c r="I27" s="43"/>
      <c r="J27" s="43"/>
      <c r="K27" s="43"/>
      <c r="L27" s="43"/>
      <c r="M27" s="43"/>
      <c r="N27" s="43"/>
      <c r="O27" s="43"/>
      <c r="P27" s="43"/>
      <c r="Q27" s="43"/>
      <c r="R27" s="43"/>
      <c r="S27" s="43"/>
      <c r="T27" s="43"/>
      <c r="U27" s="43"/>
      <c r="V27" s="43"/>
    </row>
    <row r="28" spans="1:22" ht="12.75" customHeight="1" x14ac:dyDescent="0.2">
      <c r="A28" s="43"/>
      <c r="B28" s="43"/>
      <c r="C28" s="43"/>
      <c r="D28" s="43"/>
      <c r="E28" s="43"/>
      <c r="F28" s="43"/>
      <c r="G28" s="43"/>
      <c r="H28" s="43"/>
      <c r="I28" s="43"/>
      <c r="J28" s="43"/>
      <c r="K28" s="43"/>
      <c r="L28" s="43"/>
      <c r="M28" s="43"/>
      <c r="N28" s="43"/>
      <c r="O28" s="43"/>
      <c r="P28" s="43"/>
      <c r="Q28" s="43"/>
      <c r="R28" s="43"/>
      <c r="S28" s="43"/>
      <c r="T28" s="43"/>
      <c r="U28" s="43"/>
      <c r="V28" s="43"/>
    </row>
    <row r="29" spans="1:22" ht="12.75" customHeight="1" x14ac:dyDescent="0.2">
      <c r="A29" s="43"/>
      <c r="B29" s="43"/>
      <c r="C29" s="43"/>
      <c r="D29" s="43"/>
      <c r="E29" s="43"/>
      <c r="F29" s="43"/>
      <c r="G29" s="43"/>
      <c r="H29" s="43"/>
      <c r="I29" s="43"/>
      <c r="J29" s="43"/>
      <c r="K29" s="43"/>
      <c r="L29" s="43"/>
      <c r="M29" s="43"/>
      <c r="N29" s="43"/>
      <c r="O29" s="43"/>
      <c r="P29" s="43"/>
      <c r="Q29" s="43"/>
      <c r="R29" s="43"/>
      <c r="S29" s="43"/>
      <c r="T29" s="43"/>
      <c r="U29" s="43"/>
      <c r="V29" s="43"/>
    </row>
    <row r="30" spans="1:22" ht="12.75" customHeight="1" x14ac:dyDescent="0.2">
      <c r="A30" s="43"/>
      <c r="B30" s="43"/>
      <c r="C30" s="43"/>
      <c r="D30" s="43"/>
      <c r="E30" s="43"/>
      <c r="F30" s="43"/>
      <c r="G30" s="43"/>
      <c r="H30" s="43"/>
      <c r="I30" s="43"/>
      <c r="J30" s="43"/>
      <c r="K30" s="43"/>
      <c r="L30" s="43"/>
      <c r="M30" s="43"/>
      <c r="N30" s="43"/>
      <c r="O30" s="43"/>
      <c r="P30" s="43"/>
      <c r="Q30" s="43"/>
      <c r="R30" s="43"/>
      <c r="S30" s="43"/>
      <c r="T30" s="43"/>
      <c r="U30" s="43"/>
      <c r="V30" s="43"/>
    </row>
    <row r="31" spans="1:22" ht="12.75" customHeight="1" x14ac:dyDescent="0.2">
      <c r="A31" s="43"/>
      <c r="B31" s="43"/>
      <c r="C31" s="43"/>
      <c r="D31" s="43"/>
      <c r="E31" s="43"/>
      <c r="F31" s="43"/>
      <c r="G31" s="43"/>
      <c r="H31" s="43"/>
      <c r="I31" s="43"/>
      <c r="J31" s="43"/>
      <c r="K31" s="43"/>
      <c r="L31" s="43"/>
      <c r="M31" s="43"/>
      <c r="N31" s="43"/>
      <c r="O31" s="43"/>
      <c r="P31" s="43"/>
      <c r="Q31" s="43"/>
      <c r="R31" s="43"/>
      <c r="S31" s="43"/>
      <c r="T31" s="43"/>
      <c r="U31" s="43"/>
      <c r="V31" s="43"/>
    </row>
    <row r="32" spans="1:22" ht="12.75" customHeight="1" x14ac:dyDescent="0.2">
      <c r="A32" s="43"/>
      <c r="B32" s="43"/>
      <c r="C32" s="43"/>
      <c r="D32" s="43"/>
      <c r="E32" s="43"/>
      <c r="F32" s="43"/>
      <c r="G32" s="43"/>
      <c r="H32" s="43"/>
      <c r="I32" s="43"/>
      <c r="J32" s="43"/>
      <c r="K32" s="43"/>
      <c r="L32" s="43"/>
      <c r="M32" s="43"/>
      <c r="N32" s="43"/>
      <c r="O32" s="43"/>
      <c r="P32" s="43"/>
      <c r="Q32" s="43"/>
      <c r="R32" s="43"/>
      <c r="S32" s="43"/>
      <c r="T32" s="43"/>
      <c r="U32" s="43"/>
      <c r="V32" s="43"/>
    </row>
    <row r="33" spans="1:22" ht="12.75" customHeight="1" x14ac:dyDescent="0.2">
      <c r="A33" s="43"/>
      <c r="B33" s="43"/>
      <c r="C33" s="43"/>
      <c r="D33" s="43"/>
      <c r="E33" s="43"/>
      <c r="F33" s="43"/>
      <c r="G33" s="43"/>
      <c r="H33" s="43"/>
      <c r="I33" s="43"/>
      <c r="J33" s="43"/>
      <c r="K33" s="43"/>
      <c r="L33" s="43"/>
      <c r="M33" s="43"/>
      <c r="N33" s="43"/>
      <c r="O33" s="43"/>
      <c r="P33" s="43"/>
      <c r="Q33" s="43"/>
      <c r="R33" s="43"/>
      <c r="S33" s="43"/>
      <c r="T33" s="43"/>
      <c r="U33" s="43"/>
      <c r="V33" s="43"/>
    </row>
    <row r="34" spans="1:22" ht="12.75" customHeight="1" x14ac:dyDescent="0.2">
      <c r="A34" s="43"/>
      <c r="B34" s="43"/>
      <c r="C34" s="43"/>
      <c r="D34" s="43"/>
      <c r="E34" s="43"/>
      <c r="F34" s="43"/>
      <c r="G34" s="43"/>
      <c r="H34" s="43"/>
      <c r="I34" s="43"/>
      <c r="J34" s="43"/>
      <c r="K34" s="43"/>
      <c r="L34" s="43"/>
      <c r="M34" s="43"/>
      <c r="N34" s="43"/>
      <c r="O34" s="43"/>
      <c r="P34" s="43"/>
      <c r="Q34" s="43"/>
      <c r="R34" s="43"/>
      <c r="S34" s="43"/>
      <c r="T34" s="43"/>
      <c r="U34" s="43"/>
      <c r="V34" s="43"/>
    </row>
    <row r="35" spans="1:22" ht="12.75" customHeight="1" x14ac:dyDescent="0.2">
      <c r="A35" s="43"/>
      <c r="B35" s="43"/>
      <c r="C35" s="43"/>
      <c r="D35" s="43"/>
      <c r="E35" s="43"/>
      <c r="F35" s="43"/>
      <c r="G35" s="43"/>
      <c r="H35" s="43"/>
      <c r="I35" s="43"/>
      <c r="J35" s="43"/>
      <c r="K35" s="43"/>
      <c r="L35" s="43"/>
      <c r="M35" s="43"/>
      <c r="N35" s="43"/>
      <c r="O35" s="43"/>
      <c r="P35" s="43"/>
      <c r="Q35" s="43"/>
      <c r="R35" s="43"/>
      <c r="S35" s="43"/>
      <c r="T35" s="43"/>
      <c r="U35" s="43"/>
      <c r="V35" s="43"/>
    </row>
    <row r="36" spans="1:22" ht="12.75" customHeight="1" x14ac:dyDescent="0.2">
      <c r="A36" s="43"/>
      <c r="B36" s="43"/>
      <c r="C36" s="43"/>
      <c r="D36" s="43"/>
      <c r="E36" s="43"/>
      <c r="F36" s="43"/>
      <c r="G36" s="43"/>
      <c r="H36" s="43"/>
      <c r="I36" s="43"/>
      <c r="J36" s="43"/>
      <c r="K36" s="43"/>
      <c r="L36" s="43"/>
      <c r="M36" s="43"/>
      <c r="N36" s="43"/>
      <c r="O36" s="43"/>
      <c r="P36" s="43"/>
      <c r="Q36" s="43"/>
      <c r="R36" s="43"/>
      <c r="S36" s="43"/>
      <c r="T36" s="43"/>
      <c r="U36" s="43"/>
      <c r="V36" s="43"/>
    </row>
    <row r="37" spans="1:22" ht="12.75" customHeight="1" x14ac:dyDescent="0.2">
      <c r="A37" s="43"/>
      <c r="B37" s="43"/>
      <c r="C37" s="43"/>
      <c r="D37" s="43"/>
      <c r="E37" s="43"/>
      <c r="F37" s="43"/>
      <c r="G37" s="43"/>
      <c r="H37" s="43"/>
      <c r="I37" s="43"/>
      <c r="J37" s="43"/>
      <c r="K37" s="43"/>
      <c r="L37" s="43"/>
      <c r="M37" s="43"/>
      <c r="N37" s="43"/>
      <c r="O37" s="43"/>
      <c r="P37" s="43"/>
      <c r="Q37" s="43"/>
      <c r="R37" s="43"/>
      <c r="S37" s="43"/>
      <c r="T37" s="43"/>
      <c r="U37" s="43"/>
      <c r="V37" s="43"/>
    </row>
    <row r="38" spans="1:22" ht="12.75" customHeight="1" x14ac:dyDescent="0.2">
      <c r="A38" s="43"/>
      <c r="B38" s="43"/>
      <c r="C38" s="43"/>
      <c r="D38" s="43"/>
      <c r="E38" s="43"/>
      <c r="F38" s="43"/>
      <c r="G38" s="43"/>
      <c r="H38" s="43"/>
      <c r="I38" s="43"/>
      <c r="J38" s="43"/>
      <c r="K38" s="43"/>
      <c r="L38" s="43"/>
      <c r="M38" s="43"/>
      <c r="N38" s="43"/>
      <c r="O38" s="43"/>
      <c r="P38" s="43"/>
      <c r="Q38" s="43"/>
      <c r="R38" s="43"/>
      <c r="S38" s="43"/>
      <c r="T38" s="43"/>
      <c r="U38" s="43"/>
      <c r="V38" s="43"/>
    </row>
    <row r="39" spans="1:22" ht="12.75" customHeight="1" x14ac:dyDescent="0.2">
      <c r="A39" s="43"/>
      <c r="B39" s="43"/>
      <c r="C39" s="43"/>
      <c r="D39" s="43"/>
      <c r="E39" s="43"/>
      <c r="F39" s="43"/>
      <c r="G39" s="43"/>
      <c r="H39" s="43"/>
      <c r="I39" s="43"/>
      <c r="J39" s="43"/>
      <c r="K39" s="43"/>
      <c r="L39" s="43"/>
      <c r="M39" s="43"/>
      <c r="N39" s="43"/>
      <c r="O39" s="43"/>
      <c r="P39" s="43"/>
      <c r="Q39" s="43"/>
      <c r="R39" s="43"/>
      <c r="S39" s="43"/>
      <c r="T39" s="43"/>
      <c r="U39" s="43"/>
      <c r="V39" s="43"/>
    </row>
    <row r="40" spans="1:22" ht="12.75" customHeight="1" x14ac:dyDescent="0.2">
      <c r="A40" s="43"/>
      <c r="B40" s="43"/>
      <c r="C40" s="43"/>
      <c r="D40" s="43"/>
      <c r="E40" s="43"/>
      <c r="F40" s="43"/>
      <c r="G40" s="43"/>
      <c r="H40" s="43"/>
      <c r="I40" s="43"/>
      <c r="J40" s="43"/>
      <c r="K40" s="43"/>
      <c r="L40" s="43"/>
      <c r="M40" s="43"/>
      <c r="N40" s="43"/>
      <c r="O40" s="43"/>
      <c r="P40" s="43"/>
      <c r="Q40" s="43"/>
      <c r="R40" s="43"/>
      <c r="S40" s="43"/>
      <c r="T40" s="43"/>
      <c r="U40" s="43"/>
      <c r="V40" s="43"/>
    </row>
    <row r="41" spans="1:22" ht="12.75" customHeight="1" x14ac:dyDescent="0.2">
      <c r="A41" s="43"/>
      <c r="B41" s="43"/>
      <c r="C41" s="43"/>
      <c r="D41" s="43"/>
      <c r="E41" s="43"/>
      <c r="F41" s="43"/>
      <c r="G41" s="43"/>
      <c r="H41" s="43"/>
      <c r="I41" s="43"/>
      <c r="J41" s="43"/>
      <c r="K41" s="43"/>
      <c r="L41" s="43"/>
      <c r="M41" s="43"/>
      <c r="N41" s="43"/>
      <c r="O41" s="43"/>
      <c r="P41" s="43"/>
      <c r="Q41" s="43"/>
      <c r="R41" s="43"/>
      <c r="S41" s="43"/>
      <c r="T41" s="43"/>
      <c r="U41" s="43"/>
      <c r="V41" s="43"/>
    </row>
    <row r="42" spans="1:22" ht="12.75" customHeight="1" x14ac:dyDescent="0.2">
      <c r="A42" s="43"/>
      <c r="B42" s="43"/>
      <c r="C42" s="43"/>
      <c r="D42" s="43"/>
      <c r="E42" s="43"/>
      <c r="F42" s="43"/>
      <c r="G42" s="43"/>
      <c r="H42" s="43"/>
      <c r="I42" s="43"/>
      <c r="J42" s="43"/>
      <c r="K42" s="43"/>
      <c r="L42" s="43"/>
      <c r="M42" s="43"/>
      <c r="N42" s="43"/>
      <c r="O42" s="43"/>
      <c r="P42" s="43"/>
      <c r="Q42" s="43"/>
      <c r="R42" s="43"/>
      <c r="S42" s="43"/>
      <c r="T42" s="43"/>
      <c r="U42" s="43"/>
      <c r="V42" s="43"/>
    </row>
    <row r="43" spans="1:22" ht="12.75" customHeight="1" x14ac:dyDescent="0.2">
      <c r="A43" s="43"/>
      <c r="B43" s="43"/>
      <c r="C43" s="43"/>
      <c r="D43" s="43"/>
      <c r="E43" s="43"/>
      <c r="F43" s="43"/>
      <c r="G43" s="43"/>
      <c r="H43" s="43"/>
      <c r="I43" s="43"/>
      <c r="J43" s="43"/>
      <c r="K43" s="43"/>
      <c r="L43" s="43"/>
      <c r="M43" s="43"/>
      <c r="N43" s="43"/>
      <c r="O43" s="43"/>
      <c r="P43" s="43"/>
      <c r="Q43" s="43"/>
      <c r="R43" s="43"/>
      <c r="S43" s="43"/>
      <c r="T43" s="43"/>
      <c r="U43" s="43"/>
      <c r="V43" s="43"/>
    </row>
    <row r="44" spans="1:22" ht="12.75" customHeight="1" x14ac:dyDescent="0.2">
      <c r="A44" s="43"/>
      <c r="B44" s="43"/>
      <c r="C44" s="43"/>
      <c r="D44" s="43"/>
      <c r="E44" s="43"/>
      <c r="F44" s="43"/>
      <c r="G44" s="43"/>
      <c r="H44" s="43"/>
      <c r="I44" s="43"/>
      <c r="J44" s="43"/>
      <c r="K44" s="43"/>
      <c r="L44" s="43"/>
      <c r="M44" s="43"/>
      <c r="N44" s="43"/>
      <c r="O44" s="43"/>
      <c r="P44" s="43"/>
      <c r="Q44" s="43"/>
      <c r="R44" s="43"/>
      <c r="S44" s="43"/>
      <c r="T44" s="43"/>
      <c r="U44" s="43"/>
      <c r="V44" s="43"/>
    </row>
    <row r="45" spans="1:22" ht="12.75" customHeight="1" x14ac:dyDescent="0.2">
      <c r="A45" s="43"/>
      <c r="B45" s="43"/>
      <c r="C45" s="43"/>
      <c r="D45" s="43"/>
      <c r="E45" s="43"/>
      <c r="F45" s="43"/>
      <c r="G45" s="43"/>
      <c r="H45" s="43"/>
      <c r="I45" s="43"/>
      <c r="J45" s="43"/>
      <c r="K45" s="43"/>
      <c r="L45" s="43"/>
      <c r="M45" s="43"/>
      <c r="N45" s="43"/>
      <c r="O45" s="43"/>
      <c r="P45" s="43"/>
      <c r="Q45" s="43"/>
      <c r="R45" s="43"/>
      <c r="S45" s="43"/>
      <c r="T45" s="43"/>
      <c r="U45" s="43"/>
      <c r="V45" s="43"/>
    </row>
    <row r="46" spans="1:22" ht="12.75" customHeight="1" x14ac:dyDescent="0.2">
      <c r="A46" s="43"/>
      <c r="B46" s="43"/>
      <c r="C46" s="43"/>
      <c r="D46" s="43"/>
      <c r="E46" s="43"/>
      <c r="F46" s="43"/>
      <c r="G46" s="43"/>
      <c r="H46" s="43"/>
      <c r="I46" s="43"/>
      <c r="J46" s="43"/>
      <c r="K46" s="43"/>
      <c r="L46" s="43"/>
      <c r="M46" s="43"/>
      <c r="N46" s="43"/>
      <c r="O46" s="43"/>
      <c r="P46" s="43"/>
      <c r="Q46" s="43"/>
      <c r="R46" s="43"/>
      <c r="S46" s="43"/>
      <c r="T46" s="43"/>
      <c r="U46" s="43"/>
      <c r="V46" s="43"/>
    </row>
    <row r="47" spans="1:22" ht="12.75" customHeight="1" x14ac:dyDescent="0.2">
      <c r="A47" s="43"/>
      <c r="B47" s="43"/>
      <c r="C47" s="43"/>
      <c r="D47" s="43"/>
      <c r="E47" s="43"/>
      <c r="F47" s="43"/>
      <c r="G47" s="43"/>
      <c r="H47" s="43"/>
      <c r="I47" s="43"/>
      <c r="J47" s="43"/>
      <c r="K47" s="43"/>
      <c r="L47" s="43"/>
      <c r="M47" s="43"/>
      <c r="N47" s="43"/>
      <c r="O47" s="43"/>
      <c r="P47" s="43"/>
      <c r="Q47" s="43"/>
      <c r="R47" s="43"/>
      <c r="S47" s="43"/>
      <c r="T47" s="43"/>
      <c r="U47" s="43"/>
      <c r="V47" s="43"/>
    </row>
    <row r="48" spans="1:22" ht="12.75" customHeight="1" x14ac:dyDescent="0.2">
      <c r="A48" s="43"/>
      <c r="B48" s="43"/>
      <c r="C48" s="43"/>
      <c r="D48" s="43"/>
      <c r="E48" s="43"/>
      <c r="F48" s="43"/>
      <c r="G48" s="43"/>
      <c r="H48" s="43"/>
      <c r="I48" s="43"/>
      <c r="J48" s="43"/>
      <c r="K48" s="43"/>
      <c r="L48" s="43"/>
      <c r="M48" s="43"/>
      <c r="N48" s="43"/>
      <c r="O48" s="43"/>
      <c r="P48" s="43"/>
      <c r="Q48" s="43"/>
      <c r="R48" s="43"/>
      <c r="S48" s="43"/>
      <c r="T48" s="43"/>
      <c r="U48" s="43"/>
      <c r="V48" s="43"/>
    </row>
    <row r="49" spans="1:22" ht="12.75" customHeight="1" x14ac:dyDescent="0.2">
      <c r="A49" s="43"/>
      <c r="B49" s="43"/>
      <c r="C49" s="43"/>
      <c r="D49" s="43"/>
      <c r="E49" s="43"/>
      <c r="F49" s="43"/>
      <c r="G49" s="43"/>
      <c r="H49" s="43"/>
      <c r="I49" s="43"/>
      <c r="J49" s="43"/>
      <c r="K49" s="43"/>
      <c r="L49" s="43"/>
      <c r="M49" s="43"/>
      <c r="N49" s="43"/>
      <c r="O49" s="43"/>
      <c r="P49" s="43"/>
      <c r="Q49" s="43"/>
      <c r="R49" s="43"/>
      <c r="S49" s="43"/>
      <c r="T49" s="43"/>
      <c r="U49" s="43"/>
      <c r="V49" s="43"/>
    </row>
    <row r="50" spans="1:22" ht="12.75" customHeight="1" x14ac:dyDescent="0.2">
      <c r="A50" s="43"/>
      <c r="B50" s="43"/>
      <c r="C50" s="43"/>
      <c r="D50" s="43"/>
      <c r="E50" s="43"/>
      <c r="F50" s="43"/>
      <c r="G50" s="43"/>
      <c r="H50" s="43"/>
      <c r="I50" s="43"/>
      <c r="J50" s="43"/>
      <c r="K50" s="43"/>
      <c r="L50" s="43"/>
      <c r="M50" s="43"/>
      <c r="N50" s="43"/>
      <c r="O50" s="43"/>
      <c r="P50" s="43"/>
      <c r="Q50" s="43"/>
      <c r="R50" s="43"/>
      <c r="S50" s="43"/>
      <c r="T50" s="43"/>
      <c r="U50" s="43"/>
      <c r="V50" s="43"/>
    </row>
    <row r="51" spans="1:22" ht="12.75" customHeight="1" x14ac:dyDescent="0.2">
      <c r="A51" s="43"/>
      <c r="B51" s="43"/>
      <c r="C51" s="43"/>
      <c r="D51" s="43"/>
      <c r="E51" s="43"/>
      <c r="F51" s="43"/>
      <c r="G51" s="43"/>
      <c r="H51" s="43"/>
      <c r="I51" s="43"/>
      <c r="J51" s="43"/>
      <c r="K51" s="43"/>
      <c r="L51" s="43"/>
      <c r="M51" s="43"/>
      <c r="N51" s="43"/>
      <c r="O51" s="43"/>
      <c r="P51" s="43"/>
      <c r="Q51" s="43"/>
      <c r="R51" s="43"/>
      <c r="S51" s="43"/>
      <c r="T51" s="43"/>
      <c r="U51" s="43"/>
      <c r="V51" s="43"/>
    </row>
    <row r="52" spans="1:22" ht="12.75" customHeight="1" x14ac:dyDescent="0.2">
      <c r="A52" s="43"/>
      <c r="B52" s="43"/>
      <c r="C52" s="43"/>
      <c r="D52" s="43"/>
      <c r="E52" s="43"/>
      <c r="F52" s="43"/>
      <c r="G52" s="43"/>
      <c r="H52" s="43"/>
      <c r="I52" s="43"/>
      <c r="J52" s="43"/>
      <c r="K52" s="43"/>
      <c r="L52" s="43"/>
      <c r="M52" s="43"/>
      <c r="N52" s="43"/>
      <c r="O52" s="43"/>
      <c r="P52" s="43"/>
      <c r="Q52" s="43"/>
      <c r="R52" s="43"/>
      <c r="S52" s="43"/>
      <c r="T52" s="43"/>
      <c r="U52" s="43"/>
      <c r="V52" s="43"/>
    </row>
    <row r="53" spans="1:22" ht="12.75" customHeight="1" x14ac:dyDescent="0.2">
      <c r="A53" s="43"/>
      <c r="B53" s="43"/>
      <c r="C53" s="43"/>
      <c r="D53" s="43"/>
      <c r="E53" s="43"/>
      <c r="F53" s="43"/>
      <c r="G53" s="43"/>
      <c r="H53" s="43"/>
      <c r="I53" s="43"/>
      <c r="J53" s="43"/>
      <c r="K53" s="43"/>
      <c r="L53" s="43"/>
      <c r="M53" s="43"/>
      <c r="N53" s="43"/>
      <c r="O53" s="43"/>
      <c r="P53" s="43"/>
      <c r="Q53" s="43"/>
      <c r="R53" s="43"/>
      <c r="S53" s="43"/>
      <c r="T53" s="43"/>
      <c r="U53" s="43"/>
      <c r="V53" s="43"/>
    </row>
    <row r="54" spans="1:22" ht="12.75" customHeight="1" x14ac:dyDescent="0.2">
      <c r="A54" s="43"/>
      <c r="B54" s="43"/>
      <c r="C54" s="43"/>
      <c r="D54" s="43"/>
      <c r="E54" s="43"/>
      <c r="F54" s="43"/>
      <c r="G54" s="43"/>
      <c r="H54" s="43"/>
      <c r="I54" s="43"/>
      <c r="J54" s="43"/>
      <c r="K54" s="43"/>
      <c r="L54" s="43"/>
      <c r="M54" s="43"/>
      <c r="N54" s="43"/>
      <c r="O54" s="43"/>
      <c r="P54" s="43"/>
      <c r="Q54" s="43"/>
      <c r="R54" s="43"/>
      <c r="S54" s="43"/>
      <c r="T54" s="43"/>
      <c r="U54" s="43"/>
      <c r="V54" s="43"/>
    </row>
    <row r="55" spans="1:22" ht="12.75" customHeight="1" x14ac:dyDescent="0.2">
      <c r="A55" s="43"/>
      <c r="B55" s="43"/>
      <c r="C55" s="43"/>
      <c r="D55" s="43"/>
      <c r="E55" s="43"/>
      <c r="F55" s="43"/>
      <c r="G55" s="43"/>
      <c r="H55" s="43"/>
      <c r="I55" s="43"/>
      <c r="J55" s="43"/>
      <c r="K55" s="43"/>
      <c r="L55" s="43"/>
      <c r="M55" s="43"/>
      <c r="N55" s="43"/>
      <c r="O55" s="43"/>
      <c r="P55" s="43"/>
      <c r="Q55" s="43"/>
      <c r="R55" s="43"/>
      <c r="S55" s="43"/>
      <c r="T55" s="43"/>
      <c r="U55" s="43"/>
      <c r="V55" s="43"/>
    </row>
    <row r="56" spans="1:22" ht="12.75" customHeight="1" x14ac:dyDescent="0.2">
      <c r="A56" s="43"/>
      <c r="B56" s="43"/>
      <c r="C56" s="43"/>
      <c r="D56" s="43"/>
      <c r="E56" s="43"/>
      <c r="F56" s="43"/>
      <c r="G56" s="43"/>
      <c r="H56" s="43"/>
      <c r="I56" s="43"/>
      <c r="J56" s="43"/>
      <c r="K56" s="43"/>
      <c r="L56" s="43"/>
      <c r="M56" s="43"/>
      <c r="N56" s="43"/>
      <c r="O56" s="43"/>
      <c r="P56" s="43"/>
      <c r="Q56" s="43"/>
      <c r="R56" s="43"/>
      <c r="S56" s="43"/>
      <c r="T56" s="43"/>
      <c r="U56" s="43"/>
      <c r="V56" s="43"/>
    </row>
    <row r="57" spans="1:22" ht="12.75" customHeight="1" x14ac:dyDescent="0.2">
      <c r="A57" s="43"/>
      <c r="B57" s="43"/>
      <c r="C57" s="43"/>
      <c r="D57" s="43"/>
      <c r="E57" s="43"/>
      <c r="F57" s="43"/>
      <c r="G57" s="43"/>
      <c r="H57" s="43"/>
      <c r="I57" s="43"/>
      <c r="J57" s="43"/>
      <c r="K57" s="43"/>
      <c r="L57" s="43"/>
      <c r="M57" s="43"/>
      <c r="N57" s="43"/>
      <c r="O57" s="43"/>
      <c r="P57" s="43"/>
      <c r="Q57" s="43"/>
      <c r="R57" s="43"/>
      <c r="S57" s="43"/>
      <c r="T57" s="43"/>
      <c r="U57" s="43"/>
      <c r="V57" s="43"/>
    </row>
    <row r="58" spans="1:22" ht="12.75" customHeight="1" x14ac:dyDescent="0.2">
      <c r="A58" s="43"/>
      <c r="B58" s="43"/>
      <c r="C58" s="43"/>
      <c r="D58" s="43"/>
      <c r="E58" s="43"/>
      <c r="F58" s="43"/>
      <c r="G58" s="43"/>
      <c r="H58" s="43"/>
      <c r="I58" s="43"/>
      <c r="J58" s="43"/>
      <c r="K58" s="43"/>
      <c r="L58" s="43"/>
      <c r="M58" s="43"/>
      <c r="N58" s="43"/>
      <c r="O58" s="43"/>
      <c r="P58" s="43"/>
      <c r="Q58" s="43"/>
      <c r="R58" s="43"/>
      <c r="S58" s="43"/>
      <c r="T58" s="43"/>
      <c r="U58" s="43"/>
      <c r="V58" s="43"/>
    </row>
    <row r="59" spans="1:22" ht="12.75" customHeight="1" x14ac:dyDescent="0.2">
      <c r="A59" s="43"/>
      <c r="B59" s="43"/>
      <c r="C59" s="43"/>
      <c r="D59" s="43"/>
      <c r="E59" s="43"/>
      <c r="F59" s="43"/>
      <c r="G59" s="43"/>
      <c r="H59" s="43"/>
      <c r="I59" s="43"/>
      <c r="J59" s="43"/>
      <c r="K59" s="43"/>
      <c r="L59" s="43"/>
      <c r="M59" s="43"/>
      <c r="N59" s="43"/>
      <c r="O59" s="43"/>
      <c r="P59" s="43"/>
      <c r="Q59" s="43"/>
      <c r="R59" s="43"/>
      <c r="S59" s="43"/>
      <c r="T59" s="43"/>
      <c r="U59" s="43"/>
      <c r="V59" s="43"/>
    </row>
    <row r="60" spans="1:22" ht="12.75" customHeight="1" x14ac:dyDescent="0.2">
      <c r="A60" s="43"/>
      <c r="B60" s="43"/>
      <c r="C60" s="43"/>
      <c r="D60" s="43"/>
      <c r="E60" s="43"/>
      <c r="F60" s="43"/>
      <c r="G60" s="43"/>
      <c r="H60" s="43"/>
      <c r="I60" s="43"/>
      <c r="J60" s="43"/>
      <c r="K60" s="43"/>
      <c r="L60" s="43"/>
      <c r="M60" s="43"/>
      <c r="N60" s="43"/>
      <c r="O60" s="43"/>
      <c r="P60" s="43"/>
      <c r="Q60" s="43"/>
      <c r="R60" s="43"/>
      <c r="S60" s="43"/>
      <c r="T60" s="43"/>
      <c r="U60" s="43"/>
      <c r="V60" s="43"/>
    </row>
    <row r="61" spans="1:22" ht="12.75" customHeight="1" x14ac:dyDescent="0.2">
      <c r="A61" s="43"/>
      <c r="B61" s="43"/>
      <c r="C61" s="43"/>
      <c r="D61" s="43"/>
      <c r="E61" s="43"/>
      <c r="F61" s="43"/>
      <c r="G61" s="43"/>
      <c r="H61" s="43"/>
      <c r="I61" s="43"/>
      <c r="J61" s="43"/>
      <c r="K61" s="43"/>
      <c r="L61" s="43"/>
      <c r="M61" s="43"/>
      <c r="N61" s="43"/>
      <c r="O61" s="43"/>
      <c r="P61" s="43"/>
      <c r="Q61" s="43"/>
      <c r="R61" s="43"/>
      <c r="S61" s="43"/>
      <c r="T61" s="43"/>
      <c r="U61" s="43"/>
      <c r="V61" s="43"/>
    </row>
    <row r="62" spans="1:22" ht="12.75" customHeight="1" x14ac:dyDescent="0.2">
      <c r="A62" s="43"/>
      <c r="B62" s="43"/>
      <c r="C62" s="43"/>
      <c r="D62" s="43"/>
      <c r="E62" s="43"/>
      <c r="F62" s="43"/>
      <c r="G62" s="43"/>
      <c r="H62" s="43"/>
      <c r="I62" s="43"/>
      <c r="J62" s="43"/>
      <c r="K62" s="43"/>
      <c r="L62" s="43"/>
      <c r="M62" s="43"/>
      <c r="N62" s="43"/>
      <c r="O62" s="43"/>
      <c r="P62" s="43"/>
      <c r="Q62" s="43"/>
      <c r="R62" s="43"/>
      <c r="S62" s="43"/>
      <c r="T62" s="43"/>
      <c r="U62" s="43"/>
      <c r="V62" s="43"/>
    </row>
    <row r="63" spans="1:22" ht="12.75" customHeight="1" x14ac:dyDescent="0.2">
      <c r="A63" s="43"/>
      <c r="B63" s="43"/>
      <c r="C63" s="43"/>
      <c r="D63" s="43"/>
      <c r="E63" s="43"/>
      <c r="F63" s="43"/>
      <c r="G63" s="43"/>
      <c r="H63" s="43"/>
      <c r="I63" s="43"/>
      <c r="J63" s="43"/>
      <c r="K63" s="43"/>
      <c r="L63" s="43"/>
      <c r="M63" s="43"/>
      <c r="N63" s="43"/>
      <c r="O63" s="43"/>
      <c r="P63" s="43"/>
      <c r="Q63" s="43"/>
      <c r="R63" s="43"/>
      <c r="S63" s="43"/>
      <c r="T63" s="43"/>
      <c r="U63" s="43"/>
      <c r="V63" s="43"/>
    </row>
    <row r="64" spans="1:22" ht="12.75" customHeight="1" x14ac:dyDescent="0.2">
      <c r="A64" s="43"/>
      <c r="B64" s="43"/>
      <c r="C64" s="43"/>
      <c r="D64" s="43"/>
      <c r="E64" s="43"/>
      <c r="F64" s="43"/>
      <c r="G64" s="43"/>
      <c r="H64" s="43"/>
      <c r="I64" s="43"/>
      <c r="J64" s="43"/>
      <c r="K64" s="43"/>
      <c r="L64" s="43"/>
      <c r="M64" s="43"/>
      <c r="N64" s="43"/>
      <c r="O64" s="43"/>
      <c r="P64" s="43"/>
      <c r="Q64" s="43"/>
      <c r="R64" s="43"/>
      <c r="S64" s="43"/>
      <c r="T64" s="43"/>
      <c r="U64" s="43"/>
      <c r="V64" s="43"/>
    </row>
    <row r="65" spans="1:22" ht="12.75" customHeight="1" x14ac:dyDescent="0.2">
      <c r="A65" s="43"/>
      <c r="B65" s="43"/>
      <c r="C65" s="43"/>
      <c r="D65" s="43"/>
      <c r="E65" s="43"/>
      <c r="F65" s="43"/>
      <c r="G65" s="43"/>
      <c r="H65" s="43"/>
      <c r="I65" s="43"/>
      <c r="J65" s="43"/>
      <c r="K65" s="43"/>
      <c r="L65" s="43"/>
      <c r="M65" s="43"/>
      <c r="N65" s="43"/>
      <c r="O65" s="43"/>
      <c r="P65" s="43"/>
      <c r="Q65" s="43"/>
      <c r="R65" s="43"/>
      <c r="S65" s="43"/>
      <c r="T65" s="43"/>
      <c r="U65" s="43"/>
      <c r="V65" s="43"/>
    </row>
    <row r="66" spans="1:22" ht="12.75" customHeight="1" x14ac:dyDescent="0.2">
      <c r="A66" s="43"/>
      <c r="B66" s="43"/>
      <c r="C66" s="43"/>
      <c r="D66" s="43"/>
      <c r="E66" s="43"/>
      <c r="F66" s="43"/>
      <c r="G66" s="43"/>
      <c r="H66" s="43"/>
      <c r="I66" s="43"/>
      <c r="J66" s="43"/>
      <c r="K66" s="43"/>
      <c r="L66" s="43"/>
      <c r="M66" s="43"/>
      <c r="N66" s="43"/>
      <c r="O66" s="43"/>
      <c r="P66" s="43"/>
      <c r="Q66" s="43"/>
      <c r="R66" s="43"/>
      <c r="S66" s="43"/>
      <c r="T66" s="43"/>
      <c r="U66" s="43"/>
      <c r="V66" s="43"/>
    </row>
    <row r="67" spans="1:22" ht="12.75" customHeight="1" x14ac:dyDescent="0.2">
      <c r="A67" s="43"/>
      <c r="B67" s="43"/>
      <c r="C67" s="43"/>
      <c r="D67" s="43"/>
      <c r="E67" s="43"/>
      <c r="F67" s="43"/>
      <c r="G67" s="43"/>
      <c r="H67" s="43"/>
      <c r="I67" s="43"/>
      <c r="J67" s="43"/>
      <c r="K67" s="43"/>
      <c r="L67" s="43"/>
      <c r="M67" s="43"/>
      <c r="N67" s="43"/>
      <c r="O67" s="43"/>
      <c r="P67" s="43"/>
      <c r="Q67" s="43"/>
      <c r="R67" s="43"/>
      <c r="S67" s="43"/>
      <c r="T67" s="43"/>
      <c r="U67" s="43"/>
      <c r="V67" s="43"/>
    </row>
    <row r="68" spans="1:22" ht="12.75" customHeight="1" x14ac:dyDescent="0.2">
      <c r="A68" s="43"/>
      <c r="B68" s="43"/>
      <c r="C68" s="43"/>
      <c r="D68" s="43"/>
      <c r="E68" s="43"/>
      <c r="F68" s="43"/>
      <c r="G68" s="43"/>
      <c r="H68" s="43"/>
      <c r="I68" s="43"/>
      <c r="J68" s="43"/>
      <c r="K68" s="43"/>
      <c r="L68" s="43"/>
      <c r="M68" s="43"/>
      <c r="N68" s="43"/>
      <c r="O68" s="43"/>
      <c r="P68" s="43"/>
      <c r="Q68" s="43"/>
      <c r="R68" s="43"/>
      <c r="S68" s="43"/>
      <c r="T68" s="43"/>
      <c r="U68" s="43"/>
      <c r="V68" s="43"/>
    </row>
    <row r="69" spans="1:22" ht="12.75" customHeight="1" x14ac:dyDescent="0.2">
      <c r="A69" s="43"/>
      <c r="B69" s="43"/>
      <c r="C69" s="43"/>
      <c r="D69" s="43"/>
      <c r="E69" s="43"/>
      <c r="F69" s="43"/>
      <c r="G69" s="43"/>
      <c r="H69" s="43"/>
      <c r="I69" s="43"/>
      <c r="J69" s="43"/>
      <c r="K69" s="43"/>
      <c r="L69" s="43"/>
      <c r="M69" s="43"/>
      <c r="N69" s="43"/>
      <c r="O69" s="43"/>
      <c r="P69" s="43"/>
      <c r="Q69" s="43"/>
      <c r="R69" s="43"/>
      <c r="S69" s="43"/>
      <c r="T69" s="43"/>
      <c r="U69" s="43"/>
      <c r="V69" s="43"/>
    </row>
    <row r="70" spans="1:22" ht="12.75" customHeight="1" x14ac:dyDescent="0.2">
      <c r="A70" s="43"/>
      <c r="B70" s="43"/>
      <c r="C70" s="43"/>
      <c r="D70" s="43"/>
      <c r="E70" s="43"/>
      <c r="F70" s="43"/>
      <c r="G70" s="43"/>
      <c r="H70" s="43"/>
      <c r="I70" s="43"/>
      <c r="J70" s="43"/>
      <c r="K70" s="43"/>
      <c r="L70" s="43"/>
      <c r="M70" s="43"/>
      <c r="N70" s="43"/>
      <c r="O70" s="43"/>
      <c r="P70" s="43"/>
      <c r="Q70" s="43"/>
      <c r="R70" s="43"/>
      <c r="S70" s="43"/>
      <c r="T70" s="43"/>
      <c r="U70" s="43"/>
      <c r="V70" s="43"/>
    </row>
    <row r="71" spans="1:22" ht="12.75" customHeight="1" x14ac:dyDescent="0.2">
      <c r="A71" s="43"/>
      <c r="B71" s="43"/>
      <c r="C71" s="43"/>
      <c r="D71" s="43"/>
      <c r="E71" s="43"/>
      <c r="F71" s="43"/>
      <c r="G71" s="43"/>
      <c r="H71" s="43"/>
      <c r="I71" s="43"/>
      <c r="J71" s="43"/>
      <c r="K71" s="43"/>
      <c r="L71" s="43"/>
      <c r="M71" s="43"/>
      <c r="N71" s="43"/>
      <c r="O71" s="43"/>
      <c r="P71" s="43"/>
      <c r="Q71" s="43"/>
      <c r="R71" s="43"/>
      <c r="S71" s="43"/>
      <c r="T71" s="43"/>
      <c r="U71" s="43"/>
      <c r="V71" s="43"/>
    </row>
    <row r="72" spans="1:22" ht="12.75" customHeight="1" x14ac:dyDescent="0.2">
      <c r="A72" s="43"/>
      <c r="B72" s="43"/>
      <c r="C72" s="43"/>
      <c r="D72" s="43"/>
      <c r="E72" s="43"/>
      <c r="F72" s="43"/>
      <c r="G72" s="43"/>
      <c r="H72" s="43"/>
      <c r="I72" s="43"/>
      <c r="J72" s="43"/>
      <c r="K72" s="43"/>
      <c r="L72" s="43"/>
      <c r="M72" s="43"/>
      <c r="N72" s="43"/>
      <c r="O72" s="43"/>
      <c r="P72" s="43"/>
      <c r="Q72" s="43"/>
      <c r="R72" s="43"/>
      <c r="S72" s="43"/>
      <c r="T72" s="43"/>
      <c r="U72" s="43"/>
      <c r="V72" s="43"/>
    </row>
    <row r="73" spans="1:22" ht="12.75" customHeight="1" x14ac:dyDescent="0.2">
      <c r="A73" s="43"/>
      <c r="B73" s="43"/>
      <c r="C73" s="43"/>
      <c r="D73" s="43"/>
      <c r="E73" s="43"/>
      <c r="F73" s="43"/>
      <c r="G73" s="43"/>
      <c r="H73" s="43"/>
      <c r="I73" s="43"/>
      <c r="J73" s="43"/>
      <c r="K73" s="43"/>
      <c r="L73" s="43"/>
      <c r="M73" s="43"/>
      <c r="N73" s="43"/>
      <c r="O73" s="43"/>
      <c r="P73" s="43"/>
      <c r="Q73" s="43"/>
      <c r="R73" s="43"/>
      <c r="S73" s="43"/>
      <c r="T73" s="43"/>
      <c r="U73" s="43"/>
      <c r="V73" s="43"/>
    </row>
    <row r="74" spans="1:22" ht="12.75" customHeight="1" x14ac:dyDescent="0.2">
      <c r="A74" s="43"/>
      <c r="B74" s="43"/>
      <c r="C74" s="43"/>
      <c r="D74" s="43"/>
      <c r="E74" s="43"/>
      <c r="F74" s="43"/>
      <c r="G74" s="43"/>
      <c r="H74" s="43"/>
      <c r="I74" s="43"/>
      <c r="J74" s="43"/>
      <c r="K74" s="43"/>
      <c r="L74" s="43"/>
      <c r="M74" s="43"/>
      <c r="N74" s="43"/>
      <c r="O74" s="43"/>
      <c r="P74" s="43"/>
      <c r="Q74" s="43"/>
      <c r="R74" s="43"/>
      <c r="S74" s="43"/>
      <c r="T74" s="43"/>
      <c r="U74" s="43"/>
      <c r="V74" s="43"/>
    </row>
    <row r="75" spans="1:22" ht="12.75" customHeight="1" x14ac:dyDescent="0.2">
      <c r="A75" s="43"/>
      <c r="B75" s="43"/>
      <c r="C75" s="43"/>
      <c r="D75" s="43"/>
      <c r="E75" s="43"/>
      <c r="F75" s="43"/>
      <c r="G75" s="43"/>
      <c r="H75" s="43"/>
      <c r="I75" s="43"/>
      <c r="J75" s="43"/>
      <c r="K75" s="43"/>
      <c r="L75" s="43"/>
      <c r="M75" s="43"/>
      <c r="N75" s="43"/>
      <c r="O75" s="43"/>
      <c r="P75" s="43"/>
      <c r="Q75" s="43"/>
      <c r="R75" s="43"/>
      <c r="S75" s="43"/>
      <c r="T75" s="43"/>
      <c r="U75" s="43"/>
      <c r="V75" s="43"/>
    </row>
    <row r="76" spans="1:22" ht="12.75" customHeight="1" x14ac:dyDescent="0.2">
      <c r="A76" s="43"/>
      <c r="B76" s="43"/>
      <c r="C76" s="43"/>
      <c r="D76" s="43"/>
      <c r="E76" s="43"/>
      <c r="F76" s="43"/>
      <c r="G76" s="43"/>
      <c r="H76" s="43"/>
      <c r="I76" s="43"/>
      <c r="J76" s="43"/>
      <c r="K76" s="43"/>
      <c r="L76" s="43"/>
      <c r="M76" s="43"/>
      <c r="N76" s="43"/>
      <c r="O76" s="43"/>
      <c r="P76" s="43"/>
      <c r="Q76" s="43"/>
      <c r="R76" s="43"/>
      <c r="S76" s="43"/>
      <c r="T76" s="43"/>
      <c r="U76" s="43"/>
      <c r="V76" s="43"/>
    </row>
    <row r="77" spans="1:22" ht="12.75" customHeight="1" x14ac:dyDescent="0.2">
      <c r="A77" s="43"/>
      <c r="B77" s="43"/>
      <c r="C77" s="43"/>
      <c r="D77" s="43"/>
      <c r="E77" s="43"/>
      <c r="F77" s="43"/>
      <c r="G77" s="43"/>
      <c r="H77" s="43"/>
      <c r="I77" s="43"/>
      <c r="J77" s="43"/>
      <c r="K77" s="43"/>
      <c r="L77" s="43"/>
      <c r="M77" s="43"/>
      <c r="N77" s="43"/>
      <c r="O77" s="43"/>
      <c r="P77" s="43"/>
      <c r="Q77" s="43"/>
      <c r="R77" s="43"/>
      <c r="S77" s="43"/>
      <c r="T77" s="43"/>
      <c r="U77" s="43"/>
      <c r="V77" s="43"/>
    </row>
    <row r="78" spans="1:22" ht="12.75" customHeight="1" x14ac:dyDescent="0.2">
      <c r="A78" s="43"/>
      <c r="B78" s="43"/>
      <c r="C78" s="43"/>
      <c r="D78" s="43"/>
      <c r="E78" s="43"/>
      <c r="F78" s="43"/>
      <c r="G78" s="43"/>
      <c r="H78" s="43"/>
      <c r="I78" s="43"/>
      <c r="J78" s="43"/>
      <c r="K78" s="43"/>
      <c r="L78" s="43"/>
      <c r="M78" s="43"/>
      <c r="N78" s="43"/>
      <c r="O78" s="43"/>
      <c r="P78" s="43"/>
      <c r="Q78" s="43"/>
      <c r="R78" s="43"/>
      <c r="S78" s="43"/>
      <c r="T78" s="43"/>
      <c r="U78" s="43"/>
      <c r="V78" s="43"/>
    </row>
    <row r="79" spans="1:22" ht="12.75" customHeight="1" x14ac:dyDescent="0.2">
      <c r="A79" s="43"/>
      <c r="B79" s="43"/>
      <c r="C79" s="43"/>
      <c r="D79" s="43"/>
      <c r="E79" s="43"/>
      <c r="F79" s="43"/>
      <c r="G79" s="43"/>
      <c r="H79" s="43"/>
      <c r="I79" s="43"/>
      <c r="J79" s="43"/>
      <c r="K79" s="43"/>
      <c r="L79" s="43"/>
      <c r="M79" s="43"/>
      <c r="N79" s="43"/>
      <c r="O79" s="43"/>
      <c r="P79" s="43"/>
      <c r="Q79" s="43"/>
      <c r="R79" s="43"/>
      <c r="S79" s="43"/>
      <c r="T79" s="43"/>
      <c r="U79" s="43"/>
      <c r="V79" s="43"/>
    </row>
    <row r="80" spans="1:22" ht="12.75" customHeight="1" x14ac:dyDescent="0.2">
      <c r="A80" s="43"/>
      <c r="B80" s="43"/>
      <c r="C80" s="43"/>
      <c r="D80" s="43"/>
      <c r="E80" s="43"/>
      <c r="F80" s="43"/>
      <c r="G80" s="43"/>
      <c r="H80" s="43"/>
      <c r="I80" s="43"/>
      <c r="J80" s="43"/>
      <c r="K80" s="43"/>
      <c r="L80" s="43"/>
      <c r="M80" s="43"/>
      <c r="N80" s="43"/>
      <c r="O80" s="43"/>
      <c r="P80" s="43"/>
      <c r="Q80" s="43"/>
      <c r="R80" s="43"/>
      <c r="S80" s="43"/>
      <c r="T80" s="43"/>
      <c r="U80" s="43"/>
      <c r="V80" s="43"/>
    </row>
    <row r="81" spans="1:22" ht="12.75" customHeight="1" x14ac:dyDescent="0.2">
      <c r="A81" s="43"/>
      <c r="B81" s="43"/>
      <c r="C81" s="43"/>
      <c r="D81" s="43"/>
      <c r="E81" s="43"/>
      <c r="F81" s="43"/>
      <c r="G81" s="43"/>
      <c r="H81" s="43"/>
      <c r="I81" s="43"/>
      <c r="J81" s="43"/>
      <c r="K81" s="43"/>
      <c r="L81" s="43"/>
      <c r="M81" s="43"/>
      <c r="N81" s="43"/>
      <c r="O81" s="43"/>
      <c r="P81" s="43"/>
      <c r="Q81" s="43"/>
      <c r="R81" s="43"/>
      <c r="S81" s="43"/>
      <c r="T81" s="43"/>
      <c r="U81" s="43"/>
      <c r="V81" s="43"/>
    </row>
    <row r="82" spans="1:22" ht="12.75" customHeight="1" x14ac:dyDescent="0.2">
      <c r="A82" s="43"/>
      <c r="B82" s="43"/>
      <c r="C82" s="43"/>
      <c r="D82" s="43"/>
      <c r="E82" s="43"/>
      <c r="F82" s="43"/>
      <c r="G82" s="43"/>
      <c r="H82" s="43"/>
      <c r="I82" s="43"/>
      <c r="J82" s="43"/>
      <c r="K82" s="43"/>
      <c r="L82" s="43"/>
      <c r="M82" s="43"/>
      <c r="N82" s="43"/>
      <c r="O82" s="43"/>
      <c r="P82" s="43"/>
      <c r="Q82" s="43"/>
      <c r="R82" s="43"/>
      <c r="S82" s="43"/>
      <c r="T82" s="43"/>
      <c r="U82" s="43"/>
      <c r="V82" s="43"/>
    </row>
    <row r="83" spans="1:22" ht="12.75" customHeight="1" x14ac:dyDescent="0.2">
      <c r="A83" s="43"/>
      <c r="B83" s="43"/>
      <c r="C83" s="43"/>
      <c r="D83" s="43"/>
      <c r="E83" s="43"/>
      <c r="F83" s="43"/>
      <c r="G83" s="43"/>
      <c r="H83" s="43"/>
      <c r="I83" s="43"/>
      <c r="J83" s="43"/>
      <c r="K83" s="43"/>
      <c r="L83" s="43"/>
      <c r="M83" s="43"/>
      <c r="N83" s="43"/>
      <c r="O83" s="43"/>
      <c r="P83" s="43"/>
      <c r="Q83" s="43"/>
      <c r="R83" s="43"/>
      <c r="S83" s="43"/>
      <c r="T83" s="43"/>
      <c r="U83" s="43"/>
      <c r="V83" s="43"/>
    </row>
    <row r="84" spans="1:22" ht="12.75" customHeight="1" x14ac:dyDescent="0.2">
      <c r="A84" s="43"/>
      <c r="B84" s="43"/>
      <c r="C84" s="43"/>
      <c r="D84" s="43"/>
      <c r="E84" s="43"/>
      <c r="F84" s="43"/>
      <c r="G84" s="43"/>
      <c r="H84" s="43"/>
      <c r="I84" s="43"/>
      <c r="J84" s="43"/>
      <c r="K84" s="43"/>
      <c r="L84" s="43"/>
      <c r="M84" s="43"/>
      <c r="N84" s="43"/>
      <c r="O84" s="43"/>
      <c r="P84" s="43"/>
      <c r="Q84" s="43"/>
      <c r="R84" s="43"/>
      <c r="S84" s="43"/>
      <c r="T84" s="43"/>
      <c r="U84" s="43"/>
      <c r="V84" s="43"/>
    </row>
    <row r="85" spans="1:22" ht="12.75" customHeight="1" x14ac:dyDescent="0.2">
      <c r="A85" s="43"/>
      <c r="B85" s="43"/>
      <c r="C85" s="43"/>
      <c r="D85" s="43"/>
      <c r="E85" s="43"/>
      <c r="F85" s="43"/>
      <c r="G85" s="43"/>
      <c r="H85" s="43"/>
      <c r="I85" s="43"/>
      <c r="J85" s="43"/>
      <c r="K85" s="43"/>
      <c r="L85" s="43"/>
      <c r="M85" s="43"/>
      <c r="N85" s="43"/>
      <c r="O85" s="43"/>
      <c r="P85" s="43"/>
      <c r="Q85" s="43"/>
      <c r="R85" s="43"/>
      <c r="S85" s="43"/>
      <c r="T85" s="43"/>
      <c r="U85" s="43"/>
      <c r="V85" s="43"/>
    </row>
    <row r="86" spans="1:22" ht="12.75" customHeight="1" x14ac:dyDescent="0.2">
      <c r="A86" s="43"/>
      <c r="B86" s="43"/>
      <c r="C86" s="43"/>
      <c r="D86" s="43"/>
      <c r="E86" s="43"/>
      <c r="F86" s="43"/>
      <c r="G86" s="43"/>
      <c r="H86" s="43"/>
      <c r="I86" s="43"/>
      <c r="J86" s="43"/>
      <c r="K86" s="43"/>
      <c r="L86" s="43"/>
      <c r="M86" s="43"/>
      <c r="N86" s="43"/>
      <c r="O86" s="43"/>
      <c r="P86" s="43"/>
      <c r="Q86" s="43"/>
      <c r="R86" s="43"/>
      <c r="S86" s="43"/>
      <c r="T86" s="43"/>
      <c r="U86" s="43"/>
      <c r="V86" s="43"/>
    </row>
    <row r="87" spans="1:22" ht="12.75" customHeight="1" x14ac:dyDescent="0.2">
      <c r="A87" s="43"/>
      <c r="B87" s="43"/>
      <c r="C87" s="43"/>
      <c r="D87" s="43"/>
      <c r="E87" s="43"/>
      <c r="F87" s="43"/>
      <c r="G87" s="43"/>
      <c r="H87" s="43"/>
      <c r="I87" s="43"/>
      <c r="J87" s="43"/>
      <c r="K87" s="43"/>
      <c r="L87" s="43"/>
      <c r="M87" s="43"/>
      <c r="N87" s="43"/>
      <c r="O87" s="43"/>
      <c r="P87" s="43"/>
      <c r="Q87" s="43"/>
      <c r="R87" s="43"/>
      <c r="S87" s="43"/>
      <c r="T87" s="43"/>
      <c r="U87" s="43"/>
      <c r="V87" s="43"/>
    </row>
    <row r="88" spans="1:22" ht="12.75" customHeight="1" x14ac:dyDescent="0.2">
      <c r="A88" s="43"/>
      <c r="B88" s="43"/>
      <c r="C88" s="43"/>
      <c r="D88" s="43"/>
      <c r="E88" s="43"/>
      <c r="F88" s="43"/>
      <c r="G88" s="43"/>
      <c r="H88" s="43"/>
      <c r="I88" s="43"/>
      <c r="J88" s="43"/>
      <c r="K88" s="43"/>
      <c r="L88" s="43"/>
      <c r="M88" s="43"/>
      <c r="N88" s="43"/>
      <c r="O88" s="43"/>
      <c r="P88" s="43"/>
      <c r="Q88" s="43"/>
      <c r="R88" s="43"/>
      <c r="S88" s="43"/>
      <c r="T88" s="43"/>
      <c r="U88" s="43"/>
      <c r="V88" s="43"/>
    </row>
    <row r="89" spans="1:22" ht="12.75" customHeight="1" x14ac:dyDescent="0.2">
      <c r="A89" s="43"/>
      <c r="B89" s="43"/>
      <c r="C89" s="43"/>
      <c r="D89" s="43"/>
      <c r="E89" s="43"/>
      <c r="F89" s="43"/>
      <c r="G89" s="43"/>
      <c r="H89" s="43"/>
      <c r="I89" s="43"/>
      <c r="J89" s="43"/>
      <c r="K89" s="43"/>
      <c r="L89" s="43"/>
      <c r="M89" s="43"/>
      <c r="N89" s="43"/>
      <c r="O89" s="43"/>
      <c r="P89" s="43"/>
      <c r="Q89" s="43"/>
      <c r="R89" s="43"/>
      <c r="S89" s="43"/>
      <c r="T89" s="43"/>
      <c r="U89" s="43"/>
      <c r="V89" s="43"/>
    </row>
    <row r="90" spans="1:22" ht="12.75" customHeight="1" x14ac:dyDescent="0.2">
      <c r="A90" s="43"/>
      <c r="B90" s="43"/>
      <c r="C90" s="43"/>
      <c r="D90" s="43"/>
      <c r="E90" s="43"/>
      <c r="F90" s="43"/>
      <c r="G90" s="43"/>
      <c r="H90" s="43"/>
      <c r="I90" s="43"/>
      <c r="J90" s="43"/>
      <c r="K90" s="43"/>
      <c r="L90" s="43"/>
      <c r="M90" s="43"/>
      <c r="N90" s="43"/>
      <c r="O90" s="43"/>
      <c r="P90" s="43"/>
      <c r="Q90" s="43"/>
      <c r="R90" s="43"/>
      <c r="S90" s="43"/>
      <c r="T90" s="43"/>
      <c r="U90" s="43"/>
      <c r="V90" s="43"/>
    </row>
    <row r="91" spans="1:22" ht="12.75" customHeight="1" x14ac:dyDescent="0.2">
      <c r="A91" s="43"/>
      <c r="B91" s="43"/>
      <c r="C91" s="43"/>
      <c r="D91" s="43"/>
      <c r="E91" s="43"/>
      <c r="F91" s="43"/>
      <c r="G91" s="43"/>
      <c r="H91" s="43"/>
      <c r="I91" s="43"/>
      <c r="J91" s="43"/>
      <c r="K91" s="43"/>
      <c r="L91" s="43"/>
      <c r="M91" s="43"/>
      <c r="N91" s="43"/>
      <c r="O91" s="43"/>
      <c r="P91" s="43"/>
      <c r="Q91" s="43"/>
      <c r="R91" s="43"/>
      <c r="S91" s="43"/>
      <c r="T91" s="43"/>
      <c r="U91" s="43"/>
      <c r="V91" s="43"/>
    </row>
    <row r="92" spans="1:22" ht="12.75" customHeight="1" x14ac:dyDescent="0.2">
      <c r="A92" s="43"/>
      <c r="B92" s="43"/>
      <c r="C92" s="43"/>
      <c r="D92" s="43"/>
      <c r="E92" s="43"/>
      <c r="F92" s="43"/>
      <c r="G92" s="43"/>
      <c r="H92" s="43"/>
      <c r="I92" s="43"/>
      <c r="J92" s="43"/>
      <c r="K92" s="43"/>
      <c r="L92" s="43"/>
      <c r="M92" s="43"/>
      <c r="N92" s="43"/>
      <c r="O92" s="43"/>
      <c r="P92" s="43"/>
      <c r="Q92" s="43"/>
      <c r="R92" s="43"/>
      <c r="S92" s="43"/>
      <c r="T92" s="43"/>
      <c r="U92" s="43"/>
      <c r="V92" s="43"/>
    </row>
    <row r="93" spans="1:22" ht="12.75" customHeight="1" x14ac:dyDescent="0.2">
      <c r="A93" s="43"/>
      <c r="B93" s="43"/>
      <c r="C93" s="43"/>
      <c r="D93" s="43"/>
      <c r="E93" s="43"/>
      <c r="F93" s="43"/>
      <c r="G93" s="43"/>
      <c r="H93" s="43"/>
      <c r="I93" s="43"/>
      <c r="J93" s="43"/>
      <c r="K93" s="43"/>
      <c r="L93" s="43"/>
      <c r="M93" s="43"/>
      <c r="N93" s="43"/>
      <c r="O93" s="43"/>
      <c r="P93" s="43"/>
      <c r="Q93" s="43"/>
      <c r="R93" s="43"/>
      <c r="S93" s="43"/>
      <c r="T93" s="43"/>
      <c r="U93" s="43"/>
      <c r="V93" s="43"/>
    </row>
    <row r="94" spans="1:22" ht="12.75" customHeight="1" x14ac:dyDescent="0.2">
      <c r="A94" s="43"/>
      <c r="B94" s="43"/>
      <c r="C94" s="43"/>
      <c r="D94" s="43"/>
      <c r="E94" s="43"/>
      <c r="F94" s="43"/>
      <c r="G94" s="43"/>
      <c r="H94" s="43"/>
      <c r="I94" s="43"/>
      <c r="J94" s="43"/>
      <c r="K94" s="43"/>
      <c r="L94" s="43"/>
      <c r="M94" s="43"/>
      <c r="N94" s="43"/>
      <c r="O94" s="43"/>
      <c r="P94" s="43"/>
      <c r="Q94" s="43"/>
      <c r="R94" s="43"/>
      <c r="S94" s="43"/>
      <c r="T94" s="43"/>
      <c r="U94" s="43"/>
      <c r="V94" s="43"/>
    </row>
    <row r="95" spans="1:22" ht="12.75" customHeight="1" x14ac:dyDescent="0.2">
      <c r="A95" s="43"/>
      <c r="B95" s="43"/>
      <c r="C95" s="43"/>
      <c r="D95" s="43"/>
      <c r="E95" s="43"/>
      <c r="F95" s="43"/>
      <c r="G95" s="43"/>
      <c r="H95" s="43"/>
      <c r="I95" s="43"/>
      <c r="J95" s="43"/>
      <c r="K95" s="43"/>
      <c r="L95" s="43"/>
      <c r="M95" s="43"/>
      <c r="N95" s="43"/>
      <c r="O95" s="43"/>
      <c r="P95" s="43"/>
      <c r="Q95" s="43"/>
      <c r="R95" s="43"/>
      <c r="S95" s="43"/>
      <c r="T95" s="43"/>
      <c r="U95" s="43"/>
      <c r="V95" s="43"/>
    </row>
    <row r="96" spans="1:22" ht="12.75" customHeight="1" x14ac:dyDescent="0.2">
      <c r="A96" s="43"/>
      <c r="B96" s="43"/>
      <c r="C96" s="43"/>
      <c r="D96" s="43"/>
      <c r="E96" s="43"/>
      <c r="F96" s="43"/>
      <c r="G96" s="43"/>
      <c r="H96" s="43"/>
      <c r="I96" s="43"/>
      <c r="J96" s="43"/>
      <c r="K96" s="43"/>
      <c r="L96" s="43"/>
      <c r="M96" s="43"/>
      <c r="N96" s="43"/>
      <c r="O96" s="43"/>
      <c r="P96" s="43"/>
      <c r="Q96" s="43"/>
      <c r="R96" s="43"/>
      <c r="S96" s="43"/>
      <c r="T96" s="43"/>
      <c r="U96" s="43"/>
      <c r="V96" s="43"/>
    </row>
    <row r="97" spans="1:22" ht="12.75" customHeight="1" x14ac:dyDescent="0.2">
      <c r="A97" s="43"/>
      <c r="B97" s="43"/>
      <c r="C97" s="43"/>
      <c r="D97" s="43"/>
      <c r="E97" s="43"/>
      <c r="F97" s="43"/>
      <c r="G97" s="43"/>
      <c r="H97" s="43"/>
      <c r="I97" s="43"/>
      <c r="J97" s="43"/>
      <c r="K97" s="43"/>
      <c r="L97" s="43"/>
      <c r="M97" s="43"/>
      <c r="N97" s="43"/>
      <c r="O97" s="43"/>
      <c r="P97" s="43"/>
      <c r="Q97" s="43"/>
      <c r="R97" s="43"/>
      <c r="S97" s="43"/>
      <c r="T97" s="43"/>
      <c r="U97" s="43"/>
      <c r="V97" s="43"/>
    </row>
    <row r="98" spans="1:22" ht="12.75" customHeight="1" x14ac:dyDescent="0.2">
      <c r="A98" s="43"/>
      <c r="B98" s="43"/>
      <c r="C98" s="43"/>
      <c r="D98" s="43"/>
      <c r="E98" s="43"/>
      <c r="F98" s="43"/>
      <c r="G98" s="43"/>
      <c r="H98" s="43"/>
      <c r="I98" s="43"/>
      <c r="J98" s="43"/>
      <c r="K98" s="43"/>
      <c r="L98" s="43"/>
      <c r="M98" s="43"/>
      <c r="N98" s="43"/>
      <c r="O98" s="43"/>
      <c r="P98" s="43"/>
      <c r="Q98" s="43"/>
      <c r="R98" s="43"/>
      <c r="S98" s="43"/>
      <c r="T98" s="43"/>
      <c r="U98" s="43"/>
      <c r="V98" s="43"/>
    </row>
    <row r="99" spans="1:22" ht="12.75" customHeight="1" x14ac:dyDescent="0.2">
      <c r="A99" s="43"/>
      <c r="B99" s="43"/>
      <c r="C99" s="43"/>
      <c r="D99" s="43"/>
      <c r="E99" s="43"/>
      <c r="F99" s="43"/>
      <c r="G99" s="43"/>
      <c r="H99" s="43"/>
      <c r="I99" s="43"/>
      <c r="J99" s="43"/>
      <c r="K99" s="43"/>
      <c r="L99" s="43"/>
      <c r="M99" s="43"/>
      <c r="N99" s="43"/>
      <c r="O99" s="43"/>
      <c r="P99" s="43"/>
      <c r="Q99" s="43"/>
      <c r="R99" s="43"/>
      <c r="S99" s="43"/>
      <c r="T99" s="43"/>
      <c r="U99" s="43"/>
      <c r="V99" s="43"/>
    </row>
    <row r="100" spans="1:22" ht="12.7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row>
    <row r="101" spans="1:22" ht="12.7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row>
    <row r="102" spans="1:22" ht="12.7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row>
    <row r="103" spans="1:22" ht="12.7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row>
    <row r="104" spans="1:22" ht="12.7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row>
    <row r="105" spans="1:22" ht="12.7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row>
    <row r="106" spans="1:22" ht="12.7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row>
    <row r="107" spans="1:22" ht="12.7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row>
    <row r="108" spans="1:22" ht="12.7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row>
    <row r="109" spans="1:22" ht="12.7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row>
    <row r="110" spans="1:22" ht="12.7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row>
    <row r="111" spans="1:22" ht="12.7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row>
    <row r="112" spans="1:22" ht="12.7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row>
    <row r="113" spans="1:22" ht="12.7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row>
    <row r="114" spans="1:22" ht="12.7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row>
    <row r="115" spans="1:22" ht="12.7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row>
    <row r="116" spans="1:22" ht="12.7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row>
    <row r="117" spans="1:22" ht="12.7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row>
    <row r="118" spans="1:22" ht="12.7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row>
    <row r="119" spans="1:22" ht="12.7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row>
    <row r="120" spans="1:22" ht="12.7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row>
    <row r="121" spans="1:22" ht="12.7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row>
    <row r="122" spans="1:22" ht="12.7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row>
    <row r="123" spans="1:22" ht="12.7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row>
    <row r="124" spans="1:22" ht="12.7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row>
    <row r="125" spans="1:22" ht="12.7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row>
    <row r="126" spans="1:22" ht="12.7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row>
    <row r="127" spans="1:22" ht="12.7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row>
    <row r="128" spans="1:22" ht="12.7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row>
    <row r="129" spans="1:22" ht="12.7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row>
    <row r="130" spans="1:22" ht="12.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row>
    <row r="131" spans="1:22" ht="12.7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row>
    <row r="132" spans="1:22" ht="12.7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row>
    <row r="133" spans="1:22" ht="12.7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row>
    <row r="134" spans="1:22" ht="12.7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row>
    <row r="135" spans="1:22" ht="12.7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row>
    <row r="136" spans="1:22" ht="12.7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row>
    <row r="137" spans="1:22" ht="12.7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row>
    <row r="138" spans="1:22" ht="12.7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row>
    <row r="139" spans="1:22" ht="12.7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row>
    <row r="140" spans="1:22" ht="12.7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row>
    <row r="141" spans="1:22" ht="12.7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row>
    <row r="142" spans="1:22" ht="12.7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row>
    <row r="143" spans="1:22" ht="12.7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row>
    <row r="144" spans="1:22" ht="12.7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row>
    <row r="145" spans="1:22" ht="12.7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row>
    <row r="146" spans="1:22" ht="12.7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row>
    <row r="147" spans="1:22" ht="12.7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row>
    <row r="148" spans="1:22" ht="12.7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row>
    <row r="149" spans="1:22" ht="12.7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row>
    <row r="150" spans="1:22" ht="12.7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row>
    <row r="151" spans="1:22" ht="12.7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row>
    <row r="152" spans="1:22" ht="12.7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row>
    <row r="153" spans="1:22" ht="12.7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row>
    <row r="154" spans="1:22" ht="12.7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row>
    <row r="155" spans="1:22" ht="12.7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row>
    <row r="156" spans="1:22" ht="12.7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row>
    <row r="157" spans="1:22" ht="12.7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row>
    <row r="158" spans="1:22" ht="12.7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row>
    <row r="159" spans="1:22" ht="12.7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row>
    <row r="160" spans="1:22" ht="12.7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row>
    <row r="161" spans="1:22" ht="12.7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row>
    <row r="162" spans="1:22" ht="12.7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row>
    <row r="163" spans="1:22" ht="12.7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row>
    <row r="164" spans="1:22" ht="12.7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row>
    <row r="165" spans="1:22" ht="12.7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row>
    <row r="166" spans="1:22" ht="12.7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row>
    <row r="167" spans="1:22" ht="12.7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row>
    <row r="168" spans="1:22" ht="12.7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row>
    <row r="169" spans="1:22" ht="12.7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row>
    <row r="170" spans="1:22" ht="12.7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row>
    <row r="171" spans="1:22" ht="12.7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row>
    <row r="172" spans="1:22" ht="12.7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row>
    <row r="173" spans="1:22" ht="12.7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row>
    <row r="174" spans="1:22" ht="12.7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row>
    <row r="175" spans="1:22" ht="12.7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row>
    <row r="176" spans="1:22" ht="12.7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row>
    <row r="177" spans="1:22" ht="12.7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row>
    <row r="178" spans="1:22" ht="12.7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row>
    <row r="179" spans="1:22" ht="12.7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row>
    <row r="180" spans="1:22" ht="12.7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row>
    <row r="181" spans="1:22" ht="12.7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row>
    <row r="182" spans="1:22" ht="12.7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row>
    <row r="183" spans="1:22" ht="12.7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row>
    <row r="184" spans="1:22" ht="12.7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row>
    <row r="185" spans="1:22" ht="12.7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row>
    <row r="186" spans="1:22" ht="12.7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row>
    <row r="187" spans="1:22" ht="12.7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row>
    <row r="188" spans="1:22" ht="12.7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row>
    <row r="189" spans="1:22" ht="12.7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row>
    <row r="190" spans="1:22" ht="12.7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row>
    <row r="191" spans="1:22" ht="12.7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row>
    <row r="192" spans="1:22" ht="12.7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row>
    <row r="193" spans="1:22" ht="12.7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row>
    <row r="194" spans="1:22" ht="12.7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row>
    <row r="195" spans="1:22" ht="12.7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row>
    <row r="196" spans="1:22" ht="12.7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row>
    <row r="197" spans="1:22" ht="12.7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row>
    <row r="198" spans="1:22" ht="12.7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row>
    <row r="199" spans="1:22" ht="12.7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row>
    <row r="200" spans="1:22" ht="12.7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row>
    <row r="201" spans="1:22" ht="12.7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row>
    <row r="202" spans="1:22" ht="12.7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row>
    <row r="203" spans="1:22" ht="12.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row>
    <row r="204" spans="1:22" ht="12.7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row>
    <row r="205" spans="1:22" ht="12.7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row>
    <row r="206" spans="1:22" ht="12.7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row>
    <row r="207" spans="1:22" ht="12.7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row>
    <row r="208" spans="1:22" ht="12.7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row>
    <row r="209" spans="1:22" ht="12.7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row>
    <row r="210" spans="1:22" ht="12.7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row>
    <row r="211" spans="1:22" ht="12.7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row>
    <row r="212" spans="1:22" ht="12.7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row>
    <row r="213" spans="1:22" ht="12.7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row>
    <row r="214" spans="1:22" ht="12.7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row>
    <row r="215" spans="1:22" ht="12.7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row>
    <row r="216" spans="1:22" ht="12.7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row>
    <row r="217" spans="1:22" ht="12.7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row>
    <row r="218" spans="1:22" ht="12.7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row>
    <row r="219" spans="1:22" ht="15.75" customHeight="1" x14ac:dyDescent="0.2"/>
    <row r="220" spans="1:22" ht="15.75" customHeight="1" x14ac:dyDescent="0.2"/>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2">
    <mergeCell ref="B9:L9"/>
    <mergeCell ref="A18:L19"/>
  </mergeCells>
  <pageMargins left="0.78740157499999996" right="0.78740157499999996" top="0.984251969" bottom="0.98425196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995"/>
  <sheetViews>
    <sheetView showGridLines="0" workbookViewId="0"/>
  </sheetViews>
  <sheetFormatPr defaultColWidth="14.42578125" defaultRowHeight="15" customHeight="1" x14ac:dyDescent="0.2"/>
  <cols>
    <col min="1" max="1" width="34.28515625" customWidth="1"/>
    <col min="2" max="2" width="33.42578125" customWidth="1"/>
    <col min="3" max="3" width="24.42578125" customWidth="1"/>
    <col min="4" max="4" width="54.85546875" customWidth="1"/>
    <col min="5" max="6" width="22" customWidth="1"/>
    <col min="7" max="24" width="9.140625" customWidth="1"/>
  </cols>
  <sheetData>
    <row r="1" spans="1:24" ht="27" customHeight="1" x14ac:dyDescent="0.2">
      <c r="A1" s="59" t="s">
        <v>34</v>
      </c>
      <c r="B1" s="60"/>
      <c r="C1" s="60"/>
      <c r="D1" s="60"/>
      <c r="E1" s="60"/>
      <c r="F1" s="60"/>
      <c r="G1" s="60"/>
      <c r="H1" s="60"/>
      <c r="I1" s="60"/>
      <c r="J1" s="60"/>
      <c r="K1" s="60"/>
      <c r="L1" s="60"/>
      <c r="M1" s="60"/>
      <c r="N1" s="60"/>
      <c r="O1" s="60"/>
      <c r="P1" s="60"/>
      <c r="Q1" s="60"/>
      <c r="R1" s="60"/>
      <c r="S1" s="60"/>
      <c r="T1" s="60"/>
      <c r="U1" s="60"/>
      <c r="V1" s="60"/>
      <c r="W1" s="60"/>
      <c r="X1" s="60"/>
    </row>
    <row r="2" spans="1:24" ht="13.5" customHeight="1" x14ac:dyDescent="0.2">
      <c r="A2" s="61"/>
      <c r="B2" s="60"/>
      <c r="C2" s="60"/>
      <c r="D2" s="60"/>
      <c r="E2" s="60"/>
      <c r="F2" s="60"/>
      <c r="G2" s="60"/>
      <c r="H2" s="60"/>
      <c r="I2" s="60"/>
      <c r="J2" s="60"/>
      <c r="K2" s="60"/>
      <c r="L2" s="60"/>
      <c r="M2" s="60"/>
      <c r="N2" s="60"/>
      <c r="O2" s="60"/>
      <c r="P2" s="60"/>
      <c r="Q2" s="60"/>
      <c r="R2" s="60"/>
      <c r="S2" s="60"/>
      <c r="T2" s="60"/>
      <c r="U2" s="60"/>
      <c r="V2" s="60"/>
      <c r="W2" s="60"/>
      <c r="X2" s="60"/>
    </row>
    <row r="3" spans="1:24" ht="21" customHeight="1" x14ac:dyDescent="0.2">
      <c r="A3" s="62" t="s">
        <v>17</v>
      </c>
      <c r="B3" s="63" t="s">
        <v>35</v>
      </c>
      <c r="C3" s="62" t="s">
        <v>36</v>
      </c>
      <c r="D3" s="64" t="s">
        <v>37</v>
      </c>
      <c r="E3" s="60"/>
      <c r="F3" s="60"/>
      <c r="G3" s="5"/>
      <c r="H3" s="5"/>
      <c r="I3" s="5"/>
      <c r="J3" s="5"/>
      <c r="K3" s="5"/>
      <c r="L3" s="5"/>
      <c r="M3" s="5"/>
      <c r="N3" s="5"/>
      <c r="O3" s="5"/>
      <c r="P3" s="5"/>
      <c r="Q3" s="5"/>
      <c r="R3" s="5"/>
      <c r="S3" s="5"/>
      <c r="T3" s="5"/>
      <c r="U3" s="5"/>
      <c r="V3" s="5"/>
      <c r="W3" s="5"/>
      <c r="X3" s="5"/>
    </row>
    <row r="4" spans="1:24" ht="12.75" customHeight="1" x14ac:dyDescent="0.2">
      <c r="A4" s="65" t="s">
        <v>19</v>
      </c>
      <c r="B4" s="66"/>
      <c r="C4" s="66"/>
      <c r="D4" s="67"/>
      <c r="E4" s="60"/>
      <c r="F4" s="60"/>
      <c r="G4" s="5"/>
      <c r="H4" s="5"/>
      <c r="I4" s="5"/>
      <c r="J4" s="5"/>
      <c r="K4" s="5"/>
      <c r="L4" s="5"/>
      <c r="M4" s="5"/>
      <c r="N4" s="5"/>
      <c r="O4" s="5"/>
      <c r="P4" s="5"/>
      <c r="Q4" s="5"/>
      <c r="R4" s="5"/>
      <c r="S4" s="5"/>
      <c r="T4" s="5"/>
      <c r="U4" s="5"/>
      <c r="V4" s="5"/>
      <c r="W4" s="5"/>
      <c r="X4" s="5"/>
    </row>
    <row r="5" spans="1:24" ht="12.75" customHeight="1" x14ac:dyDescent="0.2">
      <c r="A5" s="68" t="s">
        <v>38</v>
      </c>
      <c r="B5" s="68" t="s">
        <v>39</v>
      </c>
      <c r="C5" s="68" t="s">
        <v>40</v>
      </c>
      <c r="D5" s="69" t="s">
        <v>41</v>
      </c>
      <c r="E5" s="60"/>
      <c r="F5" s="60"/>
      <c r="G5" s="70"/>
      <c r="H5" s="70"/>
      <c r="I5" s="70"/>
      <c r="J5" s="70"/>
      <c r="K5" s="70"/>
      <c r="L5" s="70"/>
      <c r="M5" s="70"/>
      <c r="N5" s="70"/>
      <c r="O5" s="70"/>
      <c r="P5" s="70"/>
      <c r="Q5" s="70"/>
      <c r="R5" s="70"/>
      <c r="S5" s="70"/>
      <c r="T5" s="70"/>
      <c r="U5" s="70"/>
      <c r="V5" s="70"/>
      <c r="W5" s="70"/>
      <c r="X5" s="70"/>
    </row>
    <row r="6" spans="1:24" ht="12.75" customHeight="1" x14ac:dyDescent="0.2">
      <c r="A6" s="71"/>
      <c r="B6" s="71"/>
      <c r="C6" s="71"/>
      <c r="D6" s="71"/>
      <c r="E6" s="60"/>
      <c r="F6" s="60"/>
      <c r="G6" s="71"/>
      <c r="H6" s="71"/>
      <c r="I6" s="71"/>
      <c r="J6" s="71"/>
      <c r="K6" s="71"/>
      <c r="L6" s="71"/>
      <c r="M6" s="71"/>
      <c r="N6" s="71"/>
      <c r="O6" s="71"/>
      <c r="P6" s="71"/>
      <c r="Q6" s="71"/>
      <c r="R6" s="71"/>
      <c r="S6" s="71"/>
      <c r="T6" s="71"/>
      <c r="U6" s="71"/>
      <c r="V6" s="71"/>
      <c r="W6" s="71"/>
      <c r="X6" s="71"/>
    </row>
    <row r="7" spans="1:24" ht="12.75" customHeight="1" x14ac:dyDescent="0.2">
      <c r="A7" s="65" t="s">
        <v>23</v>
      </c>
      <c r="B7" s="72"/>
      <c r="C7" s="72"/>
      <c r="D7" s="73"/>
      <c r="E7" s="60"/>
      <c r="F7" s="60"/>
      <c r="G7" s="71"/>
      <c r="H7" s="71"/>
      <c r="I7" s="71"/>
      <c r="J7" s="71"/>
      <c r="K7" s="71"/>
      <c r="L7" s="71"/>
      <c r="M7" s="71"/>
      <c r="N7" s="71"/>
      <c r="O7" s="71"/>
      <c r="P7" s="71"/>
      <c r="Q7" s="71"/>
      <c r="R7" s="71"/>
      <c r="S7" s="71"/>
      <c r="T7" s="71"/>
      <c r="U7" s="71"/>
      <c r="V7" s="71"/>
      <c r="W7" s="71"/>
      <c r="X7" s="71"/>
    </row>
    <row r="8" spans="1:24" ht="12.75" customHeight="1" x14ac:dyDescent="0.2">
      <c r="A8" s="68" t="s">
        <v>42</v>
      </c>
      <c r="B8" s="68" t="s">
        <v>39</v>
      </c>
      <c r="C8" s="68" t="s">
        <v>43</v>
      </c>
      <c r="D8" s="74" t="s">
        <v>44</v>
      </c>
      <c r="E8" s="60"/>
      <c r="F8" s="60"/>
      <c r="G8" s="5"/>
      <c r="H8" s="5"/>
      <c r="I8" s="5"/>
      <c r="J8" s="5"/>
      <c r="K8" s="5"/>
      <c r="L8" s="5"/>
      <c r="M8" s="5"/>
      <c r="N8" s="5"/>
      <c r="O8" s="5"/>
      <c r="P8" s="5"/>
      <c r="Q8" s="5"/>
      <c r="R8" s="5"/>
      <c r="S8" s="5"/>
      <c r="T8" s="5"/>
      <c r="U8" s="5"/>
      <c r="V8" s="5"/>
      <c r="W8" s="5"/>
      <c r="X8" s="5"/>
    </row>
    <row r="9" spans="1:24" ht="12.75" customHeight="1" x14ac:dyDescent="0.2">
      <c r="A9" s="68" t="s">
        <v>45</v>
      </c>
      <c r="B9" s="68" t="s">
        <v>46</v>
      </c>
      <c r="C9" s="68" t="s">
        <v>47</v>
      </c>
      <c r="D9" s="75">
        <v>0.1</v>
      </c>
      <c r="E9" s="60"/>
      <c r="F9" s="60"/>
      <c r="G9" s="71"/>
      <c r="H9" s="71"/>
      <c r="I9" s="71"/>
      <c r="J9" s="71"/>
      <c r="K9" s="71"/>
      <c r="L9" s="71"/>
      <c r="M9" s="71"/>
      <c r="N9" s="71"/>
      <c r="O9" s="71"/>
      <c r="P9" s="71"/>
      <c r="Q9" s="71"/>
      <c r="R9" s="71"/>
      <c r="S9" s="71"/>
      <c r="T9" s="71"/>
      <c r="U9" s="71"/>
      <c r="V9" s="71"/>
      <c r="W9" s="71"/>
      <c r="X9" s="71"/>
    </row>
    <row r="10" spans="1:24" ht="12.75" customHeight="1" x14ac:dyDescent="0.2">
      <c r="A10" s="68"/>
      <c r="B10" s="68"/>
      <c r="C10" s="68"/>
      <c r="D10" s="69"/>
      <c r="E10" s="60"/>
      <c r="F10" s="60"/>
      <c r="G10" s="71"/>
      <c r="H10" s="71"/>
      <c r="I10" s="71"/>
      <c r="J10" s="71"/>
      <c r="K10" s="71"/>
      <c r="L10" s="71"/>
      <c r="M10" s="71"/>
      <c r="N10" s="71"/>
      <c r="O10" s="71"/>
      <c r="P10" s="71"/>
      <c r="Q10" s="71"/>
      <c r="R10" s="71"/>
      <c r="S10" s="71"/>
      <c r="T10" s="71"/>
      <c r="U10" s="71"/>
      <c r="V10" s="71"/>
      <c r="W10" s="71"/>
      <c r="X10" s="71"/>
    </row>
    <row r="11" spans="1:24" ht="12.75" customHeight="1" x14ac:dyDescent="0.2">
      <c r="A11" s="65" t="s">
        <v>27</v>
      </c>
      <c r="B11" s="66"/>
      <c r="C11" s="66"/>
      <c r="D11" s="67"/>
      <c r="E11" s="60"/>
      <c r="F11" s="60"/>
      <c r="G11" s="5"/>
      <c r="H11" s="5"/>
      <c r="I11" s="5"/>
      <c r="J11" s="5"/>
      <c r="K11" s="5"/>
      <c r="L11" s="5"/>
      <c r="M11" s="5"/>
      <c r="N11" s="5"/>
      <c r="O11" s="5"/>
      <c r="P11" s="5"/>
      <c r="Q11" s="5"/>
      <c r="R11" s="5"/>
      <c r="S11" s="5"/>
      <c r="T11" s="5"/>
      <c r="U11" s="5"/>
      <c r="V11" s="5"/>
      <c r="W11" s="5"/>
      <c r="X11" s="5"/>
    </row>
    <row r="12" spans="1:24" ht="12.75" customHeight="1" x14ac:dyDescent="0.2">
      <c r="A12" s="68" t="s">
        <v>27</v>
      </c>
      <c r="B12" s="68" t="s">
        <v>46</v>
      </c>
      <c r="C12" s="68" t="s">
        <v>48</v>
      </c>
      <c r="D12" s="69" t="s">
        <v>49</v>
      </c>
      <c r="E12" s="60"/>
      <c r="F12" s="60"/>
      <c r="G12" s="71"/>
      <c r="H12" s="71"/>
      <c r="I12" s="71"/>
      <c r="J12" s="71"/>
      <c r="K12" s="71"/>
      <c r="L12" s="71"/>
      <c r="M12" s="71"/>
      <c r="N12" s="71"/>
      <c r="O12" s="71"/>
      <c r="P12" s="71"/>
      <c r="Q12" s="71"/>
      <c r="R12" s="71"/>
      <c r="S12" s="71"/>
      <c r="T12" s="71"/>
      <c r="U12" s="71"/>
      <c r="V12" s="71"/>
      <c r="W12" s="71"/>
      <c r="X12" s="71"/>
    </row>
    <row r="13" spans="1:24" ht="12.75" customHeight="1" x14ac:dyDescent="0.2">
      <c r="A13" s="68" t="s">
        <v>27</v>
      </c>
      <c r="B13" s="68" t="s">
        <v>46</v>
      </c>
      <c r="C13" s="68" t="s">
        <v>50</v>
      </c>
      <c r="D13" s="69" t="s">
        <v>51</v>
      </c>
      <c r="E13" s="60"/>
      <c r="F13" s="60"/>
      <c r="G13" s="71"/>
      <c r="H13" s="71"/>
      <c r="I13" s="71"/>
      <c r="J13" s="71"/>
      <c r="K13" s="71"/>
      <c r="L13" s="71"/>
      <c r="M13" s="71"/>
      <c r="N13" s="71"/>
      <c r="O13" s="71"/>
      <c r="P13" s="71"/>
      <c r="Q13" s="71"/>
      <c r="R13" s="71"/>
      <c r="S13" s="71"/>
      <c r="T13" s="71"/>
      <c r="U13" s="71"/>
      <c r="V13" s="71"/>
      <c r="W13" s="71"/>
      <c r="X13" s="71"/>
    </row>
    <row r="14" spans="1:24" ht="12.7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12.75" customHeight="1" x14ac:dyDescent="0.2">
      <c r="A15" s="65" t="s">
        <v>29</v>
      </c>
      <c r="B15" s="72"/>
      <c r="C15" s="72"/>
      <c r="D15" s="73"/>
      <c r="E15" s="60"/>
      <c r="F15" s="60"/>
      <c r="G15" s="5"/>
      <c r="H15" s="5"/>
      <c r="I15" s="5"/>
      <c r="J15" s="5"/>
      <c r="K15" s="5"/>
      <c r="L15" s="5"/>
      <c r="M15" s="5"/>
      <c r="N15" s="5"/>
      <c r="O15" s="5"/>
      <c r="P15" s="5"/>
      <c r="Q15" s="5"/>
      <c r="R15" s="5"/>
      <c r="S15" s="5"/>
      <c r="T15" s="5"/>
      <c r="U15" s="5"/>
      <c r="V15" s="5"/>
      <c r="W15" s="5"/>
      <c r="X15" s="5"/>
    </row>
    <row r="16" spans="1:24" ht="12.75" customHeight="1" x14ac:dyDescent="0.2">
      <c r="A16" s="68" t="s">
        <v>31</v>
      </c>
      <c r="B16" s="68" t="s">
        <v>46</v>
      </c>
      <c r="C16" s="418" t="s">
        <v>52</v>
      </c>
      <c r="D16" s="420" t="s">
        <v>53</v>
      </c>
      <c r="E16" s="60"/>
      <c r="F16" s="60"/>
      <c r="G16" s="5"/>
      <c r="H16" s="5"/>
      <c r="I16" s="5"/>
      <c r="J16" s="5"/>
      <c r="K16" s="5"/>
      <c r="L16" s="5"/>
      <c r="M16" s="5"/>
      <c r="N16" s="5"/>
      <c r="O16" s="5"/>
      <c r="P16" s="5"/>
      <c r="Q16" s="5"/>
      <c r="R16" s="5"/>
      <c r="S16" s="5"/>
      <c r="T16" s="5"/>
      <c r="U16" s="5"/>
      <c r="V16" s="5"/>
      <c r="W16" s="5"/>
      <c r="X16" s="5"/>
    </row>
    <row r="17" spans="1:24" ht="12.75" customHeight="1" x14ac:dyDescent="0.2">
      <c r="A17" s="68" t="s">
        <v>54</v>
      </c>
      <c r="B17" s="68" t="s">
        <v>39</v>
      </c>
      <c r="C17" s="419"/>
      <c r="D17" s="419"/>
      <c r="E17" s="60"/>
      <c r="F17" s="60"/>
      <c r="G17" s="5"/>
      <c r="H17" s="5"/>
      <c r="I17" s="5"/>
      <c r="J17" s="5"/>
      <c r="K17" s="5"/>
      <c r="L17" s="5"/>
      <c r="M17" s="5"/>
      <c r="N17" s="5"/>
      <c r="O17" s="5"/>
      <c r="P17" s="5"/>
      <c r="Q17" s="5"/>
      <c r="R17" s="5"/>
      <c r="S17" s="5"/>
      <c r="T17" s="5"/>
      <c r="U17" s="5"/>
      <c r="V17" s="5"/>
      <c r="W17" s="5"/>
      <c r="X17" s="5"/>
    </row>
    <row r="18" spans="1:24" ht="12.75" customHeight="1" x14ac:dyDescent="0.2">
      <c r="A18" s="5"/>
      <c r="B18" s="5"/>
      <c r="C18" s="5"/>
      <c r="D18" s="5"/>
      <c r="E18" s="5"/>
      <c r="F18" s="5"/>
      <c r="G18" s="5"/>
      <c r="H18" s="5"/>
      <c r="I18" s="5"/>
      <c r="J18" s="5"/>
      <c r="K18" s="5"/>
      <c r="L18" s="5"/>
      <c r="M18" s="5"/>
      <c r="N18" s="5"/>
      <c r="O18" s="5"/>
      <c r="P18" s="5"/>
      <c r="Q18" s="5"/>
      <c r="R18" s="5"/>
      <c r="S18" s="5"/>
      <c r="T18" s="5"/>
      <c r="U18" s="5"/>
      <c r="V18" s="5"/>
      <c r="W18" s="5"/>
      <c r="X18" s="5"/>
    </row>
    <row r="19" spans="1:24" ht="12.75" customHeight="1" x14ac:dyDescent="0.2">
      <c r="A19" s="65" t="s">
        <v>31</v>
      </c>
      <c r="B19" s="72"/>
      <c r="C19" s="72"/>
      <c r="D19" s="73"/>
      <c r="E19" s="60"/>
      <c r="F19" s="60"/>
      <c r="G19" s="5"/>
      <c r="H19" s="5"/>
      <c r="I19" s="5"/>
      <c r="J19" s="5"/>
      <c r="K19" s="5"/>
      <c r="L19" s="5"/>
      <c r="M19" s="5"/>
      <c r="N19" s="5"/>
      <c r="O19" s="5"/>
      <c r="P19" s="5"/>
      <c r="Q19" s="5"/>
      <c r="R19" s="5"/>
      <c r="S19" s="5"/>
      <c r="T19" s="5"/>
      <c r="U19" s="5"/>
      <c r="V19" s="5"/>
      <c r="W19" s="5"/>
      <c r="X19" s="5"/>
    </row>
    <row r="20" spans="1:24" ht="12.75" customHeight="1" x14ac:dyDescent="0.2">
      <c r="A20" s="68" t="s">
        <v>31</v>
      </c>
      <c r="B20" s="68" t="s">
        <v>46</v>
      </c>
      <c r="C20" s="68" t="s">
        <v>43</v>
      </c>
      <c r="D20" s="76" t="s">
        <v>55</v>
      </c>
      <c r="E20" s="60"/>
      <c r="F20" s="60"/>
      <c r="G20" s="5"/>
      <c r="H20" s="5"/>
      <c r="I20" s="5"/>
      <c r="J20" s="5"/>
      <c r="K20" s="5"/>
      <c r="L20" s="5"/>
      <c r="M20" s="5"/>
      <c r="N20" s="5"/>
      <c r="O20" s="5"/>
      <c r="P20" s="5"/>
      <c r="Q20" s="5"/>
      <c r="R20" s="5"/>
      <c r="S20" s="5"/>
      <c r="T20" s="5"/>
      <c r="U20" s="5"/>
      <c r="V20" s="5"/>
      <c r="W20" s="5"/>
      <c r="X20" s="5"/>
    </row>
    <row r="21" spans="1:24" ht="12.75" customHeight="1" x14ac:dyDescent="0.2">
      <c r="A21" s="68"/>
      <c r="B21" s="68"/>
      <c r="C21" s="68"/>
      <c r="D21" s="69"/>
      <c r="E21" s="60"/>
      <c r="F21" s="60"/>
      <c r="G21" s="5"/>
      <c r="H21" s="5"/>
      <c r="I21" s="5"/>
      <c r="J21" s="5"/>
      <c r="K21" s="5"/>
      <c r="L21" s="5"/>
      <c r="M21" s="5"/>
      <c r="N21" s="5"/>
      <c r="O21" s="5"/>
      <c r="P21" s="5"/>
      <c r="Q21" s="5"/>
      <c r="R21" s="5"/>
      <c r="S21" s="5"/>
      <c r="T21" s="5"/>
      <c r="U21" s="5"/>
      <c r="V21" s="5"/>
      <c r="W21" s="5"/>
      <c r="X21" s="5"/>
    </row>
    <row r="22" spans="1:24" ht="12.75" customHeight="1" x14ac:dyDescent="0.2">
      <c r="A22" s="5"/>
      <c r="B22" s="5"/>
      <c r="C22" s="5"/>
      <c r="D22" s="5"/>
      <c r="E22" s="5"/>
      <c r="F22" s="5"/>
      <c r="G22" s="5"/>
      <c r="H22" s="5"/>
      <c r="I22" s="5"/>
      <c r="J22" s="5"/>
      <c r="K22" s="5"/>
      <c r="L22" s="5"/>
      <c r="M22" s="5"/>
      <c r="N22" s="5"/>
      <c r="O22" s="5"/>
      <c r="P22" s="5"/>
      <c r="Q22" s="5"/>
      <c r="R22" s="5"/>
      <c r="S22" s="5"/>
      <c r="T22" s="5"/>
      <c r="U22" s="5"/>
      <c r="V22" s="5"/>
      <c r="W22" s="5"/>
      <c r="X22" s="5"/>
    </row>
    <row r="23" spans="1:24" ht="12.75" customHeight="1" x14ac:dyDescent="0.2">
      <c r="A23" s="5"/>
      <c r="B23" s="5"/>
      <c r="C23" s="5"/>
      <c r="D23" s="5"/>
      <c r="E23" s="5"/>
      <c r="F23" s="5"/>
      <c r="G23" s="5"/>
      <c r="H23" s="5"/>
      <c r="I23" s="5"/>
      <c r="J23" s="5"/>
      <c r="K23" s="5"/>
      <c r="L23" s="5"/>
      <c r="M23" s="5"/>
      <c r="N23" s="5"/>
      <c r="O23" s="5"/>
      <c r="P23" s="5"/>
      <c r="Q23" s="5"/>
      <c r="R23" s="5"/>
      <c r="S23" s="5"/>
      <c r="T23" s="5"/>
      <c r="U23" s="5"/>
      <c r="V23" s="5"/>
      <c r="W23" s="5"/>
      <c r="X23" s="5"/>
    </row>
    <row r="24" spans="1:24" ht="12.75" customHeight="1" x14ac:dyDescent="0.2">
      <c r="A24" s="5"/>
      <c r="B24" s="5"/>
      <c r="C24" s="5"/>
      <c r="D24" s="5"/>
      <c r="E24" s="5"/>
      <c r="F24" s="5"/>
      <c r="G24" s="5"/>
      <c r="H24" s="5"/>
      <c r="I24" s="5"/>
      <c r="J24" s="5"/>
      <c r="K24" s="5"/>
      <c r="L24" s="5"/>
      <c r="M24" s="5"/>
      <c r="N24" s="5"/>
      <c r="O24" s="5"/>
      <c r="P24" s="5"/>
      <c r="Q24" s="5"/>
      <c r="R24" s="5"/>
      <c r="S24" s="5"/>
      <c r="T24" s="5"/>
      <c r="U24" s="5"/>
      <c r="V24" s="5"/>
      <c r="W24" s="5"/>
      <c r="X24" s="5"/>
    </row>
    <row r="25" spans="1:24" ht="12.75" customHeight="1" x14ac:dyDescent="0.2">
      <c r="A25" s="5"/>
      <c r="B25" s="5"/>
      <c r="C25" s="5"/>
      <c r="D25" s="5"/>
      <c r="E25" s="5"/>
      <c r="F25" s="5"/>
      <c r="G25" s="5"/>
      <c r="H25" s="5"/>
      <c r="I25" s="5"/>
      <c r="J25" s="5"/>
      <c r="K25" s="5"/>
      <c r="L25" s="5"/>
      <c r="M25" s="5"/>
      <c r="N25" s="5"/>
      <c r="O25" s="5"/>
      <c r="P25" s="5"/>
      <c r="Q25" s="5"/>
      <c r="R25" s="5"/>
      <c r="S25" s="5"/>
      <c r="T25" s="5"/>
      <c r="U25" s="5"/>
      <c r="V25" s="5"/>
      <c r="W25" s="5"/>
      <c r="X25" s="5"/>
    </row>
    <row r="26" spans="1:24" ht="12.75" customHeight="1" x14ac:dyDescent="0.2">
      <c r="A26" s="5"/>
      <c r="B26" s="5"/>
      <c r="C26" s="5"/>
      <c r="D26" s="5"/>
      <c r="E26" s="5"/>
      <c r="F26" s="5"/>
      <c r="G26" s="5"/>
      <c r="H26" s="5"/>
      <c r="I26" s="5"/>
      <c r="J26" s="5"/>
      <c r="K26" s="5"/>
      <c r="L26" s="5"/>
      <c r="M26" s="5"/>
      <c r="N26" s="5"/>
      <c r="O26" s="5"/>
      <c r="P26" s="5"/>
      <c r="Q26" s="5"/>
      <c r="R26" s="5"/>
      <c r="S26" s="5"/>
      <c r="T26" s="5"/>
      <c r="U26" s="5"/>
      <c r="V26" s="5"/>
      <c r="W26" s="5"/>
      <c r="X26" s="5"/>
    </row>
    <row r="27" spans="1:24" ht="12.75" customHeight="1" x14ac:dyDescent="0.2">
      <c r="A27" s="68"/>
      <c r="B27" s="68"/>
      <c r="C27" s="68"/>
      <c r="D27" s="5"/>
      <c r="E27" s="60"/>
      <c r="F27" s="60"/>
      <c r="G27" s="5"/>
      <c r="H27" s="5"/>
      <c r="I27" s="5"/>
      <c r="J27" s="5"/>
      <c r="K27" s="5"/>
      <c r="L27" s="5"/>
      <c r="M27" s="5"/>
      <c r="N27" s="5"/>
      <c r="O27" s="5"/>
      <c r="P27" s="5"/>
      <c r="Q27" s="5"/>
      <c r="R27" s="5"/>
      <c r="S27" s="5"/>
      <c r="T27" s="5"/>
      <c r="U27" s="5"/>
      <c r="V27" s="5"/>
      <c r="W27" s="5"/>
      <c r="X27" s="5"/>
    </row>
    <row r="28" spans="1:24" ht="12.75" customHeight="1" x14ac:dyDescent="0.2">
      <c r="A28" s="5"/>
      <c r="B28" s="5"/>
      <c r="C28" s="5"/>
      <c r="D28" s="5"/>
      <c r="E28" s="5"/>
      <c r="F28" s="5"/>
      <c r="G28" s="5"/>
      <c r="H28" s="5"/>
      <c r="I28" s="5"/>
      <c r="J28" s="5"/>
      <c r="K28" s="5"/>
      <c r="L28" s="5"/>
      <c r="M28" s="5"/>
      <c r="N28" s="5"/>
      <c r="O28" s="5"/>
      <c r="P28" s="5"/>
      <c r="Q28" s="5"/>
      <c r="R28" s="5"/>
      <c r="S28" s="5"/>
      <c r="T28" s="5"/>
      <c r="U28" s="5"/>
      <c r="V28" s="5"/>
      <c r="W28" s="5"/>
      <c r="X28" s="5"/>
    </row>
    <row r="29" spans="1:24" ht="12.75" customHeight="1" x14ac:dyDescent="0.2">
      <c r="A29" s="5"/>
      <c r="B29" s="5"/>
      <c r="C29" s="5"/>
      <c r="D29" s="5"/>
      <c r="E29" s="5"/>
      <c r="F29" s="5"/>
      <c r="G29" s="5"/>
      <c r="H29" s="5"/>
      <c r="I29" s="5"/>
      <c r="J29" s="5"/>
      <c r="K29" s="5"/>
      <c r="L29" s="5"/>
      <c r="M29" s="5"/>
      <c r="N29" s="5"/>
      <c r="O29" s="5"/>
      <c r="P29" s="5"/>
      <c r="Q29" s="5"/>
      <c r="R29" s="5"/>
      <c r="S29" s="5"/>
      <c r="T29" s="5"/>
      <c r="U29" s="5"/>
      <c r="V29" s="5"/>
      <c r="W29" s="5"/>
      <c r="X29" s="5"/>
    </row>
    <row r="30" spans="1:24" ht="16.5" customHeight="1" x14ac:dyDescent="0.2">
      <c r="A30" s="77"/>
      <c r="B30" s="60"/>
      <c r="C30" s="60"/>
      <c r="D30" s="78"/>
      <c r="E30" s="60"/>
      <c r="F30" s="60"/>
      <c r="G30" s="5"/>
      <c r="H30" s="5"/>
      <c r="I30" s="5"/>
      <c r="J30" s="5"/>
      <c r="K30" s="5"/>
      <c r="L30" s="5"/>
      <c r="M30" s="5"/>
      <c r="N30" s="5"/>
      <c r="O30" s="5"/>
      <c r="P30" s="5"/>
      <c r="Q30" s="5"/>
      <c r="R30" s="5"/>
      <c r="S30" s="5"/>
      <c r="T30" s="5"/>
      <c r="U30" s="5"/>
      <c r="V30" s="5"/>
      <c r="W30" s="5"/>
      <c r="X30" s="5"/>
    </row>
    <row r="31" spans="1:24" ht="18" customHeight="1" x14ac:dyDescent="0.2">
      <c r="A31" s="71"/>
      <c r="B31" s="79"/>
      <c r="C31" s="60"/>
      <c r="D31" s="78"/>
      <c r="E31" s="60"/>
      <c r="F31" s="60"/>
      <c r="G31" s="71"/>
      <c r="H31" s="71"/>
      <c r="I31" s="71"/>
      <c r="J31" s="71"/>
      <c r="K31" s="71"/>
      <c r="L31" s="71"/>
      <c r="M31" s="71"/>
      <c r="N31" s="71"/>
      <c r="O31" s="71"/>
      <c r="P31" s="71"/>
      <c r="Q31" s="71"/>
      <c r="R31" s="71"/>
      <c r="S31" s="71"/>
      <c r="T31" s="71"/>
      <c r="U31" s="71"/>
      <c r="V31" s="71"/>
      <c r="W31" s="71"/>
      <c r="X31" s="71"/>
    </row>
    <row r="32" spans="1:24" ht="26.25" customHeight="1" x14ac:dyDescent="0.2">
      <c r="A32" s="60"/>
      <c r="B32" s="60"/>
      <c r="C32" s="80"/>
      <c r="D32" s="60"/>
      <c r="E32" s="60"/>
      <c r="F32" s="78"/>
      <c r="G32" s="71"/>
      <c r="H32" s="71"/>
      <c r="I32" s="71"/>
      <c r="J32" s="71"/>
      <c r="K32" s="71"/>
      <c r="L32" s="71"/>
      <c r="M32" s="71"/>
      <c r="N32" s="71"/>
      <c r="O32" s="71"/>
      <c r="P32" s="71"/>
      <c r="Q32" s="71"/>
      <c r="R32" s="71"/>
      <c r="S32" s="71"/>
      <c r="T32" s="71"/>
      <c r="U32" s="71"/>
      <c r="V32" s="71"/>
      <c r="W32" s="71"/>
      <c r="X32" s="71"/>
    </row>
    <row r="33" spans="1:24" ht="11.25" customHeight="1" x14ac:dyDescent="0.2">
      <c r="A33" s="60"/>
      <c r="B33" s="60"/>
      <c r="C33" s="80"/>
      <c r="D33" s="60"/>
      <c r="E33" s="60"/>
      <c r="F33" s="60"/>
      <c r="G33" s="60"/>
      <c r="H33" s="60"/>
      <c r="I33" s="60"/>
      <c r="J33" s="60"/>
      <c r="K33" s="60"/>
      <c r="L33" s="60"/>
      <c r="M33" s="60"/>
      <c r="N33" s="60"/>
      <c r="O33" s="60"/>
      <c r="P33" s="60"/>
      <c r="Q33" s="60"/>
      <c r="R33" s="60"/>
      <c r="S33" s="60"/>
      <c r="T33" s="60"/>
      <c r="U33" s="60"/>
      <c r="V33" s="60"/>
      <c r="W33" s="60"/>
      <c r="X33" s="60"/>
    </row>
    <row r="34" spans="1:24" ht="16.5" customHeight="1" x14ac:dyDescent="0.2">
      <c r="A34" s="60"/>
      <c r="B34" s="60"/>
      <c r="C34" s="80"/>
      <c r="D34" s="60"/>
      <c r="E34" s="60"/>
      <c r="F34" s="78"/>
      <c r="G34" s="5"/>
      <c r="H34" s="5"/>
      <c r="I34" s="5"/>
      <c r="J34" s="5"/>
      <c r="K34" s="5"/>
      <c r="L34" s="5"/>
      <c r="M34" s="5"/>
      <c r="N34" s="5"/>
      <c r="O34" s="5"/>
      <c r="P34" s="5"/>
      <c r="Q34" s="5"/>
      <c r="R34" s="5"/>
      <c r="S34" s="5"/>
      <c r="T34" s="5"/>
      <c r="U34" s="5"/>
      <c r="V34" s="5"/>
      <c r="W34" s="5"/>
      <c r="X34" s="5"/>
    </row>
    <row r="35" spans="1:24" ht="16.5" customHeight="1" x14ac:dyDescent="0.2">
      <c r="A35" s="60"/>
      <c r="B35" s="60"/>
      <c r="C35" s="80"/>
      <c r="D35" s="60"/>
      <c r="E35" s="60"/>
      <c r="F35" s="5"/>
      <c r="G35" s="5"/>
      <c r="H35" s="5"/>
      <c r="I35" s="5"/>
      <c r="J35" s="5"/>
      <c r="K35" s="5"/>
      <c r="L35" s="5"/>
      <c r="M35" s="5"/>
      <c r="N35" s="5"/>
      <c r="O35" s="5"/>
      <c r="P35" s="5"/>
      <c r="Q35" s="5"/>
      <c r="R35" s="5"/>
      <c r="S35" s="5"/>
      <c r="T35" s="5"/>
      <c r="U35" s="5"/>
      <c r="V35" s="5"/>
      <c r="W35" s="5"/>
      <c r="X35" s="5"/>
    </row>
    <row r="36" spans="1:24" ht="16.5" customHeight="1" x14ac:dyDescent="0.2">
      <c r="A36" s="60"/>
      <c r="B36" s="60"/>
      <c r="C36" s="81"/>
      <c r="D36" s="60"/>
      <c r="E36" s="60"/>
      <c r="F36" s="5"/>
      <c r="G36" s="5"/>
      <c r="H36" s="5"/>
      <c r="I36" s="5"/>
      <c r="J36" s="5"/>
      <c r="K36" s="5"/>
      <c r="L36" s="5"/>
      <c r="M36" s="5"/>
      <c r="N36" s="5"/>
      <c r="O36" s="5"/>
      <c r="P36" s="5"/>
      <c r="Q36" s="5"/>
      <c r="R36" s="5"/>
      <c r="S36" s="5"/>
      <c r="T36" s="5"/>
      <c r="U36" s="5"/>
      <c r="V36" s="5"/>
      <c r="W36" s="5"/>
      <c r="X36" s="5"/>
    </row>
    <row r="37" spans="1:24" ht="16.5" customHeight="1" x14ac:dyDescent="0.2">
      <c r="A37" s="60"/>
      <c r="B37" s="60"/>
      <c r="C37" s="80"/>
      <c r="D37" s="60"/>
      <c r="E37" s="60"/>
      <c r="F37" s="82"/>
      <c r="G37" s="82"/>
      <c r="H37" s="5"/>
      <c r="I37" s="5"/>
      <c r="J37" s="5"/>
      <c r="K37" s="5"/>
      <c r="L37" s="5"/>
      <c r="M37" s="5"/>
      <c r="N37" s="5"/>
      <c r="O37" s="5"/>
      <c r="P37" s="5"/>
      <c r="Q37" s="5"/>
      <c r="R37" s="5"/>
      <c r="S37" s="5"/>
      <c r="T37" s="5"/>
      <c r="U37" s="5"/>
      <c r="V37" s="5"/>
      <c r="W37" s="5"/>
      <c r="X37" s="5"/>
    </row>
    <row r="38" spans="1:24" ht="16.5" customHeight="1" x14ac:dyDescent="0.2">
      <c r="A38" s="60"/>
      <c r="B38" s="60"/>
      <c r="C38" s="60"/>
      <c r="D38" s="60"/>
      <c r="E38" s="60"/>
      <c r="F38" s="82"/>
      <c r="G38" s="82"/>
      <c r="H38" s="5"/>
      <c r="I38" s="5"/>
      <c r="J38" s="5"/>
      <c r="K38" s="5"/>
      <c r="L38" s="5"/>
      <c r="M38" s="5"/>
      <c r="N38" s="5"/>
      <c r="O38" s="5"/>
      <c r="P38" s="5"/>
      <c r="Q38" s="5"/>
      <c r="R38" s="5"/>
      <c r="S38" s="5"/>
      <c r="T38" s="5"/>
      <c r="U38" s="5"/>
      <c r="V38" s="5"/>
      <c r="W38" s="5"/>
      <c r="X38" s="5"/>
    </row>
    <row r="39" spans="1:24" ht="16.5" customHeight="1" x14ac:dyDescent="0.2">
      <c r="A39" s="60"/>
      <c r="B39" s="60"/>
      <c r="C39" s="60"/>
      <c r="D39" s="60"/>
      <c r="E39" s="60"/>
      <c r="F39" s="78"/>
      <c r="G39" s="5"/>
      <c r="H39" s="5"/>
      <c r="I39" s="5"/>
      <c r="J39" s="5"/>
      <c r="K39" s="5"/>
      <c r="L39" s="5"/>
      <c r="M39" s="5"/>
      <c r="N39" s="5"/>
      <c r="O39" s="5"/>
      <c r="P39" s="5"/>
      <c r="Q39" s="5"/>
      <c r="R39" s="5"/>
      <c r="S39" s="5"/>
      <c r="T39" s="5"/>
      <c r="U39" s="5"/>
      <c r="V39" s="5"/>
      <c r="W39" s="5"/>
      <c r="X39" s="5"/>
    </row>
    <row r="40" spans="1:24" ht="16.5" customHeight="1" x14ac:dyDescent="0.2">
      <c r="A40" s="60"/>
      <c r="B40" s="60"/>
      <c r="C40" s="60"/>
      <c r="D40" s="60"/>
      <c r="E40" s="60"/>
      <c r="F40" s="5"/>
      <c r="G40" s="5"/>
      <c r="H40" s="5"/>
      <c r="I40" s="5"/>
      <c r="J40" s="5"/>
      <c r="K40" s="5"/>
      <c r="L40" s="5"/>
      <c r="M40" s="5"/>
      <c r="N40" s="5"/>
      <c r="O40" s="5"/>
      <c r="P40" s="5"/>
      <c r="Q40" s="5"/>
      <c r="R40" s="5"/>
      <c r="S40" s="5"/>
      <c r="T40" s="5"/>
      <c r="U40" s="5"/>
      <c r="V40" s="5"/>
      <c r="W40" s="5"/>
      <c r="X40" s="5"/>
    </row>
    <row r="41" spans="1:24" ht="16.5" customHeight="1" x14ac:dyDescent="0.2">
      <c r="A41" s="60"/>
      <c r="B41" s="60"/>
      <c r="C41" s="60"/>
      <c r="D41" s="60"/>
      <c r="E41" s="60"/>
      <c r="F41" s="5"/>
      <c r="G41" s="5"/>
      <c r="H41" s="5"/>
      <c r="I41" s="5"/>
      <c r="J41" s="5"/>
      <c r="K41" s="5"/>
      <c r="L41" s="5"/>
      <c r="M41" s="5"/>
      <c r="N41" s="5"/>
      <c r="O41" s="5"/>
      <c r="P41" s="5"/>
      <c r="Q41" s="5"/>
      <c r="R41" s="5"/>
      <c r="S41" s="5"/>
      <c r="T41" s="5"/>
      <c r="U41" s="5"/>
      <c r="V41" s="5"/>
      <c r="W41" s="5"/>
      <c r="X41" s="5"/>
    </row>
    <row r="42" spans="1:24" ht="16.5" customHeight="1" x14ac:dyDescent="0.2">
      <c r="A42" s="60"/>
      <c r="B42" s="60"/>
      <c r="C42" s="60"/>
      <c r="D42" s="60"/>
      <c r="E42" s="60"/>
      <c r="F42" s="5"/>
      <c r="G42" s="5"/>
      <c r="H42" s="5"/>
      <c r="I42" s="5"/>
      <c r="J42" s="5"/>
      <c r="K42" s="5"/>
      <c r="L42" s="5"/>
      <c r="M42" s="5"/>
      <c r="N42" s="5"/>
      <c r="O42" s="5"/>
      <c r="P42" s="5"/>
      <c r="Q42" s="5"/>
      <c r="R42" s="5"/>
      <c r="S42" s="5"/>
      <c r="T42" s="5"/>
      <c r="U42" s="5"/>
      <c r="V42" s="5"/>
      <c r="W42" s="5"/>
      <c r="X42" s="5"/>
    </row>
    <row r="43" spans="1:24" ht="16.5" customHeight="1" x14ac:dyDescent="0.2">
      <c r="A43" s="60"/>
      <c r="B43" s="60"/>
      <c r="C43" s="60"/>
      <c r="D43" s="60"/>
      <c r="E43" s="60"/>
      <c r="F43" s="5"/>
      <c r="G43" s="5"/>
      <c r="H43" s="5"/>
      <c r="I43" s="5"/>
      <c r="J43" s="5"/>
      <c r="K43" s="5"/>
      <c r="L43" s="5"/>
      <c r="M43" s="5"/>
      <c r="N43" s="5"/>
      <c r="O43" s="5"/>
      <c r="P43" s="5"/>
      <c r="Q43" s="5"/>
      <c r="R43" s="5"/>
      <c r="S43" s="5"/>
      <c r="T43" s="5"/>
      <c r="U43" s="5"/>
      <c r="V43" s="5"/>
      <c r="W43" s="5"/>
      <c r="X43" s="5"/>
    </row>
    <row r="44" spans="1:24" ht="16.5" customHeight="1" x14ac:dyDescent="0.2">
      <c r="A44" s="60"/>
      <c r="B44" s="60"/>
      <c r="C44" s="60"/>
      <c r="D44" s="60"/>
      <c r="E44" s="60"/>
      <c r="F44" s="5"/>
      <c r="G44" s="5"/>
      <c r="H44" s="5"/>
      <c r="I44" s="5"/>
      <c r="J44" s="5"/>
      <c r="K44" s="5"/>
      <c r="L44" s="5"/>
      <c r="M44" s="5"/>
      <c r="N44" s="5"/>
      <c r="O44" s="5"/>
      <c r="P44" s="5"/>
      <c r="Q44" s="5"/>
      <c r="R44" s="5"/>
      <c r="S44" s="5"/>
      <c r="T44" s="5"/>
      <c r="U44" s="5"/>
      <c r="V44" s="5"/>
      <c r="W44" s="5"/>
      <c r="X44" s="5"/>
    </row>
    <row r="45" spans="1:24" ht="16.5" customHeight="1" x14ac:dyDescent="0.2">
      <c r="A45" s="60"/>
      <c r="B45" s="60"/>
      <c r="C45" s="60"/>
      <c r="D45" s="60"/>
      <c r="E45" s="60"/>
      <c r="F45" s="5"/>
      <c r="G45" s="5"/>
      <c r="H45" s="5"/>
      <c r="I45" s="5"/>
      <c r="J45" s="5"/>
      <c r="K45" s="5"/>
      <c r="L45" s="5"/>
      <c r="M45" s="5"/>
      <c r="N45" s="5"/>
      <c r="O45" s="5"/>
      <c r="P45" s="5"/>
      <c r="Q45" s="5"/>
      <c r="R45" s="5"/>
      <c r="S45" s="5"/>
      <c r="T45" s="5"/>
      <c r="U45" s="5"/>
      <c r="V45" s="5"/>
      <c r="W45" s="5"/>
      <c r="X45" s="5"/>
    </row>
    <row r="46" spans="1:24" ht="16.5" customHeight="1" x14ac:dyDescent="0.2">
      <c r="A46" s="60"/>
      <c r="B46" s="60"/>
      <c r="C46" s="60"/>
      <c r="D46" s="60"/>
      <c r="E46" s="60"/>
      <c r="F46" s="5"/>
      <c r="G46" s="5"/>
      <c r="H46" s="5"/>
      <c r="I46" s="5"/>
      <c r="J46" s="5"/>
      <c r="K46" s="5"/>
      <c r="L46" s="5"/>
      <c r="M46" s="5"/>
      <c r="N46" s="5"/>
      <c r="O46" s="5"/>
      <c r="P46" s="5"/>
      <c r="Q46" s="5"/>
      <c r="R46" s="5"/>
      <c r="S46" s="5"/>
      <c r="T46" s="5"/>
      <c r="U46" s="5"/>
      <c r="V46" s="5"/>
      <c r="W46" s="5"/>
      <c r="X46" s="5"/>
    </row>
    <row r="47" spans="1:24" ht="16.5" customHeight="1" x14ac:dyDescent="0.2">
      <c r="A47" s="60"/>
      <c r="B47" s="60"/>
      <c r="C47" s="60"/>
      <c r="D47" s="60"/>
      <c r="E47" s="60"/>
      <c r="F47" s="70"/>
      <c r="G47" s="70"/>
      <c r="H47" s="70"/>
      <c r="I47" s="70"/>
      <c r="J47" s="70"/>
      <c r="K47" s="70"/>
      <c r="L47" s="70"/>
      <c r="M47" s="70"/>
      <c r="N47" s="70"/>
      <c r="O47" s="70"/>
      <c r="P47" s="70"/>
      <c r="Q47" s="70"/>
      <c r="R47" s="70"/>
      <c r="S47" s="70"/>
      <c r="T47" s="70"/>
      <c r="U47" s="70"/>
      <c r="V47" s="70"/>
      <c r="W47" s="70"/>
      <c r="X47" s="70"/>
    </row>
    <row r="48" spans="1:24" ht="16.5" customHeight="1" x14ac:dyDescent="0.2">
      <c r="A48" s="60"/>
      <c r="B48" s="60"/>
      <c r="C48" s="60"/>
      <c r="D48" s="60"/>
      <c r="E48" s="60"/>
      <c r="F48" s="5"/>
      <c r="G48" s="5"/>
      <c r="H48" s="5"/>
      <c r="I48" s="5"/>
      <c r="J48" s="5"/>
      <c r="K48" s="5"/>
      <c r="L48" s="5"/>
      <c r="M48" s="5"/>
      <c r="N48" s="5"/>
      <c r="O48" s="5"/>
      <c r="P48" s="5"/>
      <c r="Q48" s="5"/>
      <c r="R48" s="5"/>
      <c r="S48" s="5"/>
      <c r="T48" s="5"/>
      <c r="U48" s="5"/>
      <c r="V48" s="5"/>
      <c r="W48" s="5"/>
      <c r="X48" s="5"/>
    </row>
    <row r="49" spans="1:24" ht="16.5" customHeight="1" x14ac:dyDescent="0.2">
      <c r="A49" s="60"/>
      <c r="B49" s="60"/>
      <c r="C49" s="60"/>
      <c r="D49" s="60"/>
      <c r="E49" s="60"/>
      <c r="F49" s="5"/>
      <c r="G49" s="5"/>
      <c r="H49" s="5"/>
      <c r="I49" s="5"/>
      <c r="J49" s="5"/>
      <c r="K49" s="5"/>
      <c r="L49" s="5"/>
      <c r="M49" s="5"/>
      <c r="N49" s="5"/>
      <c r="O49" s="5"/>
      <c r="P49" s="5"/>
      <c r="Q49" s="5"/>
      <c r="R49" s="5"/>
      <c r="S49" s="5"/>
      <c r="T49" s="5"/>
      <c r="U49" s="5"/>
      <c r="V49" s="5"/>
      <c r="W49" s="5"/>
      <c r="X49" s="5"/>
    </row>
    <row r="50" spans="1:24" ht="16.5" customHeight="1" x14ac:dyDescent="0.2">
      <c r="A50" s="60"/>
      <c r="B50" s="60"/>
      <c r="C50" s="60"/>
      <c r="D50" s="60"/>
      <c r="E50" s="60"/>
      <c r="F50" s="5"/>
      <c r="G50" s="5"/>
      <c r="H50" s="5"/>
      <c r="I50" s="5"/>
      <c r="J50" s="5"/>
      <c r="K50" s="5"/>
      <c r="L50" s="5"/>
      <c r="M50" s="5"/>
      <c r="N50" s="5"/>
      <c r="O50" s="5"/>
      <c r="P50" s="5"/>
      <c r="Q50" s="5"/>
      <c r="R50" s="5"/>
      <c r="S50" s="5"/>
      <c r="T50" s="5"/>
      <c r="U50" s="5"/>
      <c r="V50" s="5"/>
      <c r="W50" s="5"/>
      <c r="X50" s="5"/>
    </row>
    <row r="51" spans="1:24" ht="16.5" customHeight="1" x14ac:dyDescent="0.2">
      <c r="A51" s="60"/>
      <c r="B51" s="60"/>
      <c r="C51" s="60"/>
      <c r="D51" s="60"/>
      <c r="E51" s="60"/>
      <c r="F51" s="5"/>
      <c r="G51" s="5"/>
      <c r="H51" s="5"/>
      <c r="I51" s="5"/>
      <c r="J51" s="5"/>
      <c r="K51" s="5"/>
      <c r="L51" s="5"/>
      <c r="M51" s="5"/>
      <c r="N51" s="5"/>
      <c r="O51" s="5"/>
      <c r="P51" s="5"/>
      <c r="Q51" s="5"/>
      <c r="R51" s="5"/>
      <c r="S51" s="5"/>
      <c r="T51" s="5"/>
      <c r="U51" s="5"/>
      <c r="V51" s="5"/>
      <c r="W51" s="5"/>
      <c r="X51" s="5"/>
    </row>
    <row r="52" spans="1:24" ht="16.5" customHeight="1" x14ac:dyDescent="0.2">
      <c r="A52" s="60"/>
      <c r="B52" s="60"/>
      <c r="C52" s="60"/>
      <c r="D52" s="60"/>
      <c r="E52" s="60"/>
      <c r="F52" s="5"/>
      <c r="G52" s="5"/>
      <c r="H52" s="5"/>
      <c r="I52" s="5"/>
      <c r="J52" s="5"/>
      <c r="K52" s="5"/>
      <c r="L52" s="5"/>
      <c r="M52" s="5"/>
      <c r="N52" s="5"/>
      <c r="O52" s="5"/>
      <c r="P52" s="5"/>
      <c r="Q52" s="5"/>
      <c r="R52" s="5"/>
      <c r="S52" s="5"/>
      <c r="T52" s="5"/>
      <c r="U52" s="5"/>
      <c r="V52" s="5"/>
      <c r="W52" s="5"/>
      <c r="X52" s="5"/>
    </row>
    <row r="53" spans="1:24" ht="16.5" customHeight="1" x14ac:dyDescent="0.2">
      <c r="A53" s="60"/>
      <c r="B53" s="60"/>
      <c r="C53" s="60"/>
      <c r="D53" s="60"/>
      <c r="E53" s="60"/>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2">
    <mergeCell ref="C16:C17"/>
    <mergeCell ref="D16:D17"/>
  </mergeCells>
  <pageMargins left="0.78740157499999996" right="0.78740157499999996" top="0.984251969" bottom="0.984251969"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53"/>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outlineLevelCol="1" x14ac:dyDescent="0.2"/>
  <cols>
    <col min="1" max="1" width="45.28515625" customWidth="1"/>
    <col min="2" max="2" width="8.7109375" hidden="1" customWidth="1" outlineLevel="1"/>
    <col min="3" max="5" width="7.5703125" hidden="1" customWidth="1" outlineLevel="1"/>
    <col min="6" max="6" width="7.5703125" customWidth="1" collapsed="1"/>
    <col min="7" max="10" width="7" hidden="1" customWidth="1" outlineLevel="1"/>
    <col min="11" max="11" width="7" customWidth="1" collapsed="1"/>
    <col min="12" max="15" width="7" hidden="1" customWidth="1" outlineLevel="1"/>
    <col min="16" max="16" width="7" customWidth="1" collapsed="1"/>
    <col min="17" max="20" width="7" hidden="1" customWidth="1" outlineLevel="1"/>
    <col min="21" max="21" width="7" customWidth="1" collapsed="1"/>
    <col min="22" max="25" width="7" hidden="1" customWidth="1" outlineLevel="1"/>
    <col min="26" max="26" width="7" customWidth="1" collapsed="1"/>
    <col min="27" max="28" width="7.140625" hidden="1" customWidth="1" outlineLevel="1"/>
    <col min="29" max="30" width="7" hidden="1" customWidth="1" outlineLevel="1"/>
    <col min="31" max="31" width="7" customWidth="1" collapsed="1"/>
    <col min="32" max="32" width="7" hidden="1" customWidth="1" outlineLevel="1"/>
    <col min="33" max="33" width="7.7109375" hidden="1" customWidth="1" outlineLevel="1"/>
    <col min="34" max="35" width="7" hidden="1" customWidth="1" outlineLevel="1"/>
    <col min="36" max="36" width="7" customWidth="1" collapsed="1"/>
    <col min="37" max="40" width="7" hidden="1" customWidth="1" outlineLevel="1"/>
    <col min="41" max="41" width="7" customWidth="1" collapsed="1"/>
    <col min="42" max="45" width="7" hidden="1" customWidth="1" outlineLevel="1"/>
    <col min="46" max="46" width="7" customWidth="1" collapsed="1"/>
    <col min="47" max="50" width="7" hidden="1" customWidth="1" outlineLevel="1"/>
    <col min="51" max="51" width="7" customWidth="1" collapsed="1"/>
    <col min="52" max="55" width="7" hidden="1" customWidth="1" outlineLevel="1"/>
    <col min="56" max="56" width="7" customWidth="1" collapsed="1"/>
    <col min="57" max="60" width="7" hidden="1" customWidth="1" outlineLevel="1"/>
    <col min="61" max="61" width="7" customWidth="1" collapsed="1"/>
    <col min="62" max="65" width="7" hidden="1" customWidth="1" outlineLevel="1"/>
    <col min="66" max="66" width="7" customWidth="1" collapsed="1"/>
    <col min="67" max="70" width="7" hidden="1" customWidth="1" outlineLevel="1"/>
    <col min="71" max="71" width="7" customWidth="1" collapsed="1"/>
    <col min="72" max="75" width="7" hidden="1" customWidth="1" outlineLevel="1"/>
    <col min="76" max="76" width="7" customWidth="1" collapsed="1"/>
    <col min="77" max="79" width="7" customWidth="1" outlineLevel="1"/>
    <col min="80" max="80" width="7.5703125" customWidth="1"/>
  </cols>
  <sheetData>
    <row r="1" spans="1:80" ht="27.75" customHeight="1" x14ac:dyDescent="0.2">
      <c r="A1" s="59" t="s">
        <v>56</v>
      </c>
      <c r="B1" s="5"/>
      <c r="C1" s="5"/>
      <c r="D1" s="5"/>
      <c r="E1" s="5"/>
      <c r="F1" s="83"/>
      <c r="G1" s="5"/>
      <c r="H1" s="5"/>
      <c r="I1" s="84"/>
      <c r="J1" s="5"/>
      <c r="K1" s="83"/>
      <c r="L1" s="5"/>
      <c r="M1" s="5"/>
      <c r="N1" s="5"/>
      <c r="O1" s="5"/>
      <c r="P1" s="83"/>
      <c r="Q1" s="5"/>
      <c r="R1" s="5"/>
      <c r="S1" s="5"/>
      <c r="T1" s="5"/>
      <c r="U1" s="83"/>
      <c r="V1" s="5"/>
      <c r="W1" s="5"/>
      <c r="X1" s="5"/>
      <c r="Y1" s="5"/>
      <c r="Z1" s="83"/>
      <c r="AA1" s="5"/>
      <c r="AB1" s="5"/>
      <c r="AC1" s="5"/>
      <c r="AD1" s="5"/>
      <c r="AE1" s="83"/>
      <c r="AF1" s="5"/>
      <c r="AG1" s="5"/>
      <c r="AH1" s="5"/>
      <c r="AI1" s="5"/>
      <c r="AJ1" s="83"/>
      <c r="AK1" s="5"/>
      <c r="AL1" s="5"/>
      <c r="AM1" s="5"/>
      <c r="AN1" s="5"/>
      <c r="AO1" s="83"/>
      <c r="AP1" s="5"/>
      <c r="AQ1" s="5"/>
      <c r="AR1" s="5"/>
      <c r="AS1" s="5"/>
      <c r="AT1" s="83"/>
      <c r="AU1" s="5"/>
      <c r="AV1" s="5"/>
      <c r="AW1" s="5"/>
      <c r="AX1" s="5"/>
      <c r="AY1" s="83"/>
      <c r="AZ1" s="5"/>
      <c r="BA1" s="5"/>
      <c r="BB1" s="5"/>
      <c r="BC1" s="5"/>
      <c r="BD1" s="83"/>
      <c r="BE1" s="5"/>
      <c r="BF1" s="5"/>
      <c r="BG1" s="5"/>
      <c r="BH1" s="5"/>
      <c r="BI1" s="83"/>
      <c r="BJ1" s="5"/>
      <c r="BK1" s="5"/>
      <c r="BL1" s="5"/>
      <c r="BM1" s="5"/>
      <c r="BN1" s="83"/>
      <c r="BO1" s="5"/>
      <c r="BP1" s="5"/>
      <c r="BQ1" s="5"/>
      <c r="BR1" s="5"/>
      <c r="BS1" s="83"/>
      <c r="BT1" s="5"/>
      <c r="BU1" s="5"/>
      <c r="BV1" s="5"/>
      <c r="BW1" s="5"/>
      <c r="BX1" s="83"/>
      <c r="BY1" s="5"/>
      <c r="BZ1" s="5"/>
      <c r="CA1" s="5"/>
      <c r="CB1" s="85"/>
    </row>
    <row r="2" spans="1:80" ht="13.5" customHeight="1" x14ac:dyDescent="0.2">
      <c r="A2" s="5"/>
      <c r="B2" s="86"/>
      <c r="C2" s="86"/>
      <c r="D2" s="86"/>
      <c r="E2" s="86"/>
      <c r="F2" s="83"/>
      <c r="G2" s="86"/>
      <c r="H2" s="86"/>
      <c r="I2" s="86"/>
      <c r="J2" s="86"/>
      <c r="K2" s="83"/>
      <c r="L2" s="87"/>
      <c r="M2" s="87"/>
      <c r="N2" s="87"/>
      <c r="O2" s="87"/>
      <c r="P2" s="83"/>
      <c r="Q2" s="87"/>
      <c r="R2" s="87"/>
      <c r="S2" s="5"/>
      <c r="T2" s="5"/>
      <c r="U2" s="83"/>
      <c r="V2" s="87"/>
      <c r="W2" s="87"/>
      <c r="X2" s="5"/>
      <c r="Y2" s="5"/>
      <c r="Z2" s="83"/>
      <c r="AA2" s="87"/>
      <c r="AB2" s="87"/>
      <c r="AC2" s="5"/>
      <c r="AD2" s="5"/>
      <c r="AE2" s="83"/>
      <c r="AF2" s="87"/>
      <c r="AG2" s="87"/>
      <c r="AH2" s="5"/>
      <c r="AI2" s="5"/>
      <c r="AJ2" s="83"/>
      <c r="AK2" s="87"/>
      <c r="AL2" s="87"/>
      <c r="AM2" s="5"/>
      <c r="AN2" s="5"/>
      <c r="AO2" s="83"/>
      <c r="AP2" s="87"/>
      <c r="AQ2" s="87"/>
      <c r="AR2" s="87"/>
      <c r="AS2" s="87"/>
      <c r="AT2" s="83"/>
      <c r="AU2" s="87"/>
      <c r="AV2" s="87"/>
      <c r="AW2" s="87"/>
      <c r="AX2" s="87"/>
      <c r="AY2" s="83"/>
      <c r="AZ2" s="87"/>
      <c r="BA2" s="87"/>
      <c r="BB2" s="5"/>
      <c r="BC2" s="5"/>
      <c r="BD2" s="83"/>
      <c r="BE2" s="5"/>
      <c r="BF2" s="5"/>
      <c r="BG2" s="5"/>
      <c r="BH2" s="5"/>
      <c r="BI2" s="83"/>
      <c r="BJ2" s="5"/>
      <c r="BK2" s="5"/>
      <c r="BL2" s="5"/>
      <c r="BM2" s="5"/>
      <c r="BN2" s="83"/>
      <c r="BO2" s="5"/>
      <c r="BP2" s="5"/>
      <c r="BQ2" s="5"/>
      <c r="BR2" s="5"/>
      <c r="BS2" s="83"/>
      <c r="BT2" s="5"/>
      <c r="BU2" s="5"/>
      <c r="BV2" s="5"/>
      <c r="BW2" s="5"/>
      <c r="BX2" s="83"/>
      <c r="BY2" s="5"/>
      <c r="BZ2" s="5"/>
      <c r="CA2" s="5"/>
      <c r="CB2" s="85"/>
    </row>
    <row r="3" spans="1:80" ht="21" customHeight="1" x14ac:dyDescent="0.2">
      <c r="A3" s="64" t="s">
        <v>57</v>
      </c>
      <c r="B3" s="88" t="s">
        <v>58</v>
      </c>
      <c r="C3" s="88" t="s">
        <v>59</v>
      </c>
      <c r="D3" s="88" t="s">
        <v>60</v>
      </c>
      <c r="E3" s="88" t="s">
        <v>61</v>
      </c>
      <c r="F3" s="88">
        <v>2008</v>
      </c>
      <c r="G3" s="88" t="s">
        <v>62</v>
      </c>
      <c r="H3" s="88" t="s">
        <v>63</v>
      </c>
      <c r="I3" s="88" t="s">
        <v>64</v>
      </c>
      <c r="J3" s="88" t="s">
        <v>65</v>
      </c>
      <c r="K3" s="88">
        <v>2009</v>
      </c>
      <c r="L3" s="88" t="s">
        <v>66</v>
      </c>
      <c r="M3" s="88" t="s">
        <v>67</v>
      </c>
      <c r="N3" s="88" t="s">
        <v>68</v>
      </c>
      <c r="O3" s="88" t="s">
        <v>69</v>
      </c>
      <c r="P3" s="88">
        <v>2010</v>
      </c>
      <c r="Q3" s="88" t="s">
        <v>70</v>
      </c>
      <c r="R3" s="88" t="s">
        <v>71</v>
      </c>
      <c r="S3" s="88" t="s">
        <v>72</v>
      </c>
      <c r="T3" s="88" t="s">
        <v>73</v>
      </c>
      <c r="U3" s="88">
        <v>2011</v>
      </c>
      <c r="V3" s="88" t="s">
        <v>74</v>
      </c>
      <c r="W3" s="88" t="s">
        <v>75</v>
      </c>
      <c r="X3" s="88" t="s">
        <v>76</v>
      </c>
      <c r="Y3" s="88" t="s">
        <v>77</v>
      </c>
      <c r="Z3" s="88">
        <v>2012</v>
      </c>
      <c r="AA3" s="88" t="s">
        <v>78</v>
      </c>
      <c r="AB3" s="88" t="s">
        <v>79</v>
      </c>
      <c r="AC3" s="88" t="s">
        <v>80</v>
      </c>
      <c r="AD3" s="88" t="s">
        <v>81</v>
      </c>
      <c r="AE3" s="88">
        <v>2013</v>
      </c>
      <c r="AF3" s="88" t="s">
        <v>82</v>
      </c>
      <c r="AG3" s="88" t="s">
        <v>83</v>
      </c>
      <c r="AH3" s="88" t="s">
        <v>84</v>
      </c>
      <c r="AI3" s="88" t="s">
        <v>85</v>
      </c>
      <c r="AJ3" s="88">
        <v>2014</v>
      </c>
      <c r="AK3" s="88" t="s">
        <v>86</v>
      </c>
      <c r="AL3" s="88" t="s">
        <v>87</v>
      </c>
      <c r="AM3" s="88" t="s">
        <v>88</v>
      </c>
      <c r="AN3" s="88" t="s">
        <v>89</v>
      </c>
      <c r="AO3" s="88">
        <v>2015</v>
      </c>
      <c r="AP3" s="88" t="s">
        <v>90</v>
      </c>
      <c r="AQ3" s="88" t="s">
        <v>91</v>
      </c>
      <c r="AR3" s="88" t="s">
        <v>92</v>
      </c>
      <c r="AS3" s="88" t="s">
        <v>93</v>
      </c>
      <c r="AT3" s="88">
        <v>2016</v>
      </c>
      <c r="AU3" s="88" t="s">
        <v>94</v>
      </c>
      <c r="AV3" s="88" t="s">
        <v>95</v>
      </c>
      <c r="AW3" s="88" t="s">
        <v>96</v>
      </c>
      <c r="AX3" s="88" t="s">
        <v>97</v>
      </c>
      <c r="AY3" s="88">
        <v>2017</v>
      </c>
      <c r="AZ3" s="88" t="s">
        <v>98</v>
      </c>
      <c r="BA3" s="88" t="s">
        <v>99</v>
      </c>
      <c r="BB3" s="88" t="s">
        <v>100</v>
      </c>
      <c r="BC3" s="88" t="s">
        <v>101</v>
      </c>
      <c r="BD3" s="88">
        <v>2018</v>
      </c>
      <c r="BE3" s="88" t="s">
        <v>102</v>
      </c>
      <c r="BF3" s="88" t="s">
        <v>103</v>
      </c>
      <c r="BG3" s="88" t="s">
        <v>104</v>
      </c>
      <c r="BH3" s="88" t="s">
        <v>105</v>
      </c>
      <c r="BI3" s="88">
        <v>2019</v>
      </c>
      <c r="BJ3" s="88" t="s">
        <v>106</v>
      </c>
      <c r="BK3" s="88" t="s">
        <v>107</v>
      </c>
      <c r="BL3" s="88" t="s">
        <v>108</v>
      </c>
      <c r="BM3" s="88" t="s">
        <v>109</v>
      </c>
      <c r="BN3" s="64">
        <v>2020</v>
      </c>
      <c r="BO3" s="88" t="s">
        <v>110</v>
      </c>
      <c r="BP3" s="88" t="s">
        <v>111</v>
      </c>
      <c r="BQ3" s="88" t="s">
        <v>112</v>
      </c>
      <c r="BR3" s="64" t="s">
        <v>113</v>
      </c>
      <c r="BS3" s="64">
        <v>2021</v>
      </c>
      <c r="BT3" s="64" t="s">
        <v>114</v>
      </c>
      <c r="BU3" s="64" t="s">
        <v>115</v>
      </c>
      <c r="BV3" s="64" t="s">
        <v>116</v>
      </c>
      <c r="BW3" s="64" t="s">
        <v>117</v>
      </c>
      <c r="BX3" s="64">
        <v>2022</v>
      </c>
      <c r="BY3" s="64" t="s">
        <v>118</v>
      </c>
      <c r="BZ3" s="64" t="s">
        <v>119</v>
      </c>
      <c r="CA3" s="64" t="s">
        <v>120</v>
      </c>
      <c r="CB3" s="85"/>
    </row>
    <row r="4" spans="1:80" ht="12.75" customHeight="1" x14ac:dyDescent="0.2">
      <c r="A4" s="89"/>
      <c r="B4" s="90"/>
      <c r="C4" s="91"/>
      <c r="D4" s="91"/>
      <c r="E4" s="91"/>
      <c r="F4" s="92"/>
      <c r="G4" s="91"/>
      <c r="H4" s="91"/>
      <c r="I4" s="91"/>
      <c r="J4" s="91"/>
      <c r="K4" s="92"/>
      <c r="L4" s="91"/>
      <c r="M4" s="91"/>
      <c r="N4" s="91"/>
      <c r="O4" s="91"/>
      <c r="P4" s="92"/>
      <c r="Q4" s="91"/>
      <c r="R4" s="91"/>
      <c r="S4" s="91"/>
      <c r="T4" s="91"/>
      <c r="U4" s="92"/>
      <c r="V4" s="91"/>
      <c r="W4" s="91"/>
      <c r="X4" s="91"/>
      <c r="Y4" s="91"/>
      <c r="Z4" s="92"/>
      <c r="AA4" s="91"/>
      <c r="AB4" s="91"/>
      <c r="AC4" s="91"/>
      <c r="AD4" s="91"/>
      <c r="AE4" s="92"/>
      <c r="AF4" s="91"/>
      <c r="AG4" s="91"/>
      <c r="AH4" s="91"/>
      <c r="AI4" s="91"/>
      <c r="AJ4" s="92"/>
      <c r="AK4" s="91"/>
      <c r="AL4" s="91"/>
      <c r="AM4" s="91"/>
      <c r="AN4" s="91"/>
      <c r="AO4" s="92"/>
      <c r="AP4" s="91"/>
      <c r="AQ4" s="91"/>
      <c r="AR4" s="91"/>
      <c r="AS4" s="91"/>
      <c r="AT4" s="92"/>
      <c r="AU4" s="91"/>
      <c r="AV4" s="91"/>
      <c r="AW4" s="91"/>
      <c r="AX4" s="91"/>
      <c r="AY4" s="92"/>
      <c r="AZ4" s="91"/>
      <c r="BA4" s="91"/>
      <c r="BB4" s="91"/>
      <c r="BC4" s="91"/>
      <c r="BD4" s="92"/>
      <c r="BE4" s="91"/>
      <c r="BF4" s="91"/>
      <c r="BG4" s="91"/>
      <c r="BH4" s="91"/>
      <c r="BI4" s="92"/>
      <c r="BJ4" s="91"/>
      <c r="BK4" s="91"/>
      <c r="BL4" s="91"/>
      <c r="BM4" s="91"/>
      <c r="BN4" s="92"/>
      <c r="BO4" s="91"/>
      <c r="BP4" s="91"/>
      <c r="BQ4" s="91"/>
      <c r="BR4" s="91"/>
      <c r="BS4" s="92"/>
      <c r="BT4" s="91"/>
      <c r="BU4" s="91"/>
      <c r="BV4" s="91"/>
      <c r="BW4" s="91"/>
      <c r="BX4" s="92"/>
      <c r="BY4" s="91"/>
      <c r="BZ4" s="91"/>
      <c r="CA4" s="91"/>
      <c r="CB4" s="85"/>
    </row>
    <row r="5" spans="1:80" ht="12.75" x14ac:dyDescent="0.2">
      <c r="A5" s="93" t="s">
        <v>121</v>
      </c>
      <c r="B5" s="94"/>
      <c r="C5" s="94"/>
      <c r="D5" s="94"/>
      <c r="E5" s="94"/>
      <c r="F5" s="95"/>
      <c r="G5" s="96"/>
      <c r="H5" s="96"/>
      <c r="I5" s="96"/>
      <c r="J5" s="96"/>
      <c r="K5" s="95"/>
      <c r="L5" s="96"/>
      <c r="M5" s="96"/>
      <c r="N5" s="96"/>
      <c r="O5" s="96"/>
      <c r="P5" s="95"/>
      <c r="Q5" s="96"/>
      <c r="R5" s="96"/>
      <c r="S5" s="96"/>
      <c r="T5" s="96"/>
      <c r="U5" s="95"/>
      <c r="V5" s="96"/>
      <c r="W5" s="96"/>
      <c r="X5" s="96"/>
      <c r="Y5" s="96"/>
      <c r="Z5" s="95"/>
      <c r="AA5" s="96"/>
      <c r="AB5" s="96"/>
      <c r="AC5" s="96"/>
      <c r="AD5" s="96"/>
      <c r="AE5" s="95"/>
      <c r="AF5" s="96"/>
      <c r="AG5" s="96"/>
      <c r="AH5" s="96"/>
      <c r="AI5" s="96"/>
      <c r="AJ5" s="95"/>
      <c r="AK5" s="96"/>
      <c r="AL5" s="96"/>
      <c r="AM5" s="96"/>
      <c r="AN5" s="96"/>
      <c r="AO5" s="95"/>
      <c r="AP5" s="96"/>
      <c r="AQ5" s="96"/>
      <c r="AR5" s="96"/>
      <c r="AS5" s="96"/>
      <c r="AT5" s="95"/>
      <c r="AU5" s="96"/>
      <c r="AV5" s="96"/>
      <c r="AW5" s="96"/>
      <c r="AX5" s="96"/>
      <c r="AY5" s="95"/>
      <c r="AZ5" s="96"/>
      <c r="BA5" s="96"/>
      <c r="BB5" s="96"/>
      <c r="BC5" s="96"/>
      <c r="BD5" s="95"/>
      <c r="BE5" s="96"/>
      <c r="BF5" s="96"/>
      <c r="BG5" s="96"/>
      <c r="BH5" s="96"/>
      <c r="BI5" s="95"/>
      <c r="BJ5" s="96"/>
      <c r="BK5" s="96"/>
      <c r="BL5" s="96"/>
      <c r="BM5" s="96"/>
      <c r="BN5" s="95"/>
      <c r="BO5" s="96"/>
      <c r="BP5" s="96"/>
      <c r="BQ5" s="96"/>
      <c r="BR5" s="96"/>
      <c r="BS5" s="95"/>
      <c r="BT5" s="96"/>
      <c r="BU5" s="96"/>
      <c r="BV5" s="96"/>
      <c r="BW5" s="96"/>
      <c r="BX5" s="95"/>
      <c r="BY5" s="96"/>
      <c r="BZ5" s="96"/>
      <c r="CA5" s="96"/>
      <c r="CB5" s="85"/>
    </row>
    <row r="6" spans="1:80" ht="12.75" x14ac:dyDescent="0.2">
      <c r="A6" s="97" t="s">
        <v>122</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85"/>
    </row>
    <row r="7" spans="1:80" ht="12.75" x14ac:dyDescent="0.2">
      <c r="A7" s="98" t="s">
        <v>123</v>
      </c>
      <c r="B7" s="99">
        <f t="shared" ref="B7:BL7" si="0">SUM(B8:B10)</f>
        <v>70.093000000000004</v>
      </c>
      <c r="C7" s="99">
        <f t="shared" si="0"/>
        <v>74.456000000000003</v>
      </c>
      <c r="D7" s="99">
        <f t="shared" si="0"/>
        <v>82.75200000000001</v>
      </c>
      <c r="E7" s="99">
        <f t="shared" si="0"/>
        <v>84.054000000000002</v>
      </c>
      <c r="F7" s="99">
        <f t="shared" si="0"/>
        <v>311.35499999999996</v>
      </c>
      <c r="G7" s="99">
        <f t="shared" si="0"/>
        <v>65.594999999999999</v>
      </c>
      <c r="H7" s="99">
        <f t="shared" si="0"/>
        <v>78.114999999999995</v>
      </c>
      <c r="I7" s="99">
        <f t="shared" si="0"/>
        <v>82.030999999999992</v>
      </c>
      <c r="J7" s="99">
        <f t="shared" si="0"/>
        <v>77.344999999999999</v>
      </c>
      <c r="K7" s="99">
        <f t="shared" si="0"/>
        <v>303.08600000000001</v>
      </c>
      <c r="L7" s="99">
        <f t="shared" si="0"/>
        <v>66.316000000000003</v>
      </c>
      <c r="M7" s="99">
        <f t="shared" si="0"/>
        <v>73.298000000000002</v>
      </c>
      <c r="N7" s="99">
        <f t="shared" si="0"/>
        <v>82.897000000000006</v>
      </c>
      <c r="O7" s="99">
        <f t="shared" si="0"/>
        <v>79.625999999999991</v>
      </c>
      <c r="P7" s="99">
        <f t="shared" si="0"/>
        <v>302.137</v>
      </c>
      <c r="Q7" s="99">
        <f t="shared" si="0"/>
        <v>70.042000000000002</v>
      </c>
      <c r="R7" s="99">
        <f t="shared" si="0"/>
        <v>81.722999999999985</v>
      </c>
      <c r="S7" s="99">
        <f t="shared" si="0"/>
        <v>91.512999999999991</v>
      </c>
      <c r="T7" s="99">
        <f t="shared" si="0"/>
        <v>83.272000000000006</v>
      </c>
      <c r="U7" s="99">
        <f t="shared" si="0"/>
        <v>326.55</v>
      </c>
      <c r="V7" s="99">
        <f t="shared" si="0"/>
        <v>77.061999999999998</v>
      </c>
      <c r="W7" s="99">
        <f t="shared" si="0"/>
        <v>78.038000000000011</v>
      </c>
      <c r="X7" s="99">
        <f t="shared" si="0"/>
        <v>88.762</v>
      </c>
      <c r="Y7" s="99">
        <f t="shared" si="0"/>
        <v>85.740000000000009</v>
      </c>
      <c r="Z7" s="99">
        <f t="shared" si="0"/>
        <v>329.60199999999998</v>
      </c>
      <c r="AA7" s="99">
        <f t="shared" si="0"/>
        <v>73.266000000000005</v>
      </c>
      <c r="AB7" s="99">
        <f t="shared" si="0"/>
        <v>86.736999999999995</v>
      </c>
      <c r="AC7" s="99">
        <f t="shared" si="0"/>
        <v>89.858000000000018</v>
      </c>
      <c r="AD7" s="99">
        <f t="shared" si="0"/>
        <v>93.997000000000014</v>
      </c>
      <c r="AE7" s="99">
        <f t="shared" si="0"/>
        <v>343.85800000000006</v>
      </c>
      <c r="AF7" s="99">
        <f t="shared" si="0"/>
        <v>74.460000000000008</v>
      </c>
      <c r="AG7" s="99">
        <f t="shared" si="0"/>
        <v>77.349999999999994</v>
      </c>
      <c r="AH7" s="99">
        <f t="shared" si="0"/>
        <v>91.07</v>
      </c>
      <c r="AI7" s="99">
        <f t="shared" si="0"/>
        <v>86.161000000000001</v>
      </c>
      <c r="AJ7" s="99">
        <f t="shared" si="0"/>
        <v>329.041</v>
      </c>
      <c r="AK7" s="99">
        <f t="shared" si="0"/>
        <v>73.709999999999994</v>
      </c>
      <c r="AL7" s="99">
        <f t="shared" si="0"/>
        <v>83.194000000000003</v>
      </c>
      <c r="AM7" s="99">
        <f t="shared" si="0"/>
        <v>91.634999999999991</v>
      </c>
      <c r="AN7" s="99">
        <f t="shared" si="0"/>
        <v>89.512</v>
      </c>
      <c r="AO7" s="99">
        <f t="shared" si="0"/>
        <v>338.05099999999999</v>
      </c>
      <c r="AP7" s="99">
        <f t="shared" si="0"/>
        <v>80.485000000000014</v>
      </c>
      <c r="AQ7" s="99">
        <f t="shared" si="0"/>
        <v>88.158999999999992</v>
      </c>
      <c r="AR7" s="99">
        <f t="shared" si="0"/>
        <v>92.686000000000007</v>
      </c>
      <c r="AS7" s="99">
        <f t="shared" si="0"/>
        <v>85.411000000000001</v>
      </c>
      <c r="AT7" s="99">
        <f t="shared" si="0"/>
        <v>346.74100000000004</v>
      </c>
      <c r="AU7" s="99">
        <f t="shared" si="0"/>
        <v>81.591999999999999</v>
      </c>
      <c r="AV7" s="99">
        <f t="shared" si="0"/>
        <v>87.418999999999983</v>
      </c>
      <c r="AW7" s="99">
        <f t="shared" si="0"/>
        <v>96.442999999999998</v>
      </c>
      <c r="AX7" s="99">
        <f t="shared" si="0"/>
        <v>91.792999999999992</v>
      </c>
      <c r="AY7" s="99">
        <f t="shared" si="0"/>
        <v>357.24700000000001</v>
      </c>
      <c r="AZ7" s="99">
        <f t="shared" si="0"/>
        <v>87.430999999999997</v>
      </c>
      <c r="BA7" s="99">
        <f t="shared" si="0"/>
        <v>77.841000000000008</v>
      </c>
      <c r="BB7" s="99">
        <f t="shared" si="0"/>
        <v>97.061000000000007</v>
      </c>
      <c r="BC7" s="99">
        <f t="shared" si="0"/>
        <v>96.35</v>
      </c>
      <c r="BD7" s="99">
        <f t="shared" si="0"/>
        <v>358.68299999999999</v>
      </c>
      <c r="BE7" s="99">
        <f t="shared" si="0"/>
        <v>88.647999999999996</v>
      </c>
      <c r="BF7" s="99">
        <f t="shared" si="0"/>
        <v>88.198999999999998</v>
      </c>
      <c r="BG7" s="99">
        <f t="shared" si="0"/>
        <v>96.751999999999995</v>
      </c>
      <c r="BH7" s="99">
        <f t="shared" si="0"/>
        <v>91.253999999999991</v>
      </c>
      <c r="BI7" s="99">
        <f t="shared" si="0"/>
        <v>364.85300000000001</v>
      </c>
      <c r="BJ7" s="99">
        <f t="shared" si="0"/>
        <v>84.421000000000006</v>
      </c>
      <c r="BK7" s="99">
        <f t="shared" si="0"/>
        <v>80.793999999999997</v>
      </c>
      <c r="BL7" s="99">
        <f t="shared" si="0"/>
        <v>92.572999999999993</v>
      </c>
      <c r="BM7" s="99">
        <v>88.1</v>
      </c>
      <c r="BN7" s="99">
        <f>SUM(BN8:BN10)</f>
        <v>345.87899999999996</v>
      </c>
      <c r="BO7" s="99">
        <v>88.260999999999996</v>
      </c>
      <c r="BP7" s="99">
        <f t="shared" ref="BP7:BS7" si="1">SUM(BP8:BP10)</f>
        <v>86.907000000000011</v>
      </c>
      <c r="BQ7" s="99">
        <f t="shared" si="1"/>
        <v>79.197000000000003</v>
      </c>
      <c r="BR7" s="99">
        <f t="shared" si="1"/>
        <v>78.713999999999999</v>
      </c>
      <c r="BS7" s="99">
        <f t="shared" si="1"/>
        <v>333.07899999999995</v>
      </c>
      <c r="BT7" s="99">
        <v>70.393000000000001</v>
      </c>
      <c r="BU7" s="99">
        <v>67</v>
      </c>
      <c r="BV7" s="99">
        <v>66.326000000000008</v>
      </c>
      <c r="BW7" s="99">
        <v>72.860000000000014</v>
      </c>
      <c r="BX7" s="99">
        <f>SUM(BX8:BX10)</f>
        <v>276.57900000000001</v>
      </c>
      <c r="BY7" s="99">
        <v>69.789000000000001</v>
      </c>
      <c r="BZ7" s="99">
        <v>78.537999999999997</v>
      </c>
      <c r="CA7" s="99">
        <v>84.846999999999994</v>
      </c>
      <c r="CB7" s="100"/>
    </row>
    <row r="8" spans="1:80" ht="12.75" x14ac:dyDescent="0.2">
      <c r="A8" s="101" t="s">
        <v>124</v>
      </c>
      <c r="B8" s="101">
        <v>47.887</v>
      </c>
      <c r="C8" s="101">
        <v>52.496000000000002</v>
      </c>
      <c r="D8" s="101">
        <v>58.036000000000001</v>
      </c>
      <c r="E8" s="101">
        <v>57.174999999999997</v>
      </c>
      <c r="F8" s="101">
        <f t="shared" ref="F8:F13" si="2">SUM(B8:E8)</f>
        <v>215.59399999999999</v>
      </c>
      <c r="G8" s="101">
        <v>47.29</v>
      </c>
      <c r="H8" s="101">
        <v>61.786999999999992</v>
      </c>
      <c r="I8" s="101">
        <v>63.195</v>
      </c>
      <c r="J8" s="101">
        <v>56.759</v>
      </c>
      <c r="K8" s="101">
        <f t="shared" ref="K8:K13" si="3">SUM(G8:J8)</f>
        <v>229.03100000000001</v>
      </c>
      <c r="L8" s="101">
        <v>44.760999999999996</v>
      </c>
      <c r="M8" s="101">
        <v>50.248999999999995</v>
      </c>
      <c r="N8" s="101">
        <v>55.584000000000003</v>
      </c>
      <c r="O8" s="101">
        <v>51.583999999999996</v>
      </c>
      <c r="P8" s="101">
        <f t="shared" ref="P8:P13" si="4">SUM(L8:O8)</f>
        <v>202.178</v>
      </c>
      <c r="Q8" s="101">
        <v>44.731000000000002</v>
      </c>
      <c r="R8" s="101">
        <v>53.060999999999993</v>
      </c>
      <c r="S8" s="101">
        <v>61.236999999999995</v>
      </c>
      <c r="T8" s="101">
        <v>55.490999999999993</v>
      </c>
      <c r="U8" s="101">
        <f t="shared" ref="U8:U13" si="5">SUM(Q8:T8)</f>
        <v>214.51999999999998</v>
      </c>
      <c r="V8" s="101">
        <v>50.498000000000005</v>
      </c>
      <c r="W8" s="101">
        <v>50.921000000000006</v>
      </c>
      <c r="X8" s="101">
        <v>58.588999999999999</v>
      </c>
      <c r="Y8" s="101">
        <v>55.189</v>
      </c>
      <c r="Z8" s="101">
        <f t="shared" ref="Z8:Z13" si="6">SUM(V8:Y8)</f>
        <v>215.197</v>
      </c>
      <c r="AA8" s="101">
        <v>44.49</v>
      </c>
      <c r="AB8" s="101">
        <v>53.644999999999996</v>
      </c>
      <c r="AC8" s="101">
        <v>57.177000000000007</v>
      </c>
      <c r="AD8" s="101">
        <v>59.718000000000004</v>
      </c>
      <c r="AE8" s="101">
        <f t="shared" ref="AE8:AE13" si="7">SUM(AA8:AD8)</f>
        <v>215.03000000000003</v>
      </c>
      <c r="AF8" s="101">
        <v>43.454999999999998</v>
      </c>
      <c r="AG8" s="101">
        <v>44.863999999999997</v>
      </c>
      <c r="AH8" s="101">
        <v>57.635999999999996</v>
      </c>
      <c r="AI8" s="101">
        <v>53.260999999999996</v>
      </c>
      <c r="AJ8" s="101">
        <f t="shared" ref="AJ8:AJ13" si="8">SUM(AF8:AI8)</f>
        <v>199.21599999999998</v>
      </c>
      <c r="AK8" s="101">
        <v>42.061</v>
      </c>
      <c r="AL8" s="101">
        <v>53.564999999999998</v>
      </c>
      <c r="AM8" s="101">
        <v>61.504999999999995</v>
      </c>
      <c r="AN8" s="101">
        <v>62.710999999999999</v>
      </c>
      <c r="AO8" s="101">
        <f t="shared" ref="AO8:AO13" si="9">SUM(AK8:AN8)</f>
        <v>219.84199999999998</v>
      </c>
      <c r="AP8" s="101">
        <v>54.552000000000007</v>
      </c>
      <c r="AQ8" s="101">
        <v>61.186999999999998</v>
      </c>
      <c r="AR8" s="101">
        <v>62.040000000000006</v>
      </c>
      <c r="AS8" s="101">
        <v>56.759</v>
      </c>
      <c r="AT8" s="101">
        <f t="shared" ref="AT8:AT13" si="10">SUM(AP8:AS8)</f>
        <v>234.53800000000001</v>
      </c>
      <c r="AU8" s="101">
        <v>52.676000000000002</v>
      </c>
      <c r="AV8" s="101">
        <v>56.461999999999996</v>
      </c>
      <c r="AW8" s="101">
        <v>62.608999999999995</v>
      </c>
      <c r="AX8" s="101">
        <v>60.152999999999999</v>
      </c>
      <c r="AY8" s="101">
        <f t="shared" ref="AY8:AY13" si="11">SUM(AU8:AX8)</f>
        <v>231.9</v>
      </c>
      <c r="AZ8" s="101">
        <v>54.824000000000005</v>
      </c>
      <c r="BA8" s="101">
        <v>48.575000000000003</v>
      </c>
      <c r="BB8" s="101">
        <v>61.451999999999998</v>
      </c>
      <c r="BC8" s="101">
        <v>65.113</v>
      </c>
      <c r="BD8" s="101">
        <f t="shared" ref="BD8:BD13" si="12">SUM(AZ8:BC8)</f>
        <v>229.964</v>
      </c>
      <c r="BE8" s="101">
        <v>58.076999999999998</v>
      </c>
      <c r="BF8" s="101">
        <v>55.109000000000002</v>
      </c>
      <c r="BG8" s="101">
        <v>64.11</v>
      </c>
      <c r="BH8" s="101">
        <v>58.326000000000001</v>
      </c>
      <c r="BI8" s="101">
        <f t="shared" ref="BI8:BI13" si="13">SUM(BE8:BH8)</f>
        <v>235.62199999999999</v>
      </c>
      <c r="BJ8" s="101">
        <v>53.395000000000003</v>
      </c>
      <c r="BK8" s="101">
        <v>54.2</v>
      </c>
      <c r="BL8" s="101">
        <v>63.508000000000003</v>
      </c>
      <c r="BM8" s="101">
        <v>59.591999999999999</v>
      </c>
      <c r="BN8" s="101">
        <f t="shared" ref="BN8:BN13" si="14">SUM(BJ8:BM8)</f>
        <v>230.69499999999999</v>
      </c>
      <c r="BO8" s="101">
        <v>55.218999999999994</v>
      </c>
      <c r="BP8" s="101">
        <v>56.183</v>
      </c>
      <c r="BQ8" s="101">
        <v>51.902000000000001</v>
      </c>
      <c r="BR8" s="101">
        <v>52.58</v>
      </c>
      <c r="BS8" s="101">
        <f t="shared" ref="BS8:BS13" si="15">SUM(BO8:BR8)</f>
        <v>215.88399999999996</v>
      </c>
      <c r="BT8" s="101">
        <v>44.843000000000004</v>
      </c>
      <c r="BU8" s="101">
        <v>40.645000000000003</v>
      </c>
      <c r="BV8" s="101">
        <v>41.34</v>
      </c>
      <c r="BW8" s="101">
        <v>44.123999999999995</v>
      </c>
      <c r="BX8" s="101">
        <f t="shared" ref="BX8:BX13" si="16">SUM(BT8:BW8)</f>
        <v>170.952</v>
      </c>
      <c r="BY8" s="101">
        <v>44.661999999999999</v>
      </c>
      <c r="BZ8" s="101">
        <v>51.523000000000003</v>
      </c>
      <c r="CA8" s="101">
        <v>57.151000000000003</v>
      </c>
      <c r="CB8" s="100"/>
    </row>
    <row r="9" spans="1:80" ht="12.75" x14ac:dyDescent="0.2">
      <c r="A9" s="101" t="s">
        <v>125</v>
      </c>
      <c r="B9" s="101">
        <v>15.491000000000001</v>
      </c>
      <c r="C9" s="101">
        <v>13.725999999999999</v>
      </c>
      <c r="D9" s="101">
        <v>15.647000000000002</v>
      </c>
      <c r="E9" s="101">
        <v>18.350999999999999</v>
      </c>
      <c r="F9" s="101">
        <f t="shared" si="2"/>
        <v>63.215000000000003</v>
      </c>
      <c r="G9" s="101">
        <v>12.160000000000002</v>
      </c>
      <c r="H9" s="101">
        <v>8.7810000000000006</v>
      </c>
      <c r="I9" s="101">
        <v>11.358000000000001</v>
      </c>
      <c r="J9" s="101">
        <v>13.759</v>
      </c>
      <c r="K9" s="101">
        <f t="shared" si="3"/>
        <v>46.058000000000007</v>
      </c>
      <c r="L9" s="101">
        <v>15.042000000000002</v>
      </c>
      <c r="M9" s="101">
        <v>16.228999999999999</v>
      </c>
      <c r="N9" s="101">
        <v>20.021000000000001</v>
      </c>
      <c r="O9" s="101">
        <v>19.966999999999999</v>
      </c>
      <c r="P9" s="101">
        <f t="shared" si="4"/>
        <v>71.259</v>
      </c>
      <c r="Q9" s="101">
        <v>17.372</v>
      </c>
      <c r="R9" s="101">
        <v>18.395</v>
      </c>
      <c r="S9" s="101">
        <v>21.499000000000002</v>
      </c>
      <c r="T9" s="101">
        <v>19.200000000000003</v>
      </c>
      <c r="U9" s="101">
        <f t="shared" si="5"/>
        <v>76.466000000000008</v>
      </c>
      <c r="V9" s="101">
        <v>19.981999999999999</v>
      </c>
      <c r="W9" s="101">
        <v>18.695999999999998</v>
      </c>
      <c r="X9" s="101">
        <v>21.2</v>
      </c>
      <c r="Y9" s="101">
        <v>21.307000000000002</v>
      </c>
      <c r="Z9" s="101">
        <f t="shared" si="6"/>
        <v>81.185000000000002</v>
      </c>
      <c r="AA9" s="101">
        <v>21.001000000000001</v>
      </c>
      <c r="AB9" s="101">
        <v>23.060000000000002</v>
      </c>
      <c r="AC9" s="101">
        <v>24.140999999999998</v>
      </c>
      <c r="AD9" s="101">
        <v>24.355</v>
      </c>
      <c r="AE9" s="101">
        <f t="shared" si="7"/>
        <v>92.557000000000002</v>
      </c>
      <c r="AF9" s="101">
        <v>22.612000000000002</v>
      </c>
      <c r="AG9" s="101">
        <v>22.547000000000001</v>
      </c>
      <c r="AH9" s="101">
        <v>24.188000000000002</v>
      </c>
      <c r="AI9" s="101">
        <v>22.878</v>
      </c>
      <c r="AJ9" s="101">
        <f t="shared" si="8"/>
        <v>92.225000000000009</v>
      </c>
      <c r="AK9" s="101">
        <v>22.300999999999998</v>
      </c>
      <c r="AL9" s="101">
        <v>18.813000000000002</v>
      </c>
      <c r="AM9" s="101">
        <v>19.238</v>
      </c>
      <c r="AN9" s="101">
        <v>15.52</v>
      </c>
      <c r="AO9" s="101">
        <f t="shared" si="9"/>
        <v>75.872</v>
      </c>
      <c r="AP9" s="101">
        <v>15.397</v>
      </c>
      <c r="AQ9" s="101">
        <v>15.009</v>
      </c>
      <c r="AR9" s="101">
        <v>17.675000000000001</v>
      </c>
      <c r="AS9" s="101">
        <v>17.682000000000002</v>
      </c>
      <c r="AT9" s="101">
        <f t="shared" si="10"/>
        <v>65.763000000000005</v>
      </c>
      <c r="AU9" s="101">
        <v>16.8</v>
      </c>
      <c r="AV9" s="101">
        <v>17.649000000000001</v>
      </c>
      <c r="AW9" s="101">
        <v>20.108000000000001</v>
      </c>
      <c r="AX9" s="101">
        <v>18.184999999999999</v>
      </c>
      <c r="AY9" s="101">
        <f t="shared" si="11"/>
        <v>72.742000000000004</v>
      </c>
      <c r="AZ9" s="101">
        <v>21.003999999999998</v>
      </c>
      <c r="BA9" s="101">
        <v>18.155000000000001</v>
      </c>
      <c r="BB9" s="101">
        <v>21.581</v>
      </c>
      <c r="BC9" s="101">
        <v>19.14</v>
      </c>
      <c r="BD9" s="101">
        <f t="shared" si="12"/>
        <v>79.88</v>
      </c>
      <c r="BE9" s="101">
        <v>18.685000000000002</v>
      </c>
      <c r="BF9" s="101">
        <v>19.382000000000001</v>
      </c>
      <c r="BG9" s="101">
        <v>20.228000000000002</v>
      </c>
      <c r="BH9" s="101">
        <v>19.869</v>
      </c>
      <c r="BI9" s="101">
        <f t="shared" si="13"/>
        <v>78.164000000000016</v>
      </c>
      <c r="BJ9" s="101">
        <v>19.573</v>
      </c>
      <c r="BK9" s="101">
        <v>14.154</v>
      </c>
      <c r="BL9" s="101">
        <v>14.42</v>
      </c>
      <c r="BM9" s="101">
        <v>19.472000000000001</v>
      </c>
      <c r="BN9" s="101">
        <f t="shared" si="14"/>
        <v>67.619</v>
      </c>
      <c r="BO9" s="101">
        <v>22.46</v>
      </c>
      <c r="BP9" s="101">
        <v>18.675000000000001</v>
      </c>
      <c r="BQ9" s="101">
        <v>15.362</v>
      </c>
      <c r="BR9" s="101">
        <v>15.608000000000001</v>
      </c>
      <c r="BS9" s="101">
        <f t="shared" si="15"/>
        <v>72.105000000000004</v>
      </c>
      <c r="BT9" s="101">
        <v>14.478000000000002</v>
      </c>
      <c r="BU9" s="101">
        <v>13.027000000000001</v>
      </c>
      <c r="BV9" s="101">
        <v>14.498000000000001</v>
      </c>
      <c r="BW9" s="101">
        <v>18.042000000000002</v>
      </c>
      <c r="BX9" s="101">
        <f t="shared" si="16"/>
        <v>60.045000000000002</v>
      </c>
      <c r="BY9" s="101">
        <v>14.878</v>
      </c>
      <c r="BZ9" s="101">
        <v>14.536</v>
      </c>
      <c r="CA9" s="101">
        <v>15.632</v>
      </c>
      <c r="CB9" s="100"/>
    </row>
    <row r="10" spans="1:80" ht="12.75" x14ac:dyDescent="0.2">
      <c r="A10" s="101" t="s">
        <v>126</v>
      </c>
      <c r="B10" s="101">
        <v>6.7149999999999999</v>
      </c>
      <c r="C10" s="101">
        <v>8.234</v>
      </c>
      <c r="D10" s="101">
        <v>9.0689999999999991</v>
      </c>
      <c r="E10" s="101">
        <v>8.5279999999999987</v>
      </c>
      <c r="F10" s="101">
        <f t="shared" si="2"/>
        <v>32.545999999999999</v>
      </c>
      <c r="G10" s="101">
        <v>6.1449999999999996</v>
      </c>
      <c r="H10" s="101">
        <v>7.5470000000000006</v>
      </c>
      <c r="I10" s="101">
        <v>7.4779999999999998</v>
      </c>
      <c r="J10" s="101">
        <v>6.827</v>
      </c>
      <c r="K10" s="101">
        <f t="shared" si="3"/>
        <v>27.997</v>
      </c>
      <c r="L10" s="101">
        <v>6.5129999999999999</v>
      </c>
      <c r="M10" s="101">
        <v>6.82</v>
      </c>
      <c r="N10" s="101">
        <v>7.2920000000000007</v>
      </c>
      <c r="O10" s="101">
        <v>8.0749999999999993</v>
      </c>
      <c r="P10" s="101">
        <f t="shared" si="4"/>
        <v>28.7</v>
      </c>
      <c r="Q10" s="101">
        <v>7.9390000000000001</v>
      </c>
      <c r="R10" s="101">
        <v>10.266999999999999</v>
      </c>
      <c r="S10" s="101">
        <v>8.777000000000001</v>
      </c>
      <c r="T10" s="101">
        <v>8.5809999999999995</v>
      </c>
      <c r="U10" s="101">
        <f t="shared" si="5"/>
        <v>35.564</v>
      </c>
      <c r="V10" s="101">
        <v>6.5819999999999999</v>
      </c>
      <c r="W10" s="101">
        <v>8.4209999999999994</v>
      </c>
      <c r="X10" s="101">
        <v>8.972999999999999</v>
      </c>
      <c r="Y10" s="101">
        <v>9.2439999999999998</v>
      </c>
      <c r="Z10" s="101">
        <f t="shared" si="6"/>
        <v>33.22</v>
      </c>
      <c r="AA10" s="101">
        <v>7.7750000000000004</v>
      </c>
      <c r="AB10" s="101">
        <v>10.032</v>
      </c>
      <c r="AC10" s="101">
        <v>8.5400000000000009</v>
      </c>
      <c r="AD10" s="101">
        <v>9.9239999999999995</v>
      </c>
      <c r="AE10" s="101">
        <f t="shared" si="7"/>
        <v>36.271000000000001</v>
      </c>
      <c r="AF10" s="101">
        <v>8.3930000000000007</v>
      </c>
      <c r="AG10" s="101">
        <v>9.9390000000000001</v>
      </c>
      <c r="AH10" s="101">
        <v>9.2459999999999987</v>
      </c>
      <c r="AI10" s="101">
        <v>10.022</v>
      </c>
      <c r="AJ10" s="101">
        <f t="shared" si="8"/>
        <v>37.6</v>
      </c>
      <c r="AK10" s="101">
        <v>9.347999999999999</v>
      </c>
      <c r="AL10" s="101">
        <v>10.816000000000001</v>
      </c>
      <c r="AM10" s="101">
        <v>10.891999999999999</v>
      </c>
      <c r="AN10" s="101">
        <v>11.280999999999999</v>
      </c>
      <c r="AO10" s="101">
        <f t="shared" si="9"/>
        <v>42.337000000000003</v>
      </c>
      <c r="AP10" s="101">
        <v>10.536000000000001</v>
      </c>
      <c r="AQ10" s="101">
        <v>11.962999999999999</v>
      </c>
      <c r="AR10" s="101">
        <v>12.971000000000002</v>
      </c>
      <c r="AS10" s="101">
        <v>10.97</v>
      </c>
      <c r="AT10" s="101">
        <f t="shared" si="10"/>
        <v>46.440000000000005</v>
      </c>
      <c r="AU10" s="101">
        <v>12.116</v>
      </c>
      <c r="AV10" s="101">
        <v>13.308</v>
      </c>
      <c r="AW10" s="101">
        <v>13.725999999999999</v>
      </c>
      <c r="AX10" s="101">
        <v>13.455</v>
      </c>
      <c r="AY10" s="101">
        <f t="shared" si="11"/>
        <v>52.604999999999997</v>
      </c>
      <c r="AZ10" s="101">
        <v>11.603</v>
      </c>
      <c r="BA10" s="101">
        <v>11.111000000000001</v>
      </c>
      <c r="BB10" s="101">
        <v>14.027999999999999</v>
      </c>
      <c r="BC10" s="101">
        <v>12.097</v>
      </c>
      <c r="BD10" s="101">
        <f t="shared" si="12"/>
        <v>48.838999999999999</v>
      </c>
      <c r="BE10" s="101">
        <v>11.885999999999999</v>
      </c>
      <c r="BF10" s="101">
        <v>13.708</v>
      </c>
      <c r="BG10" s="101">
        <v>12.413999999999998</v>
      </c>
      <c r="BH10" s="101">
        <v>13.059000000000001</v>
      </c>
      <c r="BI10" s="101">
        <f t="shared" si="13"/>
        <v>51.066999999999993</v>
      </c>
      <c r="BJ10" s="101">
        <v>11.452999999999999</v>
      </c>
      <c r="BK10" s="101">
        <v>12.44</v>
      </c>
      <c r="BL10" s="101">
        <v>14.645</v>
      </c>
      <c r="BM10" s="101">
        <v>9.0269999999999992</v>
      </c>
      <c r="BN10" s="101">
        <f t="shared" si="14"/>
        <v>47.564999999999998</v>
      </c>
      <c r="BO10" s="101">
        <v>10.582000000000001</v>
      </c>
      <c r="BP10" s="101">
        <v>12.048999999999999</v>
      </c>
      <c r="BQ10" s="101">
        <v>11.933</v>
      </c>
      <c r="BR10" s="101">
        <v>10.526</v>
      </c>
      <c r="BS10" s="101">
        <f t="shared" si="15"/>
        <v>45.09</v>
      </c>
      <c r="BT10" s="101">
        <v>11.071999999999999</v>
      </c>
      <c r="BU10" s="101">
        <v>13.327999999999999</v>
      </c>
      <c r="BV10" s="101">
        <v>10.488</v>
      </c>
      <c r="BW10" s="101">
        <v>10.693999999999999</v>
      </c>
      <c r="BX10" s="101">
        <f t="shared" si="16"/>
        <v>45.581999999999994</v>
      </c>
      <c r="BY10" s="101">
        <v>10.249000000000001</v>
      </c>
      <c r="BZ10" s="101">
        <v>12.478999999999999</v>
      </c>
      <c r="CA10" s="101">
        <v>12.064</v>
      </c>
      <c r="CB10" s="100"/>
    </row>
    <row r="11" spans="1:80" ht="12.75" x14ac:dyDescent="0.2">
      <c r="A11" s="102" t="s">
        <v>127</v>
      </c>
      <c r="B11" s="99">
        <v>1.1659999999999999</v>
      </c>
      <c r="C11" s="99">
        <v>1.35</v>
      </c>
      <c r="D11" s="99">
        <v>1.502</v>
      </c>
      <c r="E11" s="99">
        <v>1.534</v>
      </c>
      <c r="F11" s="99">
        <f t="shared" si="2"/>
        <v>5.5519999999999996</v>
      </c>
      <c r="G11" s="99">
        <v>0.64400000000000002</v>
      </c>
      <c r="H11" s="99">
        <v>0</v>
      </c>
      <c r="I11" s="99">
        <v>0</v>
      </c>
      <c r="J11" s="99">
        <v>0</v>
      </c>
      <c r="K11" s="99">
        <f t="shared" si="3"/>
        <v>0.64400000000000002</v>
      </c>
      <c r="L11" s="99">
        <v>0</v>
      </c>
      <c r="M11" s="99">
        <v>0</v>
      </c>
      <c r="N11" s="99">
        <v>0</v>
      </c>
      <c r="O11" s="99">
        <v>0</v>
      </c>
      <c r="P11" s="99">
        <f t="shared" si="4"/>
        <v>0</v>
      </c>
      <c r="Q11" s="99">
        <v>0</v>
      </c>
      <c r="R11" s="99">
        <v>0</v>
      </c>
      <c r="S11" s="99">
        <v>0</v>
      </c>
      <c r="T11" s="99">
        <v>0</v>
      </c>
      <c r="U11" s="99">
        <f t="shared" si="5"/>
        <v>0</v>
      </c>
      <c r="V11" s="99">
        <v>0</v>
      </c>
      <c r="W11" s="99">
        <v>0</v>
      </c>
      <c r="X11" s="99">
        <v>0</v>
      </c>
      <c r="Y11" s="99">
        <v>0</v>
      </c>
      <c r="Z11" s="99">
        <f t="shared" si="6"/>
        <v>0</v>
      </c>
      <c r="AA11" s="99">
        <v>0</v>
      </c>
      <c r="AB11" s="99">
        <v>0</v>
      </c>
      <c r="AC11" s="99">
        <v>0</v>
      </c>
      <c r="AD11" s="99">
        <v>0</v>
      </c>
      <c r="AE11" s="99">
        <f t="shared" si="7"/>
        <v>0</v>
      </c>
      <c r="AF11" s="99">
        <v>0</v>
      </c>
      <c r="AG11" s="99">
        <v>0</v>
      </c>
      <c r="AH11" s="99">
        <v>0</v>
      </c>
      <c r="AI11" s="99">
        <v>0</v>
      </c>
      <c r="AJ11" s="99">
        <f t="shared" si="8"/>
        <v>0</v>
      </c>
      <c r="AK11" s="99">
        <v>0</v>
      </c>
      <c r="AL11" s="99">
        <v>0</v>
      </c>
      <c r="AM11" s="99">
        <v>0</v>
      </c>
      <c r="AN11" s="99">
        <v>0</v>
      </c>
      <c r="AO11" s="99">
        <f t="shared" si="9"/>
        <v>0</v>
      </c>
      <c r="AP11" s="99">
        <v>0</v>
      </c>
      <c r="AQ11" s="99">
        <v>0</v>
      </c>
      <c r="AR11" s="99">
        <v>0</v>
      </c>
      <c r="AS11" s="99">
        <v>0.77400000000000002</v>
      </c>
      <c r="AT11" s="99">
        <f t="shared" si="10"/>
        <v>0.77400000000000002</v>
      </c>
      <c r="AU11" s="99">
        <v>1.224</v>
      </c>
      <c r="AV11" s="99">
        <v>2.62</v>
      </c>
      <c r="AW11" s="99">
        <v>3.7169999999999996</v>
      </c>
      <c r="AX11" s="99">
        <v>3.5110000000000001</v>
      </c>
      <c r="AY11" s="99">
        <f t="shared" si="11"/>
        <v>11.071999999999999</v>
      </c>
      <c r="AZ11" s="99">
        <v>4.7530000000000001</v>
      </c>
      <c r="BA11" s="99">
        <v>6.0270000000000001</v>
      </c>
      <c r="BB11" s="99">
        <v>6.4250000000000007</v>
      </c>
      <c r="BC11" s="99">
        <v>6.4949999999999992</v>
      </c>
      <c r="BD11" s="99">
        <f t="shared" si="12"/>
        <v>23.700000000000003</v>
      </c>
      <c r="BE11" s="99">
        <v>5.3290000000000006</v>
      </c>
      <c r="BF11" s="99">
        <v>6.2140000000000004</v>
      </c>
      <c r="BG11" s="99">
        <v>6.516</v>
      </c>
      <c r="BH11" s="99">
        <v>7.0610000000000008</v>
      </c>
      <c r="BI11" s="99">
        <f t="shared" si="13"/>
        <v>25.12</v>
      </c>
      <c r="BJ11" s="99">
        <v>6.2610000000000001</v>
      </c>
      <c r="BK11" s="99">
        <v>7.1420000000000003</v>
      </c>
      <c r="BL11" s="99">
        <v>6.7889999999999997</v>
      </c>
      <c r="BM11" s="99">
        <v>5.8739999999999997</v>
      </c>
      <c r="BN11" s="99">
        <f t="shared" si="14"/>
        <v>26.065999999999999</v>
      </c>
      <c r="BO11" s="99">
        <v>5.7010000000000005</v>
      </c>
      <c r="BP11" s="99">
        <v>6.2809999999999997</v>
      </c>
      <c r="BQ11" s="99">
        <v>5.4020000000000001</v>
      </c>
      <c r="BR11" s="99">
        <v>4.843</v>
      </c>
      <c r="BS11" s="99">
        <f t="shared" si="15"/>
        <v>22.227</v>
      </c>
      <c r="BT11" s="99">
        <v>4.4239999999999995</v>
      </c>
      <c r="BU11" s="99">
        <v>6.0169999999999995</v>
      </c>
      <c r="BV11" s="99">
        <v>5.1870000000000003</v>
      </c>
      <c r="BW11" s="99">
        <v>5.7469999999999999</v>
      </c>
      <c r="BX11" s="99">
        <f t="shared" si="16"/>
        <v>21.375</v>
      </c>
      <c r="BY11" s="99">
        <v>6.6550000000000011</v>
      </c>
      <c r="BZ11" s="99">
        <v>6.7510000000000003</v>
      </c>
      <c r="CA11" s="99">
        <v>6.6280000000000001</v>
      </c>
      <c r="CB11" s="100"/>
    </row>
    <row r="12" spans="1:80" ht="12.75" x14ac:dyDescent="0.2">
      <c r="A12" s="102" t="s">
        <v>128</v>
      </c>
      <c r="B12" s="99">
        <v>20.643000000000001</v>
      </c>
      <c r="C12" s="99">
        <v>20.376000000000001</v>
      </c>
      <c r="D12" s="99">
        <v>21.638999999999999</v>
      </c>
      <c r="E12" s="99">
        <v>20.283999999999999</v>
      </c>
      <c r="F12" s="99">
        <f t="shared" si="2"/>
        <v>82.942000000000007</v>
      </c>
      <c r="G12" s="99">
        <v>19.759</v>
      </c>
      <c r="H12" s="99">
        <v>30.175000000000001</v>
      </c>
      <c r="I12" s="99">
        <v>34.902000000000001</v>
      </c>
      <c r="J12" s="99">
        <v>35.512</v>
      </c>
      <c r="K12" s="99">
        <f t="shared" si="3"/>
        <v>120.348</v>
      </c>
      <c r="L12" s="99">
        <v>36.298000000000002</v>
      </c>
      <c r="M12" s="99">
        <v>49.326999999999998</v>
      </c>
      <c r="N12" s="99">
        <v>41.048000000000002</v>
      </c>
      <c r="O12" s="99">
        <v>32.948</v>
      </c>
      <c r="P12" s="99">
        <f t="shared" si="4"/>
        <v>159.62100000000001</v>
      </c>
      <c r="Q12" s="99">
        <v>24.884999999999998</v>
      </c>
      <c r="R12" s="99">
        <v>29.498999999999999</v>
      </c>
      <c r="S12" s="99">
        <v>24.251000000000001</v>
      </c>
      <c r="T12" s="99">
        <v>19.012</v>
      </c>
      <c r="U12" s="99">
        <f t="shared" si="5"/>
        <v>97.647000000000006</v>
      </c>
      <c r="V12" s="99">
        <v>19.93</v>
      </c>
      <c r="W12" s="99">
        <v>28.8</v>
      </c>
      <c r="X12" s="99">
        <v>26.356999999999999</v>
      </c>
      <c r="Y12" s="99">
        <v>17.571999999999999</v>
      </c>
      <c r="Z12" s="99">
        <f t="shared" si="6"/>
        <v>92.659000000000006</v>
      </c>
      <c r="AA12" s="99">
        <v>16.353000000000002</v>
      </c>
      <c r="AB12" s="99">
        <v>21.837</v>
      </c>
      <c r="AC12" s="99">
        <v>24.448</v>
      </c>
      <c r="AD12" s="99">
        <v>27.458000000000002</v>
      </c>
      <c r="AE12" s="99">
        <f t="shared" si="7"/>
        <v>90.096000000000004</v>
      </c>
      <c r="AF12" s="99">
        <v>54.114999999999995</v>
      </c>
      <c r="AG12" s="99">
        <v>55.481999999999999</v>
      </c>
      <c r="AH12" s="99">
        <v>27.636999999999997</v>
      </c>
      <c r="AI12" s="99">
        <v>28.195999999999998</v>
      </c>
      <c r="AJ12" s="99">
        <f t="shared" si="8"/>
        <v>165.42999999999998</v>
      </c>
      <c r="AK12" s="99">
        <v>46.575000000000003</v>
      </c>
      <c r="AL12" s="99">
        <v>47.121000000000002</v>
      </c>
      <c r="AM12" s="99">
        <v>43.091999999999999</v>
      </c>
      <c r="AN12" s="99">
        <v>35.826000000000001</v>
      </c>
      <c r="AO12" s="99">
        <f t="shared" si="9"/>
        <v>172.614</v>
      </c>
      <c r="AP12" s="99">
        <v>29.527000000000001</v>
      </c>
      <c r="AQ12" s="99">
        <v>34.131</v>
      </c>
      <c r="AR12" s="99">
        <v>35.837000000000003</v>
      </c>
      <c r="AS12" s="99">
        <v>33.692</v>
      </c>
      <c r="AT12" s="99">
        <f t="shared" si="10"/>
        <v>133.18700000000001</v>
      </c>
      <c r="AU12" s="99">
        <v>31.062999999999999</v>
      </c>
      <c r="AV12" s="99">
        <v>38.039000000000001</v>
      </c>
      <c r="AW12" s="99">
        <v>43.35</v>
      </c>
      <c r="AX12" s="99">
        <v>34.207999999999998</v>
      </c>
      <c r="AY12" s="99">
        <f t="shared" si="11"/>
        <v>146.66</v>
      </c>
      <c r="AZ12" s="99">
        <v>31.511000000000003</v>
      </c>
      <c r="BA12" s="99">
        <v>27.442</v>
      </c>
      <c r="BB12" s="99">
        <v>44.74</v>
      </c>
      <c r="BC12" s="99">
        <v>26.218999999999998</v>
      </c>
      <c r="BD12" s="99">
        <f t="shared" si="12"/>
        <v>129.91200000000001</v>
      </c>
      <c r="BE12" s="99">
        <v>12.709</v>
      </c>
      <c r="BF12" s="99">
        <v>12.94</v>
      </c>
      <c r="BG12" s="99">
        <v>15.802</v>
      </c>
      <c r="BH12" s="99">
        <v>19.573</v>
      </c>
      <c r="BI12" s="99">
        <f t="shared" si="13"/>
        <v>61.024000000000001</v>
      </c>
      <c r="BJ12" s="99">
        <v>13.747</v>
      </c>
      <c r="BK12" s="99">
        <v>16.619</v>
      </c>
      <c r="BL12" s="99">
        <v>20.096</v>
      </c>
      <c r="BM12" s="99">
        <v>14.015000000000001</v>
      </c>
      <c r="BN12" s="99">
        <f t="shared" si="14"/>
        <v>64.477000000000004</v>
      </c>
      <c r="BO12" s="99">
        <v>18.673999999999999</v>
      </c>
      <c r="BP12" s="99">
        <v>33.738999999999997</v>
      </c>
      <c r="BQ12" s="99">
        <v>20.858000000000001</v>
      </c>
      <c r="BR12" s="99">
        <v>12.576000000000001</v>
      </c>
      <c r="BS12" s="99">
        <f t="shared" si="15"/>
        <v>85.847000000000008</v>
      </c>
      <c r="BT12" s="99">
        <v>13.06</v>
      </c>
      <c r="BU12" s="99">
        <v>12.032</v>
      </c>
      <c r="BV12" s="99">
        <v>12.509</v>
      </c>
      <c r="BW12" s="99">
        <v>21.216999999999999</v>
      </c>
      <c r="BX12" s="99">
        <f t="shared" si="16"/>
        <v>58.817999999999998</v>
      </c>
      <c r="BY12" s="99">
        <v>16.929000000000002</v>
      </c>
      <c r="BZ12" s="99">
        <v>9.8659999999999997</v>
      </c>
      <c r="CA12" s="99">
        <v>15.834</v>
      </c>
      <c r="CB12" s="100"/>
    </row>
    <row r="13" spans="1:80" ht="12.75" x14ac:dyDescent="0.2">
      <c r="A13" s="102" t="s">
        <v>129</v>
      </c>
      <c r="B13" s="99">
        <v>49.516000000000005</v>
      </c>
      <c r="C13" s="99">
        <v>46.162999999999997</v>
      </c>
      <c r="D13" s="99">
        <v>53.811999999999998</v>
      </c>
      <c r="E13" s="99">
        <v>77.068000000000012</v>
      </c>
      <c r="F13" s="99">
        <f t="shared" si="2"/>
        <v>226.559</v>
      </c>
      <c r="G13" s="99">
        <v>46.196000000000005</v>
      </c>
      <c r="H13" s="99">
        <v>67.215000000000003</v>
      </c>
      <c r="I13" s="99">
        <v>68.123000000000005</v>
      </c>
      <c r="J13" s="99">
        <v>50.746000000000002</v>
      </c>
      <c r="K13" s="99">
        <f t="shared" si="3"/>
        <v>232.28</v>
      </c>
      <c r="L13" s="99">
        <v>51.426000000000002</v>
      </c>
      <c r="M13" s="99">
        <v>47.894999999999996</v>
      </c>
      <c r="N13" s="99">
        <v>53.161000000000001</v>
      </c>
      <c r="O13" s="99">
        <v>52.001999999999995</v>
      </c>
      <c r="P13" s="99">
        <f t="shared" si="4"/>
        <v>204.48399999999998</v>
      </c>
      <c r="Q13" s="99">
        <v>45.774000000000001</v>
      </c>
      <c r="R13" s="99">
        <v>63.487999999999992</v>
      </c>
      <c r="S13" s="99">
        <v>58.860999999999997</v>
      </c>
      <c r="T13" s="99">
        <v>46.805999999999997</v>
      </c>
      <c r="U13" s="99">
        <f t="shared" si="5"/>
        <v>214.92899999999997</v>
      </c>
      <c r="V13" s="99">
        <v>49.578000000000003</v>
      </c>
      <c r="W13" s="99">
        <v>46.739000000000004</v>
      </c>
      <c r="X13" s="99">
        <v>65.63900000000001</v>
      </c>
      <c r="Y13" s="99">
        <v>51.750000000000007</v>
      </c>
      <c r="Z13" s="99">
        <f t="shared" si="6"/>
        <v>213.70600000000002</v>
      </c>
      <c r="AA13" s="99">
        <v>44.41</v>
      </c>
      <c r="AB13" s="99">
        <v>50.966000000000001</v>
      </c>
      <c r="AC13" s="99">
        <v>56.603999999999999</v>
      </c>
      <c r="AD13" s="99">
        <v>61.976999999999997</v>
      </c>
      <c r="AE13" s="99">
        <f t="shared" si="7"/>
        <v>213.95700000000002</v>
      </c>
      <c r="AF13" s="99">
        <v>44.778999999999996</v>
      </c>
      <c r="AG13" s="99">
        <v>49.100999999999999</v>
      </c>
      <c r="AH13" s="99">
        <v>52.83</v>
      </c>
      <c r="AI13" s="99">
        <v>45.966000000000001</v>
      </c>
      <c r="AJ13" s="99">
        <f t="shared" si="8"/>
        <v>192.67599999999999</v>
      </c>
      <c r="AK13" s="99">
        <v>42.17</v>
      </c>
      <c r="AL13" s="99">
        <v>56.914000000000001</v>
      </c>
      <c r="AM13" s="99">
        <v>68.210000000000008</v>
      </c>
      <c r="AN13" s="99">
        <v>65.001999999999995</v>
      </c>
      <c r="AO13" s="99">
        <f t="shared" si="9"/>
        <v>232.29599999999999</v>
      </c>
      <c r="AP13" s="99">
        <v>57.97</v>
      </c>
      <c r="AQ13" s="99">
        <v>65.856999999999999</v>
      </c>
      <c r="AR13" s="99">
        <v>61.53</v>
      </c>
      <c r="AS13" s="99">
        <v>53.568000000000005</v>
      </c>
      <c r="AT13" s="99">
        <f t="shared" si="10"/>
        <v>238.92500000000001</v>
      </c>
      <c r="AU13" s="99">
        <v>58.515999999999998</v>
      </c>
      <c r="AV13" s="99">
        <v>57.007999999999996</v>
      </c>
      <c r="AW13" s="99">
        <v>72.775999999999996</v>
      </c>
      <c r="AX13" s="99">
        <v>57.695999999999998</v>
      </c>
      <c r="AY13" s="99">
        <f t="shared" si="11"/>
        <v>245.99600000000001</v>
      </c>
      <c r="AZ13" s="99">
        <v>55.39</v>
      </c>
      <c r="BA13" s="99">
        <v>55.514000000000003</v>
      </c>
      <c r="BB13" s="99">
        <v>68.018000000000001</v>
      </c>
      <c r="BC13" s="99">
        <v>58.831000000000003</v>
      </c>
      <c r="BD13" s="99">
        <f t="shared" si="12"/>
        <v>237.75299999999999</v>
      </c>
      <c r="BE13" s="99">
        <v>59.832000000000001</v>
      </c>
      <c r="BF13" s="99">
        <v>56.991999999999997</v>
      </c>
      <c r="BG13" s="99">
        <v>66.84899999999999</v>
      </c>
      <c r="BH13" s="99">
        <v>58.468000000000004</v>
      </c>
      <c r="BI13" s="99">
        <f t="shared" si="13"/>
        <v>242.14100000000002</v>
      </c>
      <c r="BJ13" s="99">
        <v>52.207999999999998</v>
      </c>
      <c r="BK13" s="99">
        <v>63.338000000000001</v>
      </c>
      <c r="BL13" s="99">
        <v>68.477000000000004</v>
      </c>
      <c r="BM13" s="99">
        <v>54.781999999999996</v>
      </c>
      <c r="BN13" s="99">
        <f t="shared" si="14"/>
        <v>238.80500000000001</v>
      </c>
      <c r="BO13" s="99">
        <v>55.488</v>
      </c>
      <c r="BP13" s="99">
        <v>59.046999999999997</v>
      </c>
      <c r="BQ13" s="99">
        <v>59.307000000000002</v>
      </c>
      <c r="BR13" s="99">
        <v>50.896999999999998</v>
      </c>
      <c r="BS13" s="99">
        <f t="shared" si="15"/>
        <v>224.73899999999998</v>
      </c>
      <c r="BT13" s="99">
        <v>49.111000000000004</v>
      </c>
      <c r="BU13" s="99">
        <v>51.620999999999995</v>
      </c>
      <c r="BV13" s="99">
        <v>47.183000000000007</v>
      </c>
      <c r="BW13" s="99">
        <v>39.629000000000005</v>
      </c>
      <c r="BX13" s="99">
        <f t="shared" si="16"/>
        <v>187.54400000000004</v>
      </c>
      <c r="BY13" s="99">
        <v>53.66</v>
      </c>
      <c r="BZ13" s="99">
        <v>63.92</v>
      </c>
      <c r="CA13" s="99">
        <v>63.304000000000002</v>
      </c>
      <c r="CB13" s="100"/>
    </row>
    <row r="14" spans="1:80" ht="12.75" x14ac:dyDescent="0.2">
      <c r="A14" s="97" t="s">
        <v>130</v>
      </c>
      <c r="B14" s="103">
        <f t="shared" ref="B14:BL14" si="17">B7+B13+B11+B12</f>
        <v>141.41800000000001</v>
      </c>
      <c r="C14" s="103">
        <f t="shared" si="17"/>
        <v>142.345</v>
      </c>
      <c r="D14" s="103">
        <f t="shared" si="17"/>
        <v>159.70500000000004</v>
      </c>
      <c r="E14" s="103">
        <f t="shared" si="17"/>
        <v>182.94</v>
      </c>
      <c r="F14" s="104">
        <f t="shared" si="17"/>
        <v>626.40800000000002</v>
      </c>
      <c r="G14" s="104">
        <f t="shared" si="17"/>
        <v>132.19400000000002</v>
      </c>
      <c r="H14" s="104">
        <f t="shared" si="17"/>
        <v>175.505</v>
      </c>
      <c r="I14" s="104">
        <f t="shared" si="17"/>
        <v>185.05599999999998</v>
      </c>
      <c r="J14" s="104">
        <f t="shared" si="17"/>
        <v>163.60300000000001</v>
      </c>
      <c r="K14" s="104">
        <f t="shared" si="17"/>
        <v>656.35799999999995</v>
      </c>
      <c r="L14" s="104">
        <f t="shared" si="17"/>
        <v>154.04000000000002</v>
      </c>
      <c r="M14" s="104">
        <f t="shared" si="17"/>
        <v>170.51999999999998</v>
      </c>
      <c r="N14" s="104">
        <f t="shared" si="17"/>
        <v>177.10599999999999</v>
      </c>
      <c r="O14" s="104">
        <f t="shared" si="17"/>
        <v>164.57599999999999</v>
      </c>
      <c r="P14" s="104">
        <f t="shared" si="17"/>
        <v>666.24199999999996</v>
      </c>
      <c r="Q14" s="104">
        <f t="shared" si="17"/>
        <v>140.70099999999999</v>
      </c>
      <c r="R14" s="104">
        <f t="shared" si="17"/>
        <v>174.70999999999998</v>
      </c>
      <c r="S14" s="104">
        <f t="shared" si="17"/>
        <v>174.625</v>
      </c>
      <c r="T14" s="104">
        <f t="shared" si="17"/>
        <v>149.09</v>
      </c>
      <c r="U14" s="104">
        <f t="shared" si="17"/>
        <v>639.12600000000009</v>
      </c>
      <c r="V14" s="104">
        <f t="shared" si="17"/>
        <v>146.57</v>
      </c>
      <c r="W14" s="104">
        <f t="shared" si="17"/>
        <v>153.57700000000003</v>
      </c>
      <c r="X14" s="104">
        <f t="shared" si="17"/>
        <v>180.75800000000001</v>
      </c>
      <c r="Y14" s="104">
        <f t="shared" si="17"/>
        <v>155.06200000000001</v>
      </c>
      <c r="Z14" s="104">
        <f t="shared" si="17"/>
        <v>635.96699999999998</v>
      </c>
      <c r="AA14" s="104">
        <f t="shared" si="17"/>
        <v>134.029</v>
      </c>
      <c r="AB14" s="104">
        <f t="shared" si="17"/>
        <v>159.54</v>
      </c>
      <c r="AC14" s="104">
        <f t="shared" si="17"/>
        <v>170.91000000000003</v>
      </c>
      <c r="AD14" s="104">
        <f t="shared" si="17"/>
        <v>183.43200000000002</v>
      </c>
      <c r="AE14" s="104">
        <f t="shared" si="17"/>
        <v>647.91100000000006</v>
      </c>
      <c r="AF14" s="104">
        <f t="shared" si="17"/>
        <v>173.35399999999998</v>
      </c>
      <c r="AG14" s="104">
        <f t="shared" si="17"/>
        <v>181.93299999999999</v>
      </c>
      <c r="AH14" s="104">
        <f t="shared" si="17"/>
        <v>171.53699999999998</v>
      </c>
      <c r="AI14" s="104">
        <f t="shared" si="17"/>
        <v>160.32300000000001</v>
      </c>
      <c r="AJ14" s="104">
        <f t="shared" si="17"/>
        <v>687.14699999999993</v>
      </c>
      <c r="AK14" s="104">
        <f t="shared" si="17"/>
        <v>162.45499999999998</v>
      </c>
      <c r="AL14" s="104">
        <f t="shared" si="17"/>
        <v>187.22900000000001</v>
      </c>
      <c r="AM14" s="104">
        <f t="shared" si="17"/>
        <v>202.93700000000001</v>
      </c>
      <c r="AN14" s="104">
        <f t="shared" si="17"/>
        <v>190.34</v>
      </c>
      <c r="AO14" s="104">
        <f t="shared" si="17"/>
        <v>742.96100000000001</v>
      </c>
      <c r="AP14" s="104">
        <f t="shared" si="17"/>
        <v>167.98200000000003</v>
      </c>
      <c r="AQ14" s="104">
        <f t="shared" si="17"/>
        <v>188.14699999999999</v>
      </c>
      <c r="AR14" s="104">
        <f t="shared" si="17"/>
        <v>190.053</v>
      </c>
      <c r="AS14" s="104">
        <f t="shared" si="17"/>
        <v>173.44500000000002</v>
      </c>
      <c r="AT14" s="104">
        <f t="shared" si="17"/>
        <v>719.62700000000007</v>
      </c>
      <c r="AU14" s="104">
        <f t="shared" si="17"/>
        <v>172.39499999999998</v>
      </c>
      <c r="AV14" s="104">
        <f t="shared" si="17"/>
        <v>185.08599999999996</v>
      </c>
      <c r="AW14" s="104">
        <f t="shared" si="17"/>
        <v>216.286</v>
      </c>
      <c r="AX14" s="104">
        <f t="shared" si="17"/>
        <v>187.20799999999997</v>
      </c>
      <c r="AY14" s="104">
        <f t="shared" si="17"/>
        <v>760.97500000000002</v>
      </c>
      <c r="AZ14" s="104">
        <f t="shared" si="17"/>
        <v>179.08500000000001</v>
      </c>
      <c r="BA14" s="104">
        <f t="shared" si="17"/>
        <v>166.82400000000001</v>
      </c>
      <c r="BB14" s="104">
        <f t="shared" si="17"/>
        <v>216.24400000000003</v>
      </c>
      <c r="BC14" s="104">
        <f t="shared" si="17"/>
        <v>187.89499999999998</v>
      </c>
      <c r="BD14" s="104">
        <f t="shared" si="17"/>
        <v>750.048</v>
      </c>
      <c r="BE14" s="104">
        <f t="shared" si="17"/>
        <v>166.518</v>
      </c>
      <c r="BF14" s="104">
        <f t="shared" si="17"/>
        <v>164.345</v>
      </c>
      <c r="BG14" s="104">
        <f t="shared" si="17"/>
        <v>185.91899999999998</v>
      </c>
      <c r="BH14" s="104">
        <f t="shared" si="17"/>
        <v>176.35599999999999</v>
      </c>
      <c r="BI14" s="104">
        <f t="shared" si="17"/>
        <v>693.13800000000003</v>
      </c>
      <c r="BJ14" s="104">
        <f t="shared" si="17"/>
        <v>156.637</v>
      </c>
      <c r="BK14" s="104">
        <f t="shared" si="17"/>
        <v>167.893</v>
      </c>
      <c r="BL14" s="104">
        <f t="shared" si="17"/>
        <v>187.935</v>
      </c>
      <c r="BM14" s="104">
        <v>162.80000000000001</v>
      </c>
      <c r="BN14" s="104">
        <f>BN7+BN13+BN11+BN12</f>
        <v>675.22699999999998</v>
      </c>
      <c r="BO14" s="104">
        <v>168.124</v>
      </c>
      <c r="BP14" s="104">
        <f t="shared" ref="BP14:BX14" si="18">BP7+BP13+BP11+BP12</f>
        <v>185.97400000000002</v>
      </c>
      <c r="BQ14" s="104">
        <f t="shared" si="18"/>
        <v>164.76400000000001</v>
      </c>
      <c r="BR14" s="104">
        <f t="shared" si="18"/>
        <v>147.02999999999997</v>
      </c>
      <c r="BS14" s="104">
        <f t="shared" si="18"/>
        <v>665.89199999999994</v>
      </c>
      <c r="BT14" s="104">
        <f t="shared" si="18"/>
        <v>136.988</v>
      </c>
      <c r="BU14" s="104">
        <f t="shared" si="18"/>
        <v>136.66999999999999</v>
      </c>
      <c r="BV14" s="104">
        <f t="shared" si="18"/>
        <v>131.20500000000001</v>
      </c>
      <c r="BW14" s="104">
        <f t="shared" si="18"/>
        <v>139.45300000000003</v>
      </c>
      <c r="BX14" s="104">
        <f t="shared" si="18"/>
        <v>544.31600000000003</v>
      </c>
      <c r="BY14" s="104">
        <v>147.03300000000002</v>
      </c>
      <c r="BZ14" s="104">
        <v>159.07499999999999</v>
      </c>
      <c r="CA14" s="104">
        <v>170.613</v>
      </c>
      <c r="CB14" s="105"/>
    </row>
    <row r="15" spans="1:80" ht="6" customHeight="1" x14ac:dyDescent="0.2">
      <c r="A15" s="106"/>
      <c r="B15" s="107"/>
      <c r="C15" s="107"/>
      <c r="D15" s="107"/>
      <c r="E15" s="107"/>
      <c r="F15" s="108"/>
      <c r="G15" s="107"/>
      <c r="H15" s="107"/>
      <c r="I15" s="107"/>
      <c r="J15" s="107"/>
      <c r="K15" s="108"/>
      <c r="L15" s="107"/>
      <c r="M15" s="107"/>
      <c r="N15" s="107"/>
      <c r="O15" s="107"/>
      <c r="P15" s="108"/>
      <c r="Q15" s="107"/>
      <c r="R15" s="107"/>
      <c r="S15" s="107"/>
      <c r="T15" s="107"/>
      <c r="U15" s="108"/>
      <c r="V15" s="107"/>
      <c r="W15" s="107"/>
      <c r="X15" s="107"/>
      <c r="Y15" s="107"/>
      <c r="Z15" s="108"/>
      <c r="AA15" s="107"/>
      <c r="AB15" s="107"/>
      <c r="AC15" s="107"/>
      <c r="AD15" s="107"/>
      <c r="AE15" s="108"/>
      <c r="AF15" s="107"/>
      <c r="AG15" s="107"/>
      <c r="AH15" s="107"/>
      <c r="AI15" s="107"/>
      <c r="AJ15" s="108"/>
      <c r="AK15" s="107"/>
      <c r="AL15" s="107"/>
      <c r="AM15" s="107"/>
      <c r="AN15" s="107"/>
      <c r="AO15" s="108"/>
      <c r="AP15" s="107"/>
      <c r="AQ15" s="107"/>
      <c r="AR15" s="107"/>
      <c r="AS15" s="107"/>
      <c r="AT15" s="108"/>
      <c r="AU15" s="107"/>
      <c r="AV15" s="107"/>
      <c r="AW15" s="107"/>
      <c r="AX15" s="107"/>
      <c r="AY15" s="108"/>
      <c r="AZ15" s="107"/>
      <c r="BA15" s="107"/>
      <c r="BB15" s="107"/>
      <c r="BC15" s="107"/>
      <c r="BD15" s="108"/>
      <c r="BE15" s="107"/>
      <c r="BF15" s="107"/>
      <c r="BG15" s="107"/>
      <c r="BH15" s="107"/>
      <c r="BI15" s="108"/>
      <c r="BJ15" s="107"/>
      <c r="BK15" s="107"/>
      <c r="BL15" s="107"/>
      <c r="BM15" s="107"/>
      <c r="BN15" s="108"/>
      <c r="BO15" s="107"/>
      <c r="BP15" s="107"/>
      <c r="BQ15" s="107"/>
      <c r="BR15" s="107"/>
      <c r="BS15" s="108"/>
      <c r="BT15" s="107"/>
      <c r="BU15" s="107"/>
      <c r="BV15" s="107"/>
      <c r="BW15" s="107"/>
      <c r="BX15" s="108"/>
      <c r="BY15" s="107"/>
      <c r="BZ15" s="107"/>
      <c r="CA15" s="107"/>
      <c r="CB15" s="105"/>
    </row>
    <row r="16" spans="1:80" ht="12.75" x14ac:dyDescent="0.2">
      <c r="A16" s="97" t="s">
        <v>131</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105"/>
    </row>
    <row r="17" spans="1:80" ht="12.75" x14ac:dyDescent="0.2">
      <c r="A17" s="98" t="s">
        <v>123</v>
      </c>
      <c r="B17" s="99">
        <f t="shared" ref="B17:BL17" si="19">SUM(B18:B20)</f>
        <v>35.093999999999994</v>
      </c>
      <c r="C17" s="99">
        <f t="shared" si="19"/>
        <v>34.855999999999995</v>
      </c>
      <c r="D17" s="99">
        <f t="shared" si="19"/>
        <v>37.056000000000004</v>
      </c>
      <c r="E17" s="99">
        <f t="shared" si="19"/>
        <v>38.564</v>
      </c>
      <c r="F17" s="99">
        <f t="shared" si="19"/>
        <v>145.57</v>
      </c>
      <c r="G17" s="99">
        <f t="shared" si="19"/>
        <v>32.207999999999998</v>
      </c>
      <c r="H17" s="99">
        <f t="shared" si="19"/>
        <v>36.701000000000001</v>
      </c>
      <c r="I17" s="99">
        <f t="shared" si="19"/>
        <v>37.685000000000002</v>
      </c>
      <c r="J17" s="99">
        <f t="shared" si="19"/>
        <v>42.314</v>
      </c>
      <c r="K17" s="99">
        <f t="shared" si="19"/>
        <v>148.90799999999999</v>
      </c>
      <c r="L17" s="99">
        <f t="shared" si="19"/>
        <v>37.707000000000001</v>
      </c>
      <c r="M17" s="99">
        <f t="shared" si="19"/>
        <v>41.457999999999998</v>
      </c>
      <c r="N17" s="99">
        <f t="shared" si="19"/>
        <v>43.525999999999996</v>
      </c>
      <c r="O17" s="99">
        <f t="shared" si="19"/>
        <v>46.988</v>
      </c>
      <c r="P17" s="99">
        <f t="shared" si="19"/>
        <v>169.67900000000003</v>
      </c>
      <c r="Q17" s="99">
        <f t="shared" si="19"/>
        <v>40.664999999999999</v>
      </c>
      <c r="R17" s="99">
        <f t="shared" si="19"/>
        <v>41.682000000000002</v>
      </c>
      <c r="S17" s="99">
        <f t="shared" si="19"/>
        <v>46.434999999999995</v>
      </c>
      <c r="T17" s="99">
        <f t="shared" si="19"/>
        <v>46.366999999999997</v>
      </c>
      <c r="U17" s="99">
        <f t="shared" si="19"/>
        <v>175.149</v>
      </c>
      <c r="V17" s="99">
        <f t="shared" si="19"/>
        <v>42.134</v>
      </c>
      <c r="W17" s="99">
        <f t="shared" si="19"/>
        <v>42.31</v>
      </c>
      <c r="X17" s="99">
        <f t="shared" si="19"/>
        <v>46.353000000000002</v>
      </c>
      <c r="Y17" s="99">
        <f t="shared" si="19"/>
        <v>49.769999999999996</v>
      </c>
      <c r="Z17" s="99">
        <f t="shared" si="19"/>
        <v>180.56700000000001</v>
      </c>
      <c r="AA17" s="99">
        <f t="shared" si="19"/>
        <v>42.265000000000001</v>
      </c>
      <c r="AB17" s="99">
        <f t="shared" si="19"/>
        <v>45.528999999999996</v>
      </c>
      <c r="AC17" s="99">
        <f t="shared" si="19"/>
        <v>47.411000000000001</v>
      </c>
      <c r="AD17" s="99">
        <f t="shared" si="19"/>
        <v>55.841999999999999</v>
      </c>
      <c r="AE17" s="99">
        <f t="shared" si="19"/>
        <v>191.04700000000003</v>
      </c>
      <c r="AF17" s="99">
        <f t="shared" si="19"/>
        <v>45.083999999999996</v>
      </c>
      <c r="AG17" s="99">
        <f t="shared" si="19"/>
        <v>44.49</v>
      </c>
      <c r="AH17" s="99">
        <f t="shared" si="19"/>
        <v>53.720999999999997</v>
      </c>
      <c r="AI17" s="99">
        <f t="shared" si="19"/>
        <v>52.118000000000002</v>
      </c>
      <c r="AJ17" s="99">
        <f t="shared" si="19"/>
        <v>195.41300000000001</v>
      </c>
      <c r="AK17" s="99">
        <f t="shared" si="19"/>
        <v>46.963999999999999</v>
      </c>
      <c r="AL17" s="99">
        <f t="shared" si="19"/>
        <v>48.192000000000007</v>
      </c>
      <c r="AM17" s="99">
        <f t="shared" si="19"/>
        <v>57.893000000000001</v>
      </c>
      <c r="AN17" s="99">
        <f t="shared" si="19"/>
        <v>53.401000000000003</v>
      </c>
      <c r="AO17" s="99">
        <f t="shared" si="19"/>
        <v>206.45</v>
      </c>
      <c r="AP17" s="99">
        <f t="shared" si="19"/>
        <v>48.653999999999996</v>
      </c>
      <c r="AQ17" s="99">
        <f t="shared" si="19"/>
        <v>55.109000000000009</v>
      </c>
      <c r="AR17" s="99">
        <f t="shared" si="19"/>
        <v>58.814000000000007</v>
      </c>
      <c r="AS17" s="99">
        <f t="shared" si="19"/>
        <v>56.725999999999999</v>
      </c>
      <c r="AT17" s="99">
        <f t="shared" si="19"/>
        <v>219.303</v>
      </c>
      <c r="AU17" s="99">
        <f t="shared" si="19"/>
        <v>53.304999999999993</v>
      </c>
      <c r="AV17" s="99">
        <f t="shared" si="19"/>
        <v>50.585000000000001</v>
      </c>
      <c r="AW17" s="99">
        <f t="shared" si="19"/>
        <v>57.651000000000003</v>
      </c>
      <c r="AX17" s="99">
        <f t="shared" si="19"/>
        <v>61.013999999999996</v>
      </c>
      <c r="AY17" s="99">
        <f t="shared" si="19"/>
        <v>222.55500000000001</v>
      </c>
      <c r="AZ17" s="99">
        <f t="shared" si="19"/>
        <v>53.935999999999993</v>
      </c>
      <c r="BA17" s="99">
        <f t="shared" si="19"/>
        <v>49.855000000000004</v>
      </c>
      <c r="BB17" s="99">
        <f t="shared" si="19"/>
        <v>66.787999999999997</v>
      </c>
      <c r="BC17" s="99">
        <f t="shared" si="19"/>
        <v>66.018999999999991</v>
      </c>
      <c r="BD17" s="99">
        <f t="shared" si="19"/>
        <v>236.59799999999998</v>
      </c>
      <c r="BE17" s="99">
        <f t="shared" si="19"/>
        <v>57.905000000000001</v>
      </c>
      <c r="BF17" s="99">
        <f t="shared" si="19"/>
        <v>60.304000000000002</v>
      </c>
      <c r="BG17" s="99">
        <f t="shared" si="19"/>
        <v>63.558999999999997</v>
      </c>
      <c r="BH17" s="99">
        <f t="shared" si="19"/>
        <v>64.459000000000003</v>
      </c>
      <c r="BI17" s="99">
        <f t="shared" si="19"/>
        <v>246.227</v>
      </c>
      <c r="BJ17" s="99">
        <f t="shared" si="19"/>
        <v>58.915999999999997</v>
      </c>
      <c r="BK17" s="99">
        <f t="shared" si="19"/>
        <v>50.403000000000006</v>
      </c>
      <c r="BL17" s="99">
        <f t="shared" si="19"/>
        <v>60.503</v>
      </c>
      <c r="BM17" s="99">
        <v>66.099999999999994</v>
      </c>
      <c r="BN17" s="99">
        <f>SUM(BN18:BN20)</f>
        <v>235.922</v>
      </c>
      <c r="BO17" s="99">
        <v>61.778999999999996</v>
      </c>
      <c r="BP17" s="99">
        <f t="shared" ref="BP17:BS17" si="20">SUM(BP18:BP20)</f>
        <v>61.100999999999999</v>
      </c>
      <c r="BQ17" s="99">
        <f t="shared" si="20"/>
        <v>57.513999999999996</v>
      </c>
      <c r="BR17" s="99">
        <f t="shared" si="20"/>
        <v>64.13300000000001</v>
      </c>
      <c r="BS17" s="99">
        <f t="shared" si="20"/>
        <v>244.52699999999999</v>
      </c>
      <c r="BT17" s="99">
        <v>54.073999999999998</v>
      </c>
      <c r="BU17" s="99">
        <v>60.576999999999998</v>
      </c>
      <c r="BV17" s="99">
        <v>56.175999999999995</v>
      </c>
      <c r="BW17" s="99">
        <v>59.099000000000004</v>
      </c>
      <c r="BX17" s="99">
        <f>SUM(BX18:BX20)</f>
        <v>229.92600000000002</v>
      </c>
      <c r="BY17" s="99">
        <v>55.861999999999995</v>
      </c>
      <c r="BZ17" s="99">
        <v>60.863999999999997</v>
      </c>
      <c r="CA17" s="99">
        <v>61.029000000000003</v>
      </c>
      <c r="CB17" s="105"/>
    </row>
    <row r="18" spans="1:80" ht="12.75" x14ac:dyDescent="0.2">
      <c r="A18" s="109" t="s">
        <v>124</v>
      </c>
      <c r="B18" s="101">
        <v>21.681999999999999</v>
      </c>
      <c r="C18" s="101">
        <v>20.512999999999998</v>
      </c>
      <c r="D18" s="101">
        <v>21.068000000000001</v>
      </c>
      <c r="E18" s="101">
        <v>22.713999999999999</v>
      </c>
      <c r="F18" s="101">
        <f t="shared" ref="F18:F22" si="21">SUM(B18:E18)</f>
        <v>85.97699999999999</v>
      </c>
      <c r="G18" s="101">
        <v>20.86</v>
      </c>
      <c r="H18" s="101">
        <v>25.083000000000002</v>
      </c>
      <c r="I18" s="101">
        <v>21.972999999999999</v>
      </c>
      <c r="J18" s="101">
        <v>24.407999999999998</v>
      </c>
      <c r="K18" s="101">
        <f t="shared" ref="K18:K22" si="22">SUM(G18:J18)</f>
        <v>92.323999999999998</v>
      </c>
      <c r="L18" s="101">
        <v>19.422000000000001</v>
      </c>
      <c r="M18" s="101">
        <v>20.477</v>
      </c>
      <c r="N18" s="101">
        <v>22.192</v>
      </c>
      <c r="O18" s="101">
        <v>26.377000000000002</v>
      </c>
      <c r="P18" s="101">
        <f t="shared" ref="P18:P22" si="23">SUM(L18:O18)</f>
        <v>88.468000000000004</v>
      </c>
      <c r="Q18" s="101">
        <v>20.056000000000001</v>
      </c>
      <c r="R18" s="101">
        <v>20.763999999999999</v>
      </c>
      <c r="S18" s="101">
        <v>24.040999999999997</v>
      </c>
      <c r="T18" s="101">
        <v>24.565000000000001</v>
      </c>
      <c r="U18" s="101">
        <f t="shared" ref="U18:U22" si="24">SUM(Q18:T18)</f>
        <v>89.425999999999988</v>
      </c>
      <c r="V18" s="101">
        <v>20.916</v>
      </c>
      <c r="W18" s="101">
        <v>20.383000000000003</v>
      </c>
      <c r="X18" s="101">
        <v>22.547000000000001</v>
      </c>
      <c r="Y18" s="101">
        <v>25.87</v>
      </c>
      <c r="Z18" s="101">
        <f t="shared" ref="Z18:Z22" si="25">SUM(V18:Y18)</f>
        <v>89.716000000000008</v>
      </c>
      <c r="AA18" s="101">
        <v>19.245999999999999</v>
      </c>
      <c r="AB18" s="101">
        <v>18.251000000000001</v>
      </c>
      <c r="AC18" s="101">
        <v>21.035</v>
      </c>
      <c r="AD18" s="101">
        <v>27.266999999999999</v>
      </c>
      <c r="AE18" s="101">
        <f t="shared" ref="AE18:AE22" si="26">SUM(AA18:AD18)</f>
        <v>85.798999999999992</v>
      </c>
      <c r="AF18" s="101">
        <v>21.864999999999998</v>
      </c>
      <c r="AG18" s="101">
        <v>19.902999999999999</v>
      </c>
      <c r="AH18" s="101">
        <v>23.646999999999998</v>
      </c>
      <c r="AI18" s="101">
        <v>24.173999999999999</v>
      </c>
      <c r="AJ18" s="101">
        <f t="shared" ref="AJ18:AJ22" si="27">SUM(AF18:AI18)</f>
        <v>89.588999999999999</v>
      </c>
      <c r="AK18" s="101">
        <v>20.864999999999998</v>
      </c>
      <c r="AL18" s="101">
        <v>21.216999999999999</v>
      </c>
      <c r="AM18" s="101">
        <v>27.355000000000004</v>
      </c>
      <c r="AN18" s="101">
        <v>27.256</v>
      </c>
      <c r="AO18" s="101">
        <f t="shared" ref="AO18:AO22" si="28">SUM(AK18:AN18)</f>
        <v>96.692999999999998</v>
      </c>
      <c r="AP18" s="101">
        <v>25.994</v>
      </c>
      <c r="AQ18" s="101">
        <v>27.393000000000001</v>
      </c>
      <c r="AR18" s="101">
        <v>26.438000000000002</v>
      </c>
      <c r="AS18" s="101">
        <v>27.265999999999998</v>
      </c>
      <c r="AT18" s="101">
        <f t="shared" ref="AT18:AT22" si="29">SUM(AP18:AS18)</f>
        <v>107.09100000000001</v>
      </c>
      <c r="AU18" s="101">
        <v>23.541</v>
      </c>
      <c r="AV18" s="101">
        <v>21.317</v>
      </c>
      <c r="AW18" s="101">
        <v>26.6</v>
      </c>
      <c r="AX18" s="101">
        <v>26.762999999999998</v>
      </c>
      <c r="AY18" s="101">
        <f t="shared" ref="AY18:AY22" si="30">SUM(AU18:AX18)</f>
        <v>98.221000000000004</v>
      </c>
      <c r="AZ18" s="101">
        <v>23.472999999999999</v>
      </c>
      <c r="BA18" s="101">
        <v>18.483000000000001</v>
      </c>
      <c r="BB18" s="101">
        <v>27.963999999999999</v>
      </c>
      <c r="BC18" s="101">
        <v>30.625999999999998</v>
      </c>
      <c r="BD18" s="101">
        <f t="shared" ref="BD18:BD22" si="31">SUM(AZ18:BC18)</f>
        <v>100.54599999999999</v>
      </c>
      <c r="BE18" s="101">
        <v>22.744</v>
      </c>
      <c r="BF18" s="101">
        <v>22.86</v>
      </c>
      <c r="BG18" s="101">
        <v>23.921999999999997</v>
      </c>
      <c r="BH18" s="101">
        <v>27.023000000000003</v>
      </c>
      <c r="BI18" s="101">
        <f t="shared" ref="BI18:BI22" si="32">SUM(BE18:BH18)</f>
        <v>96.549000000000007</v>
      </c>
      <c r="BJ18" s="101">
        <v>24.524000000000001</v>
      </c>
      <c r="BK18" s="101">
        <v>20.698</v>
      </c>
      <c r="BL18" s="101">
        <v>25.007000000000001</v>
      </c>
      <c r="BM18" s="101">
        <v>25</v>
      </c>
      <c r="BN18" s="101">
        <f t="shared" ref="BN18:BN22" si="33">SUM(BJ18:BM18)</f>
        <v>95.228999999999999</v>
      </c>
      <c r="BO18" s="101">
        <v>19.908999999999999</v>
      </c>
      <c r="BP18" s="101">
        <v>22.079000000000001</v>
      </c>
      <c r="BQ18" s="101">
        <v>21.484999999999999</v>
      </c>
      <c r="BR18" s="101">
        <v>26.812000000000001</v>
      </c>
      <c r="BS18" s="101">
        <f t="shared" ref="BS18:BS22" si="34">SUM(BO18:BR18)</f>
        <v>90.284999999999997</v>
      </c>
      <c r="BT18" s="101">
        <v>20.698999999999998</v>
      </c>
      <c r="BU18" s="101">
        <v>19.87</v>
      </c>
      <c r="BV18" s="101">
        <v>20.058</v>
      </c>
      <c r="BW18" s="101">
        <v>22.874000000000002</v>
      </c>
      <c r="BX18" s="101">
        <f t="shared" ref="BX18:BX22" si="35">SUM(BT18:BW18)</f>
        <v>83.501000000000005</v>
      </c>
      <c r="BY18" s="101">
        <v>21.988</v>
      </c>
      <c r="BZ18" s="101">
        <v>21.195</v>
      </c>
      <c r="CA18" s="101">
        <v>21.183</v>
      </c>
      <c r="CB18" s="105"/>
    </row>
    <row r="19" spans="1:80" ht="12.75" x14ac:dyDescent="0.2">
      <c r="A19" s="109" t="s">
        <v>125</v>
      </c>
      <c r="B19" s="101">
        <v>8.609</v>
      </c>
      <c r="C19" s="101">
        <v>8.3780000000000001</v>
      </c>
      <c r="D19" s="101">
        <v>9.995000000000001</v>
      </c>
      <c r="E19" s="101">
        <v>9.6120000000000001</v>
      </c>
      <c r="F19" s="101">
        <f t="shared" si="21"/>
        <v>36.594000000000001</v>
      </c>
      <c r="G19" s="101">
        <v>6.1929999999999996</v>
      </c>
      <c r="H19" s="101">
        <v>5.9370000000000003</v>
      </c>
      <c r="I19" s="101">
        <v>9.1460000000000008</v>
      </c>
      <c r="J19" s="101">
        <v>9.5650000000000013</v>
      </c>
      <c r="K19" s="101">
        <f t="shared" si="22"/>
        <v>30.841000000000001</v>
      </c>
      <c r="L19" s="101">
        <v>9.7970000000000006</v>
      </c>
      <c r="M19" s="101">
        <v>10.321</v>
      </c>
      <c r="N19" s="101">
        <v>11.631</v>
      </c>
      <c r="O19" s="101">
        <v>11.584999999999999</v>
      </c>
      <c r="P19" s="101">
        <f t="shared" si="23"/>
        <v>43.334000000000003</v>
      </c>
      <c r="Q19" s="101">
        <v>11.891999999999999</v>
      </c>
      <c r="R19" s="101">
        <v>11.486000000000001</v>
      </c>
      <c r="S19" s="101">
        <v>13.004</v>
      </c>
      <c r="T19" s="101">
        <v>12.865</v>
      </c>
      <c r="U19" s="101">
        <f t="shared" si="24"/>
        <v>49.247</v>
      </c>
      <c r="V19" s="101">
        <v>12.52</v>
      </c>
      <c r="W19" s="101">
        <v>12.228999999999999</v>
      </c>
      <c r="X19" s="101">
        <v>14.288</v>
      </c>
      <c r="Y19" s="101">
        <v>13.431999999999999</v>
      </c>
      <c r="Z19" s="101">
        <f t="shared" si="25"/>
        <v>52.468999999999994</v>
      </c>
      <c r="AA19" s="101">
        <v>12.812999999999999</v>
      </c>
      <c r="AB19" s="101">
        <v>15.064</v>
      </c>
      <c r="AC19" s="101">
        <v>16.301000000000002</v>
      </c>
      <c r="AD19" s="101">
        <v>16.513000000000002</v>
      </c>
      <c r="AE19" s="101">
        <f t="shared" si="26"/>
        <v>60.691000000000003</v>
      </c>
      <c r="AF19" s="101">
        <v>12.993</v>
      </c>
      <c r="AG19" s="101">
        <v>13.39</v>
      </c>
      <c r="AH19" s="101">
        <v>15.468</v>
      </c>
      <c r="AI19" s="101">
        <v>14.802</v>
      </c>
      <c r="AJ19" s="101">
        <f t="shared" si="27"/>
        <v>56.652999999999999</v>
      </c>
      <c r="AK19" s="101">
        <v>14.405000000000001</v>
      </c>
      <c r="AL19" s="101">
        <v>14.641000000000002</v>
      </c>
      <c r="AM19" s="101">
        <v>15.957999999999998</v>
      </c>
      <c r="AN19" s="101">
        <v>11.917</v>
      </c>
      <c r="AO19" s="101">
        <f t="shared" si="28"/>
        <v>56.921000000000006</v>
      </c>
      <c r="AP19" s="101">
        <v>10.579000000000001</v>
      </c>
      <c r="AQ19" s="101">
        <v>13.983000000000001</v>
      </c>
      <c r="AR19" s="101">
        <v>17.329000000000001</v>
      </c>
      <c r="AS19" s="101">
        <v>15.542999999999999</v>
      </c>
      <c r="AT19" s="101">
        <f t="shared" si="29"/>
        <v>57.434000000000005</v>
      </c>
      <c r="AU19" s="101">
        <v>15.622</v>
      </c>
      <c r="AV19" s="101">
        <v>13.234000000000002</v>
      </c>
      <c r="AW19" s="101">
        <v>15.234</v>
      </c>
      <c r="AX19" s="101">
        <v>15.631</v>
      </c>
      <c r="AY19" s="101">
        <f t="shared" si="30"/>
        <v>59.721000000000004</v>
      </c>
      <c r="AZ19" s="101">
        <v>14.887999999999998</v>
      </c>
      <c r="BA19" s="101">
        <v>15.055999999999999</v>
      </c>
      <c r="BB19" s="101">
        <v>17.503</v>
      </c>
      <c r="BC19" s="101">
        <v>14.373000000000001</v>
      </c>
      <c r="BD19" s="101">
        <f t="shared" si="31"/>
        <v>61.819999999999993</v>
      </c>
      <c r="BE19" s="101">
        <v>15.259999999999998</v>
      </c>
      <c r="BF19" s="101">
        <v>16.565999999999999</v>
      </c>
      <c r="BG19" s="101">
        <v>21.067</v>
      </c>
      <c r="BH19" s="101">
        <v>18.245000000000001</v>
      </c>
      <c r="BI19" s="101">
        <f t="shared" si="32"/>
        <v>71.138000000000005</v>
      </c>
      <c r="BJ19" s="101">
        <v>17.786999999999999</v>
      </c>
      <c r="BK19" s="101">
        <v>14.231</v>
      </c>
      <c r="BL19" s="101">
        <v>16.195</v>
      </c>
      <c r="BM19" s="101">
        <v>19.5</v>
      </c>
      <c r="BN19" s="101">
        <f t="shared" si="33"/>
        <v>67.712999999999994</v>
      </c>
      <c r="BO19" s="101">
        <v>22.200000000000003</v>
      </c>
      <c r="BP19" s="101">
        <v>20.154</v>
      </c>
      <c r="BQ19" s="101">
        <v>17.103999999999999</v>
      </c>
      <c r="BR19" s="101">
        <v>18.824000000000002</v>
      </c>
      <c r="BS19" s="101">
        <f t="shared" si="34"/>
        <v>78.281999999999996</v>
      </c>
      <c r="BT19" s="101">
        <v>16.48</v>
      </c>
      <c r="BU19" s="101">
        <v>20.622</v>
      </c>
      <c r="BV19" s="101">
        <v>15.998000000000001</v>
      </c>
      <c r="BW19" s="101">
        <v>16.186</v>
      </c>
      <c r="BX19" s="101">
        <f t="shared" si="35"/>
        <v>69.286000000000001</v>
      </c>
      <c r="BY19" s="101">
        <v>15.356999999999999</v>
      </c>
      <c r="BZ19" s="101">
        <v>17.593</v>
      </c>
      <c r="CA19" s="101">
        <v>18.18</v>
      </c>
      <c r="CB19" s="105"/>
    </row>
    <row r="20" spans="1:80" ht="12.75" x14ac:dyDescent="0.2">
      <c r="A20" s="109" t="s">
        <v>126</v>
      </c>
      <c r="B20" s="101">
        <v>4.8029999999999999</v>
      </c>
      <c r="C20" s="101">
        <v>5.9649999999999999</v>
      </c>
      <c r="D20" s="101">
        <v>5.9929999999999994</v>
      </c>
      <c r="E20" s="101">
        <v>6.2379999999999995</v>
      </c>
      <c r="F20" s="101">
        <f t="shared" si="21"/>
        <v>22.998999999999999</v>
      </c>
      <c r="G20" s="101">
        <v>5.1550000000000002</v>
      </c>
      <c r="H20" s="101">
        <v>5.681</v>
      </c>
      <c r="I20" s="101">
        <v>6.5659999999999998</v>
      </c>
      <c r="J20" s="101">
        <v>8.3409999999999993</v>
      </c>
      <c r="K20" s="101">
        <f t="shared" si="22"/>
        <v>25.743000000000002</v>
      </c>
      <c r="L20" s="101">
        <v>8.4880000000000013</v>
      </c>
      <c r="M20" s="101">
        <v>10.66</v>
      </c>
      <c r="N20" s="101">
        <v>9.7029999999999994</v>
      </c>
      <c r="O20" s="101">
        <v>9.0259999999999998</v>
      </c>
      <c r="P20" s="101">
        <f t="shared" si="23"/>
        <v>37.877000000000002</v>
      </c>
      <c r="Q20" s="101">
        <v>8.7169999999999987</v>
      </c>
      <c r="R20" s="101">
        <v>9.4320000000000004</v>
      </c>
      <c r="S20" s="101">
        <v>9.39</v>
      </c>
      <c r="T20" s="101">
        <v>8.9369999999999994</v>
      </c>
      <c r="U20" s="101">
        <f t="shared" si="24"/>
        <v>36.475999999999999</v>
      </c>
      <c r="V20" s="101">
        <v>8.6980000000000004</v>
      </c>
      <c r="W20" s="101">
        <v>9.6980000000000004</v>
      </c>
      <c r="X20" s="101">
        <v>9.5180000000000007</v>
      </c>
      <c r="Y20" s="101">
        <v>10.468</v>
      </c>
      <c r="Z20" s="101">
        <f t="shared" si="25"/>
        <v>38.382000000000005</v>
      </c>
      <c r="AA20" s="101">
        <v>10.206</v>
      </c>
      <c r="AB20" s="101">
        <v>12.214</v>
      </c>
      <c r="AC20" s="101">
        <v>10.074999999999999</v>
      </c>
      <c r="AD20" s="101">
        <v>12.062000000000001</v>
      </c>
      <c r="AE20" s="101">
        <f t="shared" si="26"/>
        <v>44.557000000000002</v>
      </c>
      <c r="AF20" s="101">
        <v>10.225999999999999</v>
      </c>
      <c r="AG20" s="101">
        <v>11.197000000000001</v>
      </c>
      <c r="AH20" s="101">
        <v>14.606</v>
      </c>
      <c r="AI20" s="101">
        <v>13.142000000000001</v>
      </c>
      <c r="AJ20" s="101">
        <f t="shared" si="27"/>
        <v>49.171000000000006</v>
      </c>
      <c r="AK20" s="101">
        <v>11.693999999999999</v>
      </c>
      <c r="AL20" s="101">
        <v>12.334</v>
      </c>
      <c r="AM20" s="101">
        <v>14.579999999999998</v>
      </c>
      <c r="AN20" s="101">
        <v>14.228</v>
      </c>
      <c r="AO20" s="101">
        <f t="shared" si="28"/>
        <v>52.835999999999999</v>
      </c>
      <c r="AP20" s="101">
        <v>12.081</v>
      </c>
      <c r="AQ20" s="101">
        <v>13.733000000000001</v>
      </c>
      <c r="AR20" s="101">
        <v>15.047000000000001</v>
      </c>
      <c r="AS20" s="101">
        <v>13.917</v>
      </c>
      <c r="AT20" s="101">
        <f t="shared" si="29"/>
        <v>54.778000000000006</v>
      </c>
      <c r="AU20" s="101">
        <v>14.141999999999999</v>
      </c>
      <c r="AV20" s="101">
        <v>16.033999999999999</v>
      </c>
      <c r="AW20" s="101">
        <v>15.817</v>
      </c>
      <c r="AX20" s="101">
        <v>18.62</v>
      </c>
      <c r="AY20" s="101">
        <f t="shared" si="30"/>
        <v>64.613</v>
      </c>
      <c r="AZ20" s="101">
        <v>15.574999999999999</v>
      </c>
      <c r="BA20" s="101">
        <v>16.316000000000003</v>
      </c>
      <c r="BB20" s="101">
        <v>21.321000000000002</v>
      </c>
      <c r="BC20" s="101">
        <v>21.02</v>
      </c>
      <c r="BD20" s="101">
        <f t="shared" si="31"/>
        <v>74.231999999999999</v>
      </c>
      <c r="BE20" s="101">
        <v>19.901</v>
      </c>
      <c r="BF20" s="101">
        <v>20.878</v>
      </c>
      <c r="BG20" s="101">
        <v>18.57</v>
      </c>
      <c r="BH20" s="101">
        <v>19.190999999999999</v>
      </c>
      <c r="BI20" s="101">
        <f t="shared" si="32"/>
        <v>78.539999999999992</v>
      </c>
      <c r="BJ20" s="101">
        <v>16.605</v>
      </c>
      <c r="BK20" s="101">
        <v>15.474</v>
      </c>
      <c r="BL20" s="101">
        <v>19.300999999999998</v>
      </c>
      <c r="BM20" s="101">
        <v>21.6</v>
      </c>
      <c r="BN20" s="101">
        <f t="shared" si="33"/>
        <v>72.97999999999999</v>
      </c>
      <c r="BO20" s="101">
        <v>19.669999999999998</v>
      </c>
      <c r="BP20" s="101">
        <v>18.867999999999999</v>
      </c>
      <c r="BQ20" s="101">
        <v>18.925000000000001</v>
      </c>
      <c r="BR20" s="101">
        <v>18.497</v>
      </c>
      <c r="BS20" s="101">
        <f t="shared" si="34"/>
        <v>75.959999999999994</v>
      </c>
      <c r="BT20" s="101">
        <v>16.895000000000003</v>
      </c>
      <c r="BU20" s="101">
        <v>20.085000000000001</v>
      </c>
      <c r="BV20" s="101">
        <v>20.12</v>
      </c>
      <c r="BW20" s="101">
        <v>20.039000000000001</v>
      </c>
      <c r="BX20" s="101">
        <f t="shared" si="35"/>
        <v>77.13900000000001</v>
      </c>
      <c r="BY20" s="101">
        <v>18.517000000000003</v>
      </c>
      <c r="BZ20" s="101">
        <v>22.076000000000001</v>
      </c>
      <c r="CA20" s="101">
        <v>21.666</v>
      </c>
      <c r="CB20" s="105"/>
    </row>
    <row r="21" spans="1:80" ht="12.75" x14ac:dyDescent="0.2">
      <c r="A21" s="98" t="s">
        <v>128</v>
      </c>
      <c r="B21" s="99">
        <v>5.4320000000000004</v>
      </c>
      <c r="C21" s="99">
        <v>5.8119999999999994</v>
      </c>
      <c r="D21" s="99">
        <v>7.1539999999999999</v>
      </c>
      <c r="E21" s="99">
        <v>4.9559999999999995</v>
      </c>
      <c r="F21" s="99">
        <f t="shared" si="21"/>
        <v>23.353999999999999</v>
      </c>
      <c r="G21" s="99">
        <v>1.9039999999999999</v>
      </c>
      <c r="H21" s="99">
        <v>4.0380000000000003</v>
      </c>
      <c r="I21" s="99">
        <v>5.173</v>
      </c>
      <c r="J21" s="99">
        <v>5.8179999999999996</v>
      </c>
      <c r="K21" s="99">
        <f t="shared" si="22"/>
        <v>16.933</v>
      </c>
      <c r="L21" s="99">
        <v>4.7860000000000005</v>
      </c>
      <c r="M21" s="99">
        <v>6.2409999999999997</v>
      </c>
      <c r="N21" s="99">
        <v>7.8729999999999993</v>
      </c>
      <c r="O21" s="99">
        <v>9.7489999999999988</v>
      </c>
      <c r="P21" s="99">
        <f t="shared" si="23"/>
        <v>28.648999999999997</v>
      </c>
      <c r="Q21" s="99">
        <v>6.1770000000000005</v>
      </c>
      <c r="R21" s="99">
        <v>2.931</v>
      </c>
      <c r="S21" s="99">
        <v>6.1950000000000003</v>
      </c>
      <c r="T21" s="99">
        <v>4.5169999999999995</v>
      </c>
      <c r="U21" s="99">
        <f t="shared" si="24"/>
        <v>19.82</v>
      </c>
      <c r="V21" s="99">
        <v>3.234</v>
      </c>
      <c r="W21" s="99">
        <v>3.7359999999999998</v>
      </c>
      <c r="X21" s="99">
        <v>5.6630000000000003</v>
      </c>
      <c r="Y21" s="99">
        <v>4.8150000000000004</v>
      </c>
      <c r="Z21" s="99">
        <f t="shared" si="25"/>
        <v>17.448</v>
      </c>
      <c r="AA21" s="99">
        <v>3.9329999999999998</v>
      </c>
      <c r="AB21" s="99">
        <v>4.8460000000000001</v>
      </c>
      <c r="AC21" s="99">
        <v>5.1310000000000002</v>
      </c>
      <c r="AD21" s="99">
        <v>9.4009999999999998</v>
      </c>
      <c r="AE21" s="99">
        <f t="shared" si="26"/>
        <v>23.311</v>
      </c>
      <c r="AF21" s="99">
        <v>4.1840000000000002</v>
      </c>
      <c r="AG21" s="99">
        <v>3.4550000000000001</v>
      </c>
      <c r="AH21" s="99">
        <v>3.8330000000000002</v>
      </c>
      <c r="AI21" s="99">
        <v>2.4290000000000003</v>
      </c>
      <c r="AJ21" s="99">
        <f t="shared" si="27"/>
        <v>13.901000000000002</v>
      </c>
      <c r="AK21" s="99">
        <v>2.4119999999999999</v>
      </c>
      <c r="AL21" s="99">
        <v>5.2110000000000003</v>
      </c>
      <c r="AM21" s="99">
        <v>4.9689999999999994</v>
      </c>
      <c r="AN21" s="99">
        <v>2.7869999999999999</v>
      </c>
      <c r="AO21" s="99">
        <f t="shared" si="28"/>
        <v>15.378999999999998</v>
      </c>
      <c r="AP21" s="99">
        <v>3.0750000000000002</v>
      </c>
      <c r="AQ21" s="99">
        <v>3.8479999999999999</v>
      </c>
      <c r="AR21" s="99">
        <v>4.2190000000000003</v>
      </c>
      <c r="AS21" s="99">
        <v>5.4700000000000006</v>
      </c>
      <c r="AT21" s="99">
        <f t="shared" si="29"/>
        <v>16.612000000000002</v>
      </c>
      <c r="AU21" s="99">
        <v>5.8369999999999997</v>
      </c>
      <c r="AV21" s="99">
        <v>3.67</v>
      </c>
      <c r="AW21" s="99">
        <v>4.673</v>
      </c>
      <c r="AX21" s="99">
        <v>5.0869999999999997</v>
      </c>
      <c r="AY21" s="99">
        <f t="shared" si="30"/>
        <v>19.266999999999999</v>
      </c>
      <c r="AZ21" s="99">
        <v>4.891</v>
      </c>
      <c r="BA21" s="99">
        <v>6.2989999999999995</v>
      </c>
      <c r="BB21" s="99">
        <v>9.8379999999999992</v>
      </c>
      <c r="BC21" s="99">
        <v>5.5470000000000006</v>
      </c>
      <c r="BD21" s="99">
        <f t="shared" si="31"/>
        <v>26.574999999999999</v>
      </c>
      <c r="BE21" s="99">
        <v>5.3079999999999998</v>
      </c>
      <c r="BF21" s="99">
        <v>7.74</v>
      </c>
      <c r="BG21" s="99">
        <v>7.0020000000000007</v>
      </c>
      <c r="BH21" s="99">
        <v>9.6769999999999996</v>
      </c>
      <c r="BI21" s="99">
        <f t="shared" si="32"/>
        <v>29.727</v>
      </c>
      <c r="BJ21" s="99">
        <v>13.158999999999999</v>
      </c>
      <c r="BK21" s="99">
        <v>7.7970000000000006</v>
      </c>
      <c r="BL21" s="99">
        <v>12.827</v>
      </c>
      <c r="BM21" s="99">
        <v>11.6</v>
      </c>
      <c r="BN21" s="99">
        <f t="shared" si="33"/>
        <v>45.383000000000003</v>
      </c>
      <c r="BO21" s="99">
        <v>14.909000000000001</v>
      </c>
      <c r="BP21" s="99">
        <v>18.202999999999999</v>
      </c>
      <c r="BQ21" s="99">
        <v>22.8</v>
      </c>
      <c r="BR21" s="99">
        <v>18.452999999999999</v>
      </c>
      <c r="BS21" s="99">
        <f t="shared" si="34"/>
        <v>74.365000000000009</v>
      </c>
      <c r="BT21" s="99">
        <v>19.564</v>
      </c>
      <c r="BU21" s="99">
        <v>23.064</v>
      </c>
      <c r="BV21" s="99">
        <v>22.271999999999998</v>
      </c>
      <c r="BW21" s="99">
        <v>18.524000000000001</v>
      </c>
      <c r="BX21" s="99">
        <f t="shared" si="35"/>
        <v>83.424000000000007</v>
      </c>
      <c r="BY21" s="99">
        <v>14.472999999999999</v>
      </c>
      <c r="BZ21" s="99">
        <v>18.5</v>
      </c>
      <c r="CA21" s="99">
        <v>30.094999999999999</v>
      </c>
      <c r="CB21" s="105"/>
    </row>
    <row r="22" spans="1:80" ht="12.75" x14ac:dyDescent="0.2">
      <c r="A22" s="98" t="s">
        <v>129</v>
      </c>
      <c r="B22" s="99">
        <v>16.075000000000003</v>
      </c>
      <c r="C22" s="99">
        <v>15.154</v>
      </c>
      <c r="D22" s="99">
        <v>19.808</v>
      </c>
      <c r="E22" s="99">
        <v>15.850999999999999</v>
      </c>
      <c r="F22" s="99">
        <f t="shared" si="21"/>
        <v>66.888000000000005</v>
      </c>
      <c r="G22" s="99">
        <v>12.132999999999999</v>
      </c>
      <c r="H22" s="99">
        <v>21.73</v>
      </c>
      <c r="I22" s="99">
        <v>20.085000000000001</v>
      </c>
      <c r="J22" s="99">
        <v>13.899999999999999</v>
      </c>
      <c r="K22" s="99">
        <f t="shared" si="22"/>
        <v>67.847999999999999</v>
      </c>
      <c r="L22" s="99">
        <v>11.161</v>
      </c>
      <c r="M22" s="99">
        <v>16.231999999999999</v>
      </c>
      <c r="N22" s="99">
        <v>19.305999999999997</v>
      </c>
      <c r="O22" s="99">
        <v>17.448</v>
      </c>
      <c r="P22" s="99">
        <f t="shared" si="23"/>
        <v>64.146999999999991</v>
      </c>
      <c r="Q22" s="99">
        <v>15.016999999999999</v>
      </c>
      <c r="R22" s="99">
        <v>16.684000000000001</v>
      </c>
      <c r="S22" s="99">
        <v>25.054000000000002</v>
      </c>
      <c r="T22" s="99">
        <v>10.469999999999999</v>
      </c>
      <c r="U22" s="99">
        <f t="shared" si="24"/>
        <v>67.224999999999994</v>
      </c>
      <c r="V22" s="99">
        <v>18.155999999999999</v>
      </c>
      <c r="W22" s="99">
        <v>16.716999999999999</v>
      </c>
      <c r="X22" s="99">
        <v>22.513999999999999</v>
      </c>
      <c r="Y22" s="99">
        <v>16.911999999999999</v>
      </c>
      <c r="Z22" s="99">
        <f t="shared" si="25"/>
        <v>74.299000000000007</v>
      </c>
      <c r="AA22" s="99">
        <v>15.548999999999999</v>
      </c>
      <c r="AB22" s="99">
        <v>19.356999999999999</v>
      </c>
      <c r="AC22" s="99">
        <v>23.573999999999998</v>
      </c>
      <c r="AD22" s="99">
        <v>16.766999999999999</v>
      </c>
      <c r="AE22" s="99">
        <f t="shared" si="26"/>
        <v>75.247</v>
      </c>
      <c r="AF22" s="99">
        <v>20.902000000000001</v>
      </c>
      <c r="AG22" s="99">
        <v>15.937000000000001</v>
      </c>
      <c r="AH22" s="99">
        <v>21.448</v>
      </c>
      <c r="AI22" s="99">
        <v>20.367999999999999</v>
      </c>
      <c r="AJ22" s="99">
        <f t="shared" si="27"/>
        <v>78.655000000000001</v>
      </c>
      <c r="AK22" s="99">
        <v>13.963000000000001</v>
      </c>
      <c r="AL22" s="99">
        <v>15.125</v>
      </c>
      <c r="AM22" s="99">
        <v>22.921999999999997</v>
      </c>
      <c r="AN22" s="99">
        <v>18.358000000000001</v>
      </c>
      <c r="AO22" s="99">
        <f t="shared" si="28"/>
        <v>70.367999999999995</v>
      </c>
      <c r="AP22" s="99">
        <v>17.754000000000001</v>
      </c>
      <c r="AQ22" s="99">
        <v>18.911999999999999</v>
      </c>
      <c r="AR22" s="99">
        <v>22.204000000000001</v>
      </c>
      <c r="AS22" s="99">
        <v>15.493</v>
      </c>
      <c r="AT22" s="99">
        <f t="shared" si="29"/>
        <v>74.363</v>
      </c>
      <c r="AU22" s="99">
        <v>17.304000000000002</v>
      </c>
      <c r="AV22" s="99">
        <v>15.274999999999999</v>
      </c>
      <c r="AW22" s="99">
        <v>16.823999999999998</v>
      </c>
      <c r="AX22" s="99">
        <v>15.89</v>
      </c>
      <c r="AY22" s="99">
        <f t="shared" si="30"/>
        <v>65.293000000000006</v>
      </c>
      <c r="AZ22" s="99">
        <v>10.286</v>
      </c>
      <c r="BA22" s="99">
        <v>12.847000000000001</v>
      </c>
      <c r="BB22" s="99">
        <v>19.413</v>
      </c>
      <c r="BC22" s="99">
        <v>16.936</v>
      </c>
      <c r="BD22" s="99">
        <f t="shared" si="31"/>
        <v>59.482000000000006</v>
      </c>
      <c r="BE22" s="99">
        <v>14.365000000000002</v>
      </c>
      <c r="BF22" s="99">
        <v>10.227</v>
      </c>
      <c r="BG22" s="99">
        <v>19.402999999999999</v>
      </c>
      <c r="BH22" s="99">
        <v>14.498999999999999</v>
      </c>
      <c r="BI22" s="99">
        <f t="shared" si="32"/>
        <v>58.494</v>
      </c>
      <c r="BJ22" s="99">
        <v>15.156000000000001</v>
      </c>
      <c r="BK22" s="99">
        <v>14.04</v>
      </c>
      <c r="BL22" s="99">
        <v>17.844999999999999</v>
      </c>
      <c r="BM22" s="99">
        <v>14.1</v>
      </c>
      <c r="BN22" s="99">
        <f t="shared" si="33"/>
        <v>61.140999999999998</v>
      </c>
      <c r="BO22" s="99">
        <v>13.068</v>
      </c>
      <c r="BP22" s="99">
        <v>15.442</v>
      </c>
      <c r="BQ22" s="99">
        <v>13.275</v>
      </c>
      <c r="BR22" s="99">
        <v>15.714</v>
      </c>
      <c r="BS22" s="99">
        <f t="shared" si="34"/>
        <v>57.498999999999995</v>
      </c>
      <c r="BT22" s="99">
        <v>12.309999999999999</v>
      </c>
      <c r="BU22" s="99">
        <v>14.751000000000001</v>
      </c>
      <c r="BV22" s="99">
        <v>18.029</v>
      </c>
      <c r="BW22" s="99">
        <v>13.186</v>
      </c>
      <c r="BX22" s="99">
        <f t="shared" si="35"/>
        <v>58.276000000000003</v>
      </c>
      <c r="BY22" s="99">
        <v>20.331</v>
      </c>
      <c r="BZ22" s="99">
        <v>14.311999999999999</v>
      </c>
      <c r="CA22" s="99">
        <v>15.537000000000001</v>
      </c>
      <c r="CB22" s="105"/>
    </row>
    <row r="23" spans="1:80" ht="12.75" x14ac:dyDescent="0.2">
      <c r="A23" s="110" t="s">
        <v>132</v>
      </c>
      <c r="B23" s="111">
        <f t="shared" ref="B23:BL23" si="36">B17+B22+B21</f>
        <v>56.600999999999999</v>
      </c>
      <c r="C23" s="111">
        <f t="shared" si="36"/>
        <v>55.821999999999989</v>
      </c>
      <c r="D23" s="111">
        <f t="shared" si="36"/>
        <v>64.018000000000001</v>
      </c>
      <c r="E23" s="111">
        <f t="shared" si="36"/>
        <v>59.370999999999995</v>
      </c>
      <c r="F23" s="111">
        <f t="shared" si="36"/>
        <v>235.81200000000001</v>
      </c>
      <c r="G23" s="111">
        <f t="shared" si="36"/>
        <v>46.24499999999999</v>
      </c>
      <c r="H23" s="111">
        <f t="shared" si="36"/>
        <v>62.468999999999994</v>
      </c>
      <c r="I23" s="111">
        <f t="shared" si="36"/>
        <v>62.943000000000005</v>
      </c>
      <c r="J23" s="111">
        <f t="shared" si="36"/>
        <v>62.031999999999996</v>
      </c>
      <c r="K23" s="111">
        <f t="shared" si="36"/>
        <v>233.68899999999996</v>
      </c>
      <c r="L23" s="111">
        <f t="shared" si="36"/>
        <v>53.654000000000003</v>
      </c>
      <c r="M23" s="111">
        <f t="shared" si="36"/>
        <v>63.930999999999997</v>
      </c>
      <c r="N23" s="111">
        <f t="shared" si="36"/>
        <v>70.704999999999998</v>
      </c>
      <c r="O23" s="111">
        <f t="shared" si="36"/>
        <v>74.185000000000002</v>
      </c>
      <c r="P23" s="111">
        <f t="shared" si="36"/>
        <v>262.47500000000002</v>
      </c>
      <c r="Q23" s="111">
        <f t="shared" si="36"/>
        <v>61.859000000000002</v>
      </c>
      <c r="R23" s="111">
        <f t="shared" si="36"/>
        <v>61.296999999999997</v>
      </c>
      <c r="S23" s="111">
        <f t="shared" si="36"/>
        <v>77.683999999999997</v>
      </c>
      <c r="T23" s="111">
        <f t="shared" si="36"/>
        <v>61.353999999999999</v>
      </c>
      <c r="U23" s="111">
        <f t="shared" si="36"/>
        <v>262.19400000000002</v>
      </c>
      <c r="V23" s="111">
        <f t="shared" si="36"/>
        <v>63.524000000000001</v>
      </c>
      <c r="W23" s="111">
        <f t="shared" si="36"/>
        <v>62.762999999999998</v>
      </c>
      <c r="X23" s="111">
        <f t="shared" si="36"/>
        <v>74.53</v>
      </c>
      <c r="Y23" s="111">
        <f t="shared" si="36"/>
        <v>71.496999999999986</v>
      </c>
      <c r="Z23" s="111">
        <f t="shared" si="36"/>
        <v>272.31400000000002</v>
      </c>
      <c r="AA23" s="111">
        <f t="shared" si="36"/>
        <v>61.747</v>
      </c>
      <c r="AB23" s="111">
        <f t="shared" si="36"/>
        <v>69.731999999999999</v>
      </c>
      <c r="AC23" s="111">
        <f t="shared" si="36"/>
        <v>76.116</v>
      </c>
      <c r="AD23" s="111">
        <f t="shared" si="36"/>
        <v>82.009999999999991</v>
      </c>
      <c r="AE23" s="111">
        <f t="shared" si="36"/>
        <v>289.60500000000002</v>
      </c>
      <c r="AF23" s="111">
        <f t="shared" si="36"/>
        <v>70.169999999999987</v>
      </c>
      <c r="AG23" s="111">
        <f t="shared" si="36"/>
        <v>63.882000000000005</v>
      </c>
      <c r="AH23" s="111">
        <f t="shared" si="36"/>
        <v>79.001999999999995</v>
      </c>
      <c r="AI23" s="111">
        <f t="shared" si="36"/>
        <v>74.915000000000006</v>
      </c>
      <c r="AJ23" s="111">
        <f t="shared" si="36"/>
        <v>287.96899999999999</v>
      </c>
      <c r="AK23" s="111">
        <f t="shared" si="36"/>
        <v>63.338999999999999</v>
      </c>
      <c r="AL23" s="111">
        <f t="shared" si="36"/>
        <v>68.528000000000006</v>
      </c>
      <c r="AM23" s="111">
        <f t="shared" si="36"/>
        <v>85.783999999999992</v>
      </c>
      <c r="AN23" s="111">
        <f t="shared" si="36"/>
        <v>74.546000000000006</v>
      </c>
      <c r="AO23" s="111">
        <f t="shared" si="36"/>
        <v>292.197</v>
      </c>
      <c r="AP23" s="111">
        <f t="shared" si="36"/>
        <v>69.483000000000004</v>
      </c>
      <c r="AQ23" s="111">
        <f t="shared" si="36"/>
        <v>77.869000000000014</v>
      </c>
      <c r="AR23" s="111">
        <f t="shared" si="36"/>
        <v>85.236999999999995</v>
      </c>
      <c r="AS23" s="111">
        <f t="shared" si="36"/>
        <v>77.688999999999993</v>
      </c>
      <c r="AT23" s="111">
        <f t="shared" si="36"/>
        <v>310.27800000000002</v>
      </c>
      <c r="AU23" s="111">
        <f t="shared" si="36"/>
        <v>76.445999999999998</v>
      </c>
      <c r="AV23" s="111">
        <f t="shared" si="36"/>
        <v>69.53</v>
      </c>
      <c r="AW23" s="111">
        <f t="shared" si="36"/>
        <v>79.147999999999996</v>
      </c>
      <c r="AX23" s="111">
        <f t="shared" si="36"/>
        <v>81.991</v>
      </c>
      <c r="AY23" s="111">
        <f t="shared" si="36"/>
        <v>307.11500000000001</v>
      </c>
      <c r="AZ23" s="111">
        <f t="shared" si="36"/>
        <v>69.113</v>
      </c>
      <c r="BA23" s="111">
        <f t="shared" si="36"/>
        <v>69.001000000000005</v>
      </c>
      <c r="BB23" s="111">
        <f t="shared" si="36"/>
        <v>96.038999999999987</v>
      </c>
      <c r="BC23" s="111">
        <f t="shared" si="36"/>
        <v>88.501999999999981</v>
      </c>
      <c r="BD23" s="111">
        <f t="shared" si="36"/>
        <v>322.65499999999997</v>
      </c>
      <c r="BE23" s="111">
        <f t="shared" si="36"/>
        <v>77.578000000000003</v>
      </c>
      <c r="BF23" s="111">
        <f t="shared" si="36"/>
        <v>78.271000000000001</v>
      </c>
      <c r="BG23" s="111">
        <f t="shared" si="36"/>
        <v>89.963999999999984</v>
      </c>
      <c r="BH23" s="111">
        <f t="shared" si="36"/>
        <v>88.634999999999991</v>
      </c>
      <c r="BI23" s="111">
        <f t="shared" si="36"/>
        <v>334.44799999999998</v>
      </c>
      <c r="BJ23" s="111">
        <f t="shared" si="36"/>
        <v>87.230999999999995</v>
      </c>
      <c r="BK23" s="111">
        <f t="shared" si="36"/>
        <v>72.240000000000009</v>
      </c>
      <c r="BL23" s="111">
        <f t="shared" si="36"/>
        <v>91.174999999999997</v>
      </c>
      <c r="BM23" s="111">
        <v>91.7</v>
      </c>
      <c r="BN23" s="111">
        <f>BN17+BN22+BN21</f>
        <v>342.44599999999997</v>
      </c>
      <c r="BO23" s="111">
        <v>89.756</v>
      </c>
      <c r="BP23" s="111">
        <f t="shared" ref="BP23:BX23" si="37">BP17+BP22+BP21</f>
        <v>94.746000000000009</v>
      </c>
      <c r="BQ23" s="111">
        <f t="shared" si="37"/>
        <v>93.588999999999999</v>
      </c>
      <c r="BR23" s="111">
        <f t="shared" si="37"/>
        <v>98.300000000000011</v>
      </c>
      <c r="BS23" s="111">
        <f t="shared" si="37"/>
        <v>376.39099999999996</v>
      </c>
      <c r="BT23" s="111">
        <f t="shared" si="37"/>
        <v>85.948000000000008</v>
      </c>
      <c r="BU23" s="111">
        <f t="shared" si="37"/>
        <v>98.391999999999996</v>
      </c>
      <c r="BV23" s="111">
        <f t="shared" si="37"/>
        <v>96.477000000000004</v>
      </c>
      <c r="BW23" s="111">
        <f t="shared" si="37"/>
        <v>90.808999999999997</v>
      </c>
      <c r="BX23" s="111">
        <f t="shared" si="37"/>
        <v>371.62599999999998</v>
      </c>
      <c r="BY23" s="111">
        <v>90.665999999999997</v>
      </c>
      <c r="BZ23" s="111">
        <v>93.676000000000002</v>
      </c>
      <c r="CA23" s="111">
        <v>106.661</v>
      </c>
      <c r="CB23" s="105"/>
    </row>
    <row r="24" spans="1:80" ht="12.75" customHeight="1" x14ac:dyDescent="0.2">
      <c r="A24" s="112"/>
      <c r="B24" s="113"/>
      <c r="C24" s="113"/>
      <c r="D24" s="113"/>
      <c r="E24" s="113"/>
      <c r="F24" s="114"/>
      <c r="G24" s="113"/>
      <c r="H24" s="113"/>
      <c r="I24" s="113"/>
      <c r="J24" s="113"/>
      <c r="K24" s="114"/>
      <c r="L24" s="113"/>
      <c r="M24" s="113"/>
      <c r="N24" s="113"/>
      <c r="O24" s="113"/>
      <c r="P24" s="114"/>
      <c r="Q24" s="113"/>
      <c r="R24" s="113"/>
      <c r="S24" s="113"/>
      <c r="T24" s="113"/>
      <c r="U24" s="114"/>
      <c r="V24" s="113"/>
      <c r="W24" s="113"/>
      <c r="X24" s="113"/>
      <c r="Y24" s="113"/>
      <c r="Z24" s="114"/>
      <c r="AA24" s="113"/>
      <c r="AB24" s="113"/>
      <c r="AC24" s="113"/>
      <c r="AD24" s="113"/>
      <c r="AE24" s="114"/>
      <c r="AF24" s="113"/>
      <c r="AG24" s="113"/>
      <c r="AH24" s="113"/>
      <c r="AI24" s="113"/>
      <c r="AJ24" s="114"/>
      <c r="AK24" s="113"/>
      <c r="AL24" s="113"/>
      <c r="AM24" s="113"/>
      <c r="AN24" s="113"/>
      <c r="AO24" s="114"/>
      <c r="AP24" s="113"/>
      <c r="AQ24" s="113"/>
      <c r="AR24" s="113"/>
      <c r="AS24" s="113"/>
      <c r="AT24" s="114"/>
      <c r="AU24" s="113"/>
      <c r="AV24" s="113"/>
      <c r="AW24" s="113"/>
      <c r="AX24" s="113"/>
      <c r="AY24" s="114"/>
      <c r="AZ24" s="113"/>
      <c r="BA24" s="113"/>
      <c r="BB24" s="113"/>
      <c r="BC24" s="113"/>
      <c r="BD24" s="114"/>
      <c r="BE24" s="113"/>
      <c r="BF24" s="113"/>
      <c r="BG24" s="113"/>
      <c r="BH24" s="113"/>
      <c r="BI24" s="114"/>
      <c r="BJ24" s="113"/>
      <c r="BK24" s="113"/>
      <c r="BL24" s="113"/>
      <c r="BM24" s="113"/>
      <c r="BN24" s="114"/>
      <c r="BO24" s="113"/>
      <c r="BP24" s="113"/>
      <c r="BQ24" s="113"/>
      <c r="BR24" s="113"/>
      <c r="BS24" s="114"/>
      <c r="BT24" s="113"/>
      <c r="BU24" s="113"/>
      <c r="BV24" s="113"/>
      <c r="BW24" s="113"/>
      <c r="BX24" s="114"/>
      <c r="BY24" s="113"/>
      <c r="BZ24" s="113"/>
      <c r="CA24" s="113"/>
      <c r="CB24" s="105"/>
    </row>
    <row r="25" spans="1:80" ht="12.75" x14ac:dyDescent="0.2">
      <c r="A25" s="115" t="s">
        <v>133</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05"/>
    </row>
    <row r="26" spans="1:80" ht="12.75" x14ac:dyDescent="0.2">
      <c r="A26" s="117" t="s">
        <v>134</v>
      </c>
      <c r="B26" s="116">
        <f t="shared" ref="B26:BL26" si="38">B7+B17</f>
        <v>105.187</v>
      </c>
      <c r="C26" s="116">
        <f t="shared" si="38"/>
        <v>109.312</v>
      </c>
      <c r="D26" s="116">
        <f t="shared" si="38"/>
        <v>119.80800000000002</v>
      </c>
      <c r="E26" s="116">
        <f t="shared" si="38"/>
        <v>122.61799999999999</v>
      </c>
      <c r="F26" s="116">
        <f t="shared" si="38"/>
        <v>456.92499999999995</v>
      </c>
      <c r="G26" s="116">
        <f t="shared" si="38"/>
        <v>97.802999999999997</v>
      </c>
      <c r="H26" s="116">
        <f t="shared" si="38"/>
        <v>114.816</v>
      </c>
      <c r="I26" s="116">
        <f t="shared" si="38"/>
        <v>119.71599999999999</v>
      </c>
      <c r="J26" s="116">
        <f t="shared" si="38"/>
        <v>119.65899999999999</v>
      </c>
      <c r="K26" s="116">
        <f t="shared" si="38"/>
        <v>451.99400000000003</v>
      </c>
      <c r="L26" s="116">
        <f t="shared" si="38"/>
        <v>104.023</v>
      </c>
      <c r="M26" s="116">
        <f t="shared" si="38"/>
        <v>114.756</v>
      </c>
      <c r="N26" s="116">
        <f t="shared" si="38"/>
        <v>126.423</v>
      </c>
      <c r="O26" s="116">
        <f t="shared" si="38"/>
        <v>126.61399999999999</v>
      </c>
      <c r="P26" s="116">
        <f t="shared" si="38"/>
        <v>471.81600000000003</v>
      </c>
      <c r="Q26" s="116">
        <f t="shared" si="38"/>
        <v>110.70699999999999</v>
      </c>
      <c r="R26" s="116">
        <f t="shared" si="38"/>
        <v>123.40499999999999</v>
      </c>
      <c r="S26" s="116">
        <f t="shared" si="38"/>
        <v>137.94799999999998</v>
      </c>
      <c r="T26" s="116">
        <f t="shared" si="38"/>
        <v>129.63900000000001</v>
      </c>
      <c r="U26" s="116">
        <f t="shared" si="38"/>
        <v>501.69900000000001</v>
      </c>
      <c r="V26" s="116">
        <f t="shared" si="38"/>
        <v>119.196</v>
      </c>
      <c r="W26" s="116">
        <f t="shared" si="38"/>
        <v>120.34800000000001</v>
      </c>
      <c r="X26" s="116">
        <f t="shared" si="38"/>
        <v>135.11500000000001</v>
      </c>
      <c r="Y26" s="116">
        <f t="shared" si="38"/>
        <v>135.51</v>
      </c>
      <c r="Z26" s="116">
        <f t="shared" si="38"/>
        <v>510.16899999999998</v>
      </c>
      <c r="AA26" s="116">
        <f t="shared" si="38"/>
        <v>115.53100000000001</v>
      </c>
      <c r="AB26" s="116">
        <f t="shared" si="38"/>
        <v>132.26599999999999</v>
      </c>
      <c r="AC26" s="116">
        <f t="shared" si="38"/>
        <v>137.26900000000001</v>
      </c>
      <c r="AD26" s="116">
        <f t="shared" si="38"/>
        <v>149.839</v>
      </c>
      <c r="AE26" s="116">
        <f t="shared" si="38"/>
        <v>534.90500000000009</v>
      </c>
      <c r="AF26" s="116">
        <f t="shared" si="38"/>
        <v>119.54400000000001</v>
      </c>
      <c r="AG26" s="116">
        <f t="shared" si="38"/>
        <v>121.84</v>
      </c>
      <c r="AH26" s="116">
        <f t="shared" si="38"/>
        <v>144.791</v>
      </c>
      <c r="AI26" s="116">
        <f t="shared" si="38"/>
        <v>138.279</v>
      </c>
      <c r="AJ26" s="116">
        <f t="shared" si="38"/>
        <v>524.45399999999995</v>
      </c>
      <c r="AK26" s="116">
        <f t="shared" si="38"/>
        <v>120.67399999999999</v>
      </c>
      <c r="AL26" s="116">
        <f t="shared" si="38"/>
        <v>131.38600000000002</v>
      </c>
      <c r="AM26" s="116">
        <f t="shared" si="38"/>
        <v>149.52799999999999</v>
      </c>
      <c r="AN26" s="116">
        <f t="shared" si="38"/>
        <v>142.91300000000001</v>
      </c>
      <c r="AO26" s="116">
        <f t="shared" si="38"/>
        <v>544.50099999999998</v>
      </c>
      <c r="AP26" s="116">
        <f t="shared" si="38"/>
        <v>129.13900000000001</v>
      </c>
      <c r="AQ26" s="116">
        <f t="shared" si="38"/>
        <v>143.268</v>
      </c>
      <c r="AR26" s="116">
        <f t="shared" si="38"/>
        <v>151.5</v>
      </c>
      <c r="AS26" s="116">
        <f t="shared" si="38"/>
        <v>142.137</v>
      </c>
      <c r="AT26" s="116">
        <f t="shared" si="38"/>
        <v>566.0440000000001</v>
      </c>
      <c r="AU26" s="116">
        <f t="shared" si="38"/>
        <v>134.89699999999999</v>
      </c>
      <c r="AV26" s="116">
        <f t="shared" si="38"/>
        <v>138.00399999999999</v>
      </c>
      <c r="AW26" s="116">
        <f t="shared" si="38"/>
        <v>154.09399999999999</v>
      </c>
      <c r="AX26" s="116">
        <f t="shared" si="38"/>
        <v>152.80699999999999</v>
      </c>
      <c r="AY26" s="116">
        <f t="shared" si="38"/>
        <v>579.80200000000002</v>
      </c>
      <c r="AZ26" s="116">
        <f t="shared" si="38"/>
        <v>141.36699999999999</v>
      </c>
      <c r="BA26" s="116">
        <f t="shared" si="38"/>
        <v>127.69600000000001</v>
      </c>
      <c r="BB26" s="116">
        <f t="shared" si="38"/>
        <v>163.84899999999999</v>
      </c>
      <c r="BC26" s="116">
        <f t="shared" si="38"/>
        <v>162.36899999999997</v>
      </c>
      <c r="BD26" s="116">
        <f t="shared" si="38"/>
        <v>595.28099999999995</v>
      </c>
      <c r="BE26" s="116">
        <f t="shared" si="38"/>
        <v>146.553</v>
      </c>
      <c r="BF26" s="116">
        <f t="shared" si="38"/>
        <v>148.50299999999999</v>
      </c>
      <c r="BG26" s="116">
        <f t="shared" si="38"/>
        <v>160.31099999999998</v>
      </c>
      <c r="BH26" s="116">
        <f t="shared" si="38"/>
        <v>155.71299999999999</v>
      </c>
      <c r="BI26" s="116">
        <f t="shared" si="38"/>
        <v>611.08000000000004</v>
      </c>
      <c r="BJ26" s="116">
        <f t="shared" si="38"/>
        <v>143.33699999999999</v>
      </c>
      <c r="BK26" s="116">
        <f t="shared" si="38"/>
        <v>131.197</v>
      </c>
      <c r="BL26" s="116">
        <f t="shared" si="38"/>
        <v>153.07599999999999</v>
      </c>
      <c r="BM26" s="116">
        <v>154.19999999999999</v>
      </c>
      <c r="BN26" s="116">
        <f t="shared" ref="BN26:BY26" si="39">BN7+BN17</f>
        <v>581.80099999999993</v>
      </c>
      <c r="BO26" s="116">
        <f t="shared" si="39"/>
        <v>150.04</v>
      </c>
      <c r="BP26" s="116">
        <f t="shared" si="39"/>
        <v>148.00800000000001</v>
      </c>
      <c r="BQ26" s="116">
        <f t="shared" si="39"/>
        <v>136.71100000000001</v>
      </c>
      <c r="BR26" s="116">
        <f t="shared" si="39"/>
        <v>142.84700000000001</v>
      </c>
      <c r="BS26" s="116">
        <f t="shared" si="39"/>
        <v>577.60599999999999</v>
      </c>
      <c r="BT26" s="116">
        <f t="shared" si="39"/>
        <v>124.467</v>
      </c>
      <c r="BU26" s="116">
        <f t="shared" si="39"/>
        <v>127.577</v>
      </c>
      <c r="BV26" s="116">
        <f t="shared" si="39"/>
        <v>122.50200000000001</v>
      </c>
      <c r="BW26" s="116">
        <f t="shared" si="39"/>
        <v>131.959</v>
      </c>
      <c r="BX26" s="116">
        <f t="shared" si="39"/>
        <v>506.505</v>
      </c>
      <c r="BY26" s="116">
        <f t="shared" si="39"/>
        <v>125.651</v>
      </c>
      <c r="BZ26" s="116">
        <v>139.40199999999999</v>
      </c>
      <c r="CA26" s="116">
        <v>145.876</v>
      </c>
      <c r="CB26" s="105"/>
    </row>
    <row r="27" spans="1:80" ht="12.75" x14ac:dyDescent="0.2">
      <c r="A27" s="109" t="s">
        <v>135</v>
      </c>
      <c r="B27" s="101">
        <f t="shared" ref="B27:BL27" si="40">B8+B18</f>
        <v>69.569000000000003</v>
      </c>
      <c r="C27" s="101">
        <f t="shared" si="40"/>
        <v>73.009</v>
      </c>
      <c r="D27" s="101">
        <f t="shared" si="40"/>
        <v>79.103999999999999</v>
      </c>
      <c r="E27" s="101">
        <f t="shared" si="40"/>
        <v>79.888999999999996</v>
      </c>
      <c r="F27" s="101">
        <f t="shared" si="40"/>
        <v>301.57099999999997</v>
      </c>
      <c r="G27" s="101">
        <f t="shared" si="40"/>
        <v>68.150000000000006</v>
      </c>
      <c r="H27" s="101">
        <f t="shared" si="40"/>
        <v>86.86999999999999</v>
      </c>
      <c r="I27" s="101">
        <f t="shared" si="40"/>
        <v>85.168000000000006</v>
      </c>
      <c r="J27" s="101">
        <f t="shared" si="40"/>
        <v>81.167000000000002</v>
      </c>
      <c r="K27" s="101">
        <f t="shared" si="40"/>
        <v>321.35500000000002</v>
      </c>
      <c r="L27" s="101">
        <f t="shared" si="40"/>
        <v>64.182999999999993</v>
      </c>
      <c r="M27" s="101">
        <f t="shared" si="40"/>
        <v>70.725999999999999</v>
      </c>
      <c r="N27" s="101">
        <f t="shared" si="40"/>
        <v>77.77600000000001</v>
      </c>
      <c r="O27" s="101">
        <f t="shared" si="40"/>
        <v>77.960999999999999</v>
      </c>
      <c r="P27" s="101">
        <f t="shared" si="40"/>
        <v>290.64600000000002</v>
      </c>
      <c r="Q27" s="101">
        <f t="shared" si="40"/>
        <v>64.787000000000006</v>
      </c>
      <c r="R27" s="101">
        <f t="shared" si="40"/>
        <v>73.824999999999989</v>
      </c>
      <c r="S27" s="101">
        <f t="shared" si="40"/>
        <v>85.277999999999992</v>
      </c>
      <c r="T27" s="101">
        <f t="shared" si="40"/>
        <v>80.055999999999997</v>
      </c>
      <c r="U27" s="101">
        <f t="shared" si="40"/>
        <v>303.94599999999997</v>
      </c>
      <c r="V27" s="101">
        <f t="shared" si="40"/>
        <v>71.414000000000001</v>
      </c>
      <c r="W27" s="101">
        <f t="shared" si="40"/>
        <v>71.304000000000002</v>
      </c>
      <c r="X27" s="101">
        <f t="shared" si="40"/>
        <v>81.135999999999996</v>
      </c>
      <c r="Y27" s="101">
        <f t="shared" si="40"/>
        <v>81.058999999999997</v>
      </c>
      <c r="Z27" s="101">
        <f t="shared" si="40"/>
        <v>304.91300000000001</v>
      </c>
      <c r="AA27" s="101">
        <f t="shared" si="40"/>
        <v>63.736000000000004</v>
      </c>
      <c r="AB27" s="101">
        <f t="shared" si="40"/>
        <v>71.896000000000001</v>
      </c>
      <c r="AC27" s="101">
        <f t="shared" si="40"/>
        <v>78.212000000000003</v>
      </c>
      <c r="AD27" s="101">
        <f t="shared" si="40"/>
        <v>86.984999999999999</v>
      </c>
      <c r="AE27" s="101">
        <f t="shared" si="40"/>
        <v>300.82900000000001</v>
      </c>
      <c r="AF27" s="101">
        <f t="shared" si="40"/>
        <v>65.319999999999993</v>
      </c>
      <c r="AG27" s="101">
        <f t="shared" si="40"/>
        <v>64.766999999999996</v>
      </c>
      <c r="AH27" s="101">
        <f t="shared" si="40"/>
        <v>81.282999999999987</v>
      </c>
      <c r="AI27" s="101">
        <f t="shared" si="40"/>
        <v>77.435000000000002</v>
      </c>
      <c r="AJ27" s="101">
        <f t="shared" si="40"/>
        <v>288.80499999999995</v>
      </c>
      <c r="AK27" s="101">
        <f t="shared" si="40"/>
        <v>62.926000000000002</v>
      </c>
      <c r="AL27" s="101">
        <f t="shared" si="40"/>
        <v>74.781999999999996</v>
      </c>
      <c r="AM27" s="101">
        <f t="shared" si="40"/>
        <v>88.86</v>
      </c>
      <c r="AN27" s="101">
        <f t="shared" si="40"/>
        <v>89.966999999999999</v>
      </c>
      <c r="AO27" s="101">
        <f t="shared" si="40"/>
        <v>316.53499999999997</v>
      </c>
      <c r="AP27" s="101">
        <f t="shared" si="40"/>
        <v>80.546000000000006</v>
      </c>
      <c r="AQ27" s="101">
        <f t="shared" si="40"/>
        <v>88.58</v>
      </c>
      <c r="AR27" s="101">
        <f t="shared" si="40"/>
        <v>88.478000000000009</v>
      </c>
      <c r="AS27" s="101">
        <f t="shared" si="40"/>
        <v>84.025000000000006</v>
      </c>
      <c r="AT27" s="101">
        <f t="shared" si="40"/>
        <v>341.62900000000002</v>
      </c>
      <c r="AU27" s="101">
        <f t="shared" si="40"/>
        <v>76.216999999999999</v>
      </c>
      <c r="AV27" s="101">
        <f t="shared" si="40"/>
        <v>77.778999999999996</v>
      </c>
      <c r="AW27" s="101">
        <f t="shared" si="40"/>
        <v>89.209000000000003</v>
      </c>
      <c r="AX27" s="101">
        <f t="shared" si="40"/>
        <v>86.915999999999997</v>
      </c>
      <c r="AY27" s="101">
        <f t="shared" si="40"/>
        <v>330.12099999999998</v>
      </c>
      <c r="AZ27" s="101">
        <f t="shared" si="40"/>
        <v>78.296999999999997</v>
      </c>
      <c r="BA27" s="101">
        <f t="shared" si="40"/>
        <v>67.058000000000007</v>
      </c>
      <c r="BB27" s="101">
        <f t="shared" si="40"/>
        <v>89.415999999999997</v>
      </c>
      <c r="BC27" s="101">
        <f t="shared" si="40"/>
        <v>95.739000000000004</v>
      </c>
      <c r="BD27" s="101">
        <f t="shared" si="40"/>
        <v>330.51</v>
      </c>
      <c r="BE27" s="101">
        <f t="shared" si="40"/>
        <v>80.820999999999998</v>
      </c>
      <c r="BF27" s="101">
        <f t="shared" si="40"/>
        <v>77.968999999999994</v>
      </c>
      <c r="BG27" s="101">
        <f t="shared" si="40"/>
        <v>88.031999999999996</v>
      </c>
      <c r="BH27" s="101">
        <f t="shared" si="40"/>
        <v>85.349000000000004</v>
      </c>
      <c r="BI27" s="101">
        <f t="shared" si="40"/>
        <v>332.17099999999999</v>
      </c>
      <c r="BJ27" s="101">
        <f t="shared" si="40"/>
        <v>77.919000000000011</v>
      </c>
      <c r="BK27" s="101">
        <f t="shared" si="40"/>
        <v>74.897999999999996</v>
      </c>
      <c r="BL27" s="101">
        <f t="shared" si="40"/>
        <v>88.515000000000001</v>
      </c>
      <c r="BM27" s="101">
        <v>84.6</v>
      </c>
      <c r="BN27" s="101">
        <f t="shared" ref="BN27:BY27" si="41">BN8+BN18</f>
        <v>325.92399999999998</v>
      </c>
      <c r="BO27" s="101">
        <f t="shared" si="41"/>
        <v>75.127999999999986</v>
      </c>
      <c r="BP27" s="101">
        <f t="shared" si="41"/>
        <v>78.262</v>
      </c>
      <c r="BQ27" s="101">
        <f t="shared" si="41"/>
        <v>73.387</v>
      </c>
      <c r="BR27" s="101">
        <f t="shared" si="41"/>
        <v>79.391999999999996</v>
      </c>
      <c r="BS27" s="101">
        <f t="shared" si="41"/>
        <v>306.16899999999998</v>
      </c>
      <c r="BT27" s="101">
        <f t="shared" si="41"/>
        <v>65.542000000000002</v>
      </c>
      <c r="BU27" s="101">
        <f t="shared" si="41"/>
        <v>60.515000000000001</v>
      </c>
      <c r="BV27" s="101">
        <f t="shared" si="41"/>
        <v>61.398000000000003</v>
      </c>
      <c r="BW27" s="101">
        <f t="shared" si="41"/>
        <v>66.99799999999999</v>
      </c>
      <c r="BX27" s="101">
        <f t="shared" si="41"/>
        <v>254.453</v>
      </c>
      <c r="BY27" s="101">
        <f t="shared" si="41"/>
        <v>66.650000000000006</v>
      </c>
      <c r="BZ27" s="101">
        <v>72.718000000000004</v>
      </c>
      <c r="CA27" s="101">
        <v>78.334000000000003</v>
      </c>
      <c r="CB27" s="105"/>
    </row>
    <row r="28" spans="1:80" ht="12.75" x14ac:dyDescent="0.2">
      <c r="A28" s="109" t="s">
        <v>136</v>
      </c>
      <c r="B28" s="101">
        <f t="shared" ref="B28:BL28" si="42">B9+B19</f>
        <v>24.1</v>
      </c>
      <c r="C28" s="101">
        <f t="shared" si="42"/>
        <v>22.103999999999999</v>
      </c>
      <c r="D28" s="101">
        <f t="shared" si="42"/>
        <v>25.642000000000003</v>
      </c>
      <c r="E28" s="101">
        <f t="shared" si="42"/>
        <v>27.963000000000001</v>
      </c>
      <c r="F28" s="101">
        <f t="shared" si="42"/>
        <v>99.808999999999997</v>
      </c>
      <c r="G28" s="101">
        <f t="shared" si="42"/>
        <v>18.353000000000002</v>
      </c>
      <c r="H28" s="101">
        <f t="shared" si="42"/>
        <v>14.718</v>
      </c>
      <c r="I28" s="101">
        <f t="shared" si="42"/>
        <v>20.504000000000001</v>
      </c>
      <c r="J28" s="101">
        <f t="shared" si="42"/>
        <v>23.324000000000002</v>
      </c>
      <c r="K28" s="101">
        <f t="shared" si="42"/>
        <v>76.899000000000001</v>
      </c>
      <c r="L28" s="101">
        <f t="shared" si="42"/>
        <v>24.839000000000002</v>
      </c>
      <c r="M28" s="101">
        <f t="shared" si="42"/>
        <v>26.549999999999997</v>
      </c>
      <c r="N28" s="101">
        <f t="shared" si="42"/>
        <v>31.652000000000001</v>
      </c>
      <c r="O28" s="101">
        <f t="shared" si="42"/>
        <v>31.552</v>
      </c>
      <c r="P28" s="101">
        <f t="shared" si="42"/>
        <v>114.593</v>
      </c>
      <c r="Q28" s="101">
        <f t="shared" si="42"/>
        <v>29.263999999999999</v>
      </c>
      <c r="R28" s="101">
        <f t="shared" si="42"/>
        <v>29.881</v>
      </c>
      <c r="S28" s="101">
        <f t="shared" si="42"/>
        <v>34.503</v>
      </c>
      <c r="T28" s="101">
        <f t="shared" si="42"/>
        <v>32.065000000000005</v>
      </c>
      <c r="U28" s="101">
        <f t="shared" si="42"/>
        <v>125.71300000000001</v>
      </c>
      <c r="V28" s="101">
        <f t="shared" si="42"/>
        <v>32.501999999999995</v>
      </c>
      <c r="W28" s="101">
        <f t="shared" si="42"/>
        <v>30.924999999999997</v>
      </c>
      <c r="X28" s="101">
        <f t="shared" si="42"/>
        <v>35.488</v>
      </c>
      <c r="Y28" s="101">
        <f t="shared" si="42"/>
        <v>34.739000000000004</v>
      </c>
      <c r="Z28" s="101">
        <f t="shared" si="42"/>
        <v>133.654</v>
      </c>
      <c r="AA28" s="101">
        <f t="shared" si="42"/>
        <v>33.814</v>
      </c>
      <c r="AB28" s="101">
        <f t="shared" si="42"/>
        <v>38.124000000000002</v>
      </c>
      <c r="AC28" s="101">
        <f t="shared" si="42"/>
        <v>40.442</v>
      </c>
      <c r="AD28" s="101">
        <f t="shared" si="42"/>
        <v>40.868000000000002</v>
      </c>
      <c r="AE28" s="101">
        <f t="shared" si="42"/>
        <v>153.24799999999999</v>
      </c>
      <c r="AF28" s="101">
        <f t="shared" si="42"/>
        <v>35.605000000000004</v>
      </c>
      <c r="AG28" s="101">
        <f t="shared" si="42"/>
        <v>35.936999999999998</v>
      </c>
      <c r="AH28" s="101">
        <f t="shared" si="42"/>
        <v>39.656000000000006</v>
      </c>
      <c r="AI28" s="101">
        <f t="shared" si="42"/>
        <v>37.68</v>
      </c>
      <c r="AJ28" s="101">
        <f t="shared" si="42"/>
        <v>148.87800000000001</v>
      </c>
      <c r="AK28" s="101">
        <f t="shared" si="42"/>
        <v>36.706000000000003</v>
      </c>
      <c r="AL28" s="101">
        <f t="shared" si="42"/>
        <v>33.454000000000008</v>
      </c>
      <c r="AM28" s="101">
        <f t="shared" si="42"/>
        <v>35.195999999999998</v>
      </c>
      <c r="AN28" s="101">
        <f t="shared" si="42"/>
        <v>27.436999999999998</v>
      </c>
      <c r="AO28" s="101">
        <f t="shared" si="42"/>
        <v>132.79300000000001</v>
      </c>
      <c r="AP28" s="101">
        <f t="shared" si="42"/>
        <v>25.975999999999999</v>
      </c>
      <c r="AQ28" s="101">
        <f t="shared" si="42"/>
        <v>28.992000000000001</v>
      </c>
      <c r="AR28" s="101">
        <f t="shared" si="42"/>
        <v>35.004000000000005</v>
      </c>
      <c r="AS28" s="101">
        <f t="shared" si="42"/>
        <v>33.225000000000001</v>
      </c>
      <c r="AT28" s="101">
        <f t="shared" si="42"/>
        <v>123.197</v>
      </c>
      <c r="AU28" s="101">
        <f t="shared" si="42"/>
        <v>32.421999999999997</v>
      </c>
      <c r="AV28" s="101">
        <f t="shared" si="42"/>
        <v>30.883000000000003</v>
      </c>
      <c r="AW28" s="101">
        <f t="shared" si="42"/>
        <v>35.341999999999999</v>
      </c>
      <c r="AX28" s="101">
        <f t="shared" si="42"/>
        <v>33.816000000000003</v>
      </c>
      <c r="AY28" s="101">
        <f t="shared" si="42"/>
        <v>132.46300000000002</v>
      </c>
      <c r="AZ28" s="101">
        <f t="shared" si="42"/>
        <v>35.891999999999996</v>
      </c>
      <c r="BA28" s="101">
        <f t="shared" si="42"/>
        <v>33.210999999999999</v>
      </c>
      <c r="BB28" s="101">
        <f t="shared" si="42"/>
        <v>39.084000000000003</v>
      </c>
      <c r="BC28" s="101">
        <f t="shared" si="42"/>
        <v>33.513000000000005</v>
      </c>
      <c r="BD28" s="101">
        <f t="shared" si="42"/>
        <v>141.69999999999999</v>
      </c>
      <c r="BE28" s="101">
        <f t="shared" si="42"/>
        <v>33.945</v>
      </c>
      <c r="BF28" s="101">
        <f t="shared" si="42"/>
        <v>35.948</v>
      </c>
      <c r="BG28" s="101">
        <f t="shared" si="42"/>
        <v>41.295000000000002</v>
      </c>
      <c r="BH28" s="101">
        <f t="shared" si="42"/>
        <v>38.114000000000004</v>
      </c>
      <c r="BI28" s="101">
        <f t="shared" si="42"/>
        <v>149.30200000000002</v>
      </c>
      <c r="BJ28" s="101">
        <f t="shared" si="42"/>
        <v>37.36</v>
      </c>
      <c r="BK28" s="101">
        <f t="shared" si="42"/>
        <v>28.384999999999998</v>
      </c>
      <c r="BL28" s="101">
        <f t="shared" si="42"/>
        <v>30.615000000000002</v>
      </c>
      <c r="BM28" s="101">
        <v>39</v>
      </c>
      <c r="BN28" s="101">
        <f t="shared" ref="BN28:BY28" si="43">BN9+BN19</f>
        <v>135.33199999999999</v>
      </c>
      <c r="BO28" s="101">
        <f t="shared" si="43"/>
        <v>44.660000000000004</v>
      </c>
      <c r="BP28" s="101">
        <f t="shared" si="43"/>
        <v>38.829000000000001</v>
      </c>
      <c r="BQ28" s="101">
        <f t="shared" si="43"/>
        <v>32.466000000000001</v>
      </c>
      <c r="BR28" s="101">
        <f t="shared" si="43"/>
        <v>34.432000000000002</v>
      </c>
      <c r="BS28" s="101">
        <f t="shared" si="43"/>
        <v>150.387</v>
      </c>
      <c r="BT28" s="101">
        <f t="shared" si="43"/>
        <v>30.958000000000002</v>
      </c>
      <c r="BU28" s="101">
        <f t="shared" si="43"/>
        <v>33.649000000000001</v>
      </c>
      <c r="BV28" s="101">
        <f t="shared" si="43"/>
        <v>30.496000000000002</v>
      </c>
      <c r="BW28" s="101">
        <f t="shared" si="43"/>
        <v>34.228000000000002</v>
      </c>
      <c r="BX28" s="101">
        <f t="shared" si="43"/>
        <v>129.33100000000002</v>
      </c>
      <c r="BY28" s="101">
        <f t="shared" si="43"/>
        <v>30.234999999999999</v>
      </c>
      <c r="BZ28" s="101">
        <v>32.128999999999998</v>
      </c>
      <c r="CA28" s="101">
        <v>33.811999999999998</v>
      </c>
      <c r="CB28" s="105"/>
    </row>
    <row r="29" spans="1:80" ht="12.75" x14ac:dyDescent="0.2">
      <c r="A29" s="109" t="s">
        <v>137</v>
      </c>
      <c r="B29" s="101">
        <f t="shared" ref="B29:BL29" si="44">B10+B20</f>
        <v>11.518000000000001</v>
      </c>
      <c r="C29" s="101">
        <f t="shared" si="44"/>
        <v>14.199</v>
      </c>
      <c r="D29" s="101">
        <f t="shared" si="44"/>
        <v>15.061999999999998</v>
      </c>
      <c r="E29" s="101">
        <f t="shared" si="44"/>
        <v>14.765999999999998</v>
      </c>
      <c r="F29" s="101">
        <f t="shared" si="44"/>
        <v>55.545000000000002</v>
      </c>
      <c r="G29" s="101">
        <f t="shared" si="44"/>
        <v>11.3</v>
      </c>
      <c r="H29" s="101">
        <f t="shared" si="44"/>
        <v>13.228000000000002</v>
      </c>
      <c r="I29" s="101">
        <f t="shared" si="44"/>
        <v>14.044</v>
      </c>
      <c r="J29" s="101">
        <f t="shared" si="44"/>
        <v>15.167999999999999</v>
      </c>
      <c r="K29" s="101">
        <f t="shared" si="44"/>
        <v>53.74</v>
      </c>
      <c r="L29" s="101">
        <f t="shared" si="44"/>
        <v>15.001000000000001</v>
      </c>
      <c r="M29" s="101">
        <f t="shared" si="44"/>
        <v>17.48</v>
      </c>
      <c r="N29" s="101">
        <f t="shared" si="44"/>
        <v>16.995000000000001</v>
      </c>
      <c r="O29" s="101">
        <f t="shared" si="44"/>
        <v>17.100999999999999</v>
      </c>
      <c r="P29" s="101">
        <f t="shared" si="44"/>
        <v>66.576999999999998</v>
      </c>
      <c r="Q29" s="101">
        <f t="shared" si="44"/>
        <v>16.655999999999999</v>
      </c>
      <c r="R29" s="101">
        <f t="shared" si="44"/>
        <v>19.698999999999998</v>
      </c>
      <c r="S29" s="101">
        <f t="shared" si="44"/>
        <v>18.167000000000002</v>
      </c>
      <c r="T29" s="101">
        <f t="shared" si="44"/>
        <v>17.518000000000001</v>
      </c>
      <c r="U29" s="101">
        <f t="shared" si="44"/>
        <v>72.039999999999992</v>
      </c>
      <c r="V29" s="101">
        <f t="shared" si="44"/>
        <v>15.280000000000001</v>
      </c>
      <c r="W29" s="101">
        <f t="shared" si="44"/>
        <v>18.119</v>
      </c>
      <c r="X29" s="101">
        <f t="shared" si="44"/>
        <v>18.491</v>
      </c>
      <c r="Y29" s="101">
        <f t="shared" si="44"/>
        <v>19.712</v>
      </c>
      <c r="Z29" s="101">
        <f t="shared" si="44"/>
        <v>71.602000000000004</v>
      </c>
      <c r="AA29" s="101">
        <f t="shared" si="44"/>
        <v>17.981000000000002</v>
      </c>
      <c r="AB29" s="101">
        <f t="shared" si="44"/>
        <v>22.246000000000002</v>
      </c>
      <c r="AC29" s="101">
        <f t="shared" si="44"/>
        <v>18.615000000000002</v>
      </c>
      <c r="AD29" s="101">
        <f t="shared" si="44"/>
        <v>21.986000000000001</v>
      </c>
      <c r="AE29" s="101">
        <f t="shared" si="44"/>
        <v>80.828000000000003</v>
      </c>
      <c r="AF29" s="101">
        <f t="shared" si="44"/>
        <v>18.619</v>
      </c>
      <c r="AG29" s="101">
        <f t="shared" si="44"/>
        <v>21.136000000000003</v>
      </c>
      <c r="AH29" s="101">
        <f t="shared" si="44"/>
        <v>23.851999999999997</v>
      </c>
      <c r="AI29" s="101">
        <f t="shared" si="44"/>
        <v>23.164000000000001</v>
      </c>
      <c r="AJ29" s="101">
        <f t="shared" si="44"/>
        <v>86.771000000000015</v>
      </c>
      <c r="AK29" s="101">
        <f t="shared" si="44"/>
        <v>21.041999999999998</v>
      </c>
      <c r="AL29" s="101">
        <f t="shared" si="44"/>
        <v>23.15</v>
      </c>
      <c r="AM29" s="101">
        <f t="shared" si="44"/>
        <v>25.471999999999998</v>
      </c>
      <c r="AN29" s="101">
        <f t="shared" si="44"/>
        <v>25.509</v>
      </c>
      <c r="AO29" s="101">
        <f t="shared" si="44"/>
        <v>95.173000000000002</v>
      </c>
      <c r="AP29" s="101">
        <f t="shared" si="44"/>
        <v>22.617000000000001</v>
      </c>
      <c r="AQ29" s="101">
        <f t="shared" si="44"/>
        <v>25.695999999999998</v>
      </c>
      <c r="AR29" s="101">
        <f t="shared" si="44"/>
        <v>28.018000000000001</v>
      </c>
      <c r="AS29" s="101">
        <f t="shared" si="44"/>
        <v>24.887</v>
      </c>
      <c r="AT29" s="101">
        <f t="shared" si="44"/>
        <v>101.21800000000002</v>
      </c>
      <c r="AU29" s="101">
        <f t="shared" si="44"/>
        <v>26.257999999999999</v>
      </c>
      <c r="AV29" s="101">
        <f t="shared" si="44"/>
        <v>29.341999999999999</v>
      </c>
      <c r="AW29" s="101">
        <f t="shared" si="44"/>
        <v>29.542999999999999</v>
      </c>
      <c r="AX29" s="101">
        <f t="shared" si="44"/>
        <v>32.075000000000003</v>
      </c>
      <c r="AY29" s="101">
        <f t="shared" si="44"/>
        <v>117.21799999999999</v>
      </c>
      <c r="AZ29" s="101">
        <f t="shared" si="44"/>
        <v>27.177999999999997</v>
      </c>
      <c r="BA29" s="101">
        <f t="shared" si="44"/>
        <v>27.427000000000003</v>
      </c>
      <c r="BB29" s="101">
        <f t="shared" si="44"/>
        <v>35.349000000000004</v>
      </c>
      <c r="BC29" s="101">
        <f t="shared" si="44"/>
        <v>33.116999999999997</v>
      </c>
      <c r="BD29" s="101">
        <f t="shared" si="44"/>
        <v>123.071</v>
      </c>
      <c r="BE29" s="101">
        <f t="shared" si="44"/>
        <v>31.786999999999999</v>
      </c>
      <c r="BF29" s="101">
        <f t="shared" si="44"/>
        <v>34.585999999999999</v>
      </c>
      <c r="BG29" s="101">
        <f t="shared" si="44"/>
        <v>30.983999999999998</v>
      </c>
      <c r="BH29" s="101">
        <f t="shared" si="44"/>
        <v>32.25</v>
      </c>
      <c r="BI29" s="101">
        <f t="shared" si="44"/>
        <v>129.60699999999997</v>
      </c>
      <c r="BJ29" s="101">
        <f t="shared" si="44"/>
        <v>28.058</v>
      </c>
      <c r="BK29" s="101">
        <f t="shared" si="44"/>
        <v>27.914000000000001</v>
      </c>
      <c r="BL29" s="101">
        <f t="shared" si="44"/>
        <v>33.945999999999998</v>
      </c>
      <c r="BM29" s="101">
        <v>30.6</v>
      </c>
      <c r="BN29" s="101">
        <f t="shared" ref="BN29:BY29" si="45">BN10+BN20</f>
        <v>120.54499999999999</v>
      </c>
      <c r="BO29" s="101">
        <f t="shared" si="45"/>
        <v>30.251999999999999</v>
      </c>
      <c r="BP29" s="101">
        <f t="shared" si="45"/>
        <v>30.916999999999998</v>
      </c>
      <c r="BQ29" s="101">
        <f t="shared" si="45"/>
        <v>30.858000000000001</v>
      </c>
      <c r="BR29" s="101">
        <f t="shared" si="45"/>
        <v>29.023</v>
      </c>
      <c r="BS29" s="101">
        <f t="shared" si="45"/>
        <v>121.05</v>
      </c>
      <c r="BT29" s="101">
        <f t="shared" si="45"/>
        <v>27.967000000000002</v>
      </c>
      <c r="BU29" s="101">
        <f t="shared" si="45"/>
        <v>33.412999999999997</v>
      </c>
      <c r="BV29" s="101">
        <f t="shared" si="45"/>
        <v>30.608000000000001</v>
      </c>
      <c r="BW29" s="101">
        <f t="shared" si="45"/>
        <v>30.733000000000001</v>
      </c>
      <c r="BX29" s="101">
        <f t="shared" si="45"/>
        <v>122.721</v>
      </c>
      <c r="BY29" s="101">
        <f t="shared" si="45"/>
        <v>28.766000000000005</v>
      </c>
      <c r="BZ29" s="101">
        <v>34.555</v>
      </c>
      <c r="CA29" s="101">
        <v>33.729999999999997</v>
      </c>
      <c r="CB29" s="105"/>
    </row>
    <row r="30" spans="1:80" ht="12.75" x14ac:dyDescent="0.2">
      <c r="A30" s="117" t="s">
        <v>127</v>
      </c>
      <c r="B30" s="116">
        <f t="shared" ref="B30:BY30" si="46">B11</f>
        <v>1.1659999999999999</v>
      </c>
      <c r="C30" s="116">
        <f t="shared" si="46"/>
        <v>1.35</v>
      </c>
      <c r="D30" s="116">
        <f t="shared" si="46"/>
        <v>1.502</v>
      </c>
      <c r="E30" s="116">
        <f t="shared" si="46"/>
        <v>1.534</v>
      </c>
      <c r="F30" s="116">
        <f t="shared" si="46"/>
        <v>5.5519999999999996</v>
      </c>
      <c r="G30" s="116">
        <f t="shared" si="46"/>
        <v>0.64400000000000002</v>
      </c>
      <c r="H30" s="116">
        <f t="shared" si="46"/>
        <v>0</v>
      </c>
      <c r="I30" s="116">
        <f t="shared" si="46"/>
        <v>0</v>
      </c>
      <c r="J30" s="116">
        <f t="shared" si="46"/>
        <v>0</v>
      </c>
      <c r="K30" s="116">
        <f t="shared" si="46"/>
        <v>0.64400000000000002</v>
      </c>
      <c r="L30" s="116">
        <f t="shared" si="46"/>
        <v>0</v>
      </c>
      <c r="M30" s="116">
        <f t="shared" si="46"/>
        <v>0</v>
      </c>
      <c r="N30" s="116">
        <f t="shared" si="46"/>
        <v>0</v>
      </c>
      <c r="O30" s="116">
        <f t="shared" si="46"/>
        <v>0</v>
      </c>
      <c r="P30" s="116">
        <f t="shared" si="46"/>
        <v>0</v>
      </c>
      <c r="Q30" s="116">
        <f t="shared" si="46"/>
        <v>0</v>
      </c>
      <c r="R30" s="116">
        <f t="shared" si="46"/>
        <v>0</v>
      </c>
      <c r="S30" s="116">
        <f t="shared" si="46"/>
        <v>0</v>
      </c>
      <c r="T30" s="116">
        <f t="shared" si="46"/>
        <v>0</v>
      </c>
      <c r="U30" s="116">
        <f t="shared" si="46"/>
        <v>0</v>
      </c>
      <c r="V30" s="116">
        <f t="shared" si="46"/>
        <v>0</v>
      </c>
      <c r="W30" s="116">
        <f t="shared" si="46"/>
        <v>0</v>
      </c>
      <c r="X30" s="116">
        <f t="shared" si="46"/>
        <v>0</v>
      </c>
      <c r="Y30" s="116">
        <f t="shared" si="46"/>
        <v>0</v>
      </c>
      <c r="Z30" s="116">
        <f t="shared" si="46"/>
        <v>0</v>
      </c>
      <c r="AA30" s="116">
        <f t="shared" si="46"/>
        <v>0</v>
      </c>
      <c r="AB30" s="116">
        <f t="shared" si="46"/>
        <v>0</v>
      </c>
      <c r="AC30" s="116">
        <f t="shared" si="46"/>
        <v>0</v>
      </c>
      <c r="AD30" s="116">
        <f t="shared" si="46"/>
        <v>0</v>
      </c>
      <c r="AE30" s="116">
        <f t="shared" si="46"/>
        <v>0</v>
      </c>
      <c r="AF30" s="116">
        <f t="shared" si="46"/>
        <v>0</v>
      </c>
      <c r="AG30" s="116">
        <f t="shared" si="46"/>
        <v>0</v>
      </c>
      <c r="AH30" s="116">
        <f t="shared" si="46"/>
        <v>0</v>
      </c>
      <c r="AI30" s="116">
        <f t="shared" si="46"/>
        <v>0</v>
      </c>
      <c r="AJ30" s="116">
        <f t="shared" si="46"/>
        <v>0</v>
      </c>
      <c r="AK30" s="116">
        <f t="shared" si="46"/>
        <v>0</v>
      </c>
      <c r="AL30" s="116">
        <f t="shared" si="46"/>
        <v>0</v>
      </c>
      <c r="AM30" s="116">
        <f t="shared" si="46"/>
        <v>0</v>
      </c>
      <c r="AN30" s="116">
        <f t="shared" si="46"/>
        <v>0</v>
      </c>
      <c r="AO30" s="116">
        <f t="shared" si="46"/>
        <v>0</v>
      </c>
      <c r="AP30" s="116">
        <f t="shared" si="46"/>
        <v>0</v>
      </c>
      <c r="AQ30" s="116">
        <f t="shared" si="46"/>
        <v>0</v>
      </c>
      <c r="AR30" s="116">
        <f t="shared" si="46"/>
        <v>0</v>
      </c>
      <c r="AS30" s="116">
        <f t="shared" si="46"/>
        <v>0.77400000000000002</v>
      </c>
      <c r="AT30" s="116">
        <f t="shared" si="46"/>
        <v>0.77400000000000002</v>
      </c>
      <c r="AU30" s="116">
        <f t="shared" si="46"/>
        <v>1.224</v>
      </c>
      <c r="AV30" s="116">
        <f t="shared" si="46"/>
        <v>2.62</v>
      </c>
      <c r="AW30" s="116">
        <f t="shared" si="46"/>
        <v>3.7169999999999996</v>
      </c>
      <c r="AX30" s="116">
        <f t="shared" si="46"/>
        <v>3.5110000000000001</v>
      </c>
      <c r="AY30" s="116">
        <f t="shared" si="46"/>
        <v>11.071999999999999</v>
      </c>
      <c r="AZ30" s="116">
        <f t="shared" si="46"/>
        <v>4.7530000000000001</v>
      </c>
      <c r="BA30" s="116">
        <f t="shared" si="46"/>
        <v>6.0270000000000001</v>
      </c>
      <c r="BB30" s="116">
        <f t="shared" si="46"/>
        <v>6.4250000000000007</v>
      </c>
      <c r="BC30" s="116">
        <f t="shared" si="46"/>
        <v>6.4949999999999992</v>
      </c>
      <c r="BD30" s="116">
        <f t="shared" si="46"/>
        <v>23.700000000000003</v>
      </c>
      <c r="BE30" s="116">
        <f t="shared" si="46"/>
        <v>5.3290000000000006</v>
      </c>
      <c r="BF30" s="116">
        <f t="shared" si="46"/>
        <v>6.2140000000000004</v>
      </c>
      <c r="BG30" s="116">
        <f t="shared" si="46"/>
        <v>6.516</v>
      </c>
      <c r="BH30" s="116">
        <f t="shared" si="46"/>
        <v>7.0610000000000008</v>
      </c>
      <c r="BI30" s="116">
        <f t="shared" si="46"/>
        <v>25.12</v>
      </c>
      <c r="BJ30" s="116">
        <f t="shared" si="46"/>
        <v>6.2610000000000001</v>
      </c>
      <c r="BK30" s="116">
        <f t="shared" si="46"/>
        <v>7.1420000000000003</v>
      </c>
      <c r="BL30" s="116">
        <f t="shared" si="46"/>
        <v>6.7889999999999997</v>
      </c>
      <c r="BM30" s="116">
        <f t="shared" si="46"/>
        <v>5.8739999999999997</v>
      </c>
      <c r="BN30" s="116">
        <f t="shared" si="46"/>
        <v>26.065999999999999</v>
      </c>
      <c r="BO30" s="116">
        <f t="shared" si="46"/>
        <v>5.7010000000000005</v>
      </c>
      <c r="BP30" s="116">
        <f t="shared" si="46"/>
        <v>6.2809999999999997</v>
      </c>
      <c r="BQ30" s="116">
        <f t="shared" si="46"/>
        <v>5.4020000000000001</v>
      </c>
      <c r="BR30" s="116">
        <f t="shared" si="46"/>
        <v>4.843</v>
      </c>
      <c r="BS30" s="116">
        <f t="shared" si="46"/>
        <v>22.227</v>
      </c>
      <c r="BT30" s="116">
        <f t="shared" si="46"/>
        <v>4.4239999999999995</v>
      </c>
      <c r="BU30" s="116">
        <f t="shared" si="46"/>
        <v>6.0169999999999995</v>
      </c>
      <c r="BV30" s="116">
        <f t="shared" si="46"/>
        <v>5.1870000000000003</v>
      </c>
      <c r="BW30" s="116">
        <f t="shared" si="46"/>
        <v>5.7469999999999999</v>
      </c>
      <c r="BX30" s="116">
        <f t="shared" si="46"/>
        <v>21.375</v>
      </c>
      <c r="BY30" s="116">
        <f t="shared" si="46"/>
        <v>6.6550000000000011</v>
      </c>
      <c r="BZ30" s="116">
        <v>6.7510000000000003</v>
      </c>
      <c r="CA30" s="116">
        <v>6.6280000000000001</v>
      </c>
      <c r="CB30" s="105"/>
    </row>
    <row r="31" spans="1:80" ht="12.75" x14ac:dyDescent="0.2">
      <c r="A31" s="117" t="s">
        <v>138</v>
      </c>
      <c r="B31" s="116">
        <f t="shared" ref="B31:CA31" si="47">B$12+B$21</f>
        <v>26.075000000000003</v>
      </c>
      <c r="C31" s="116">
        <f t="shared" si="47"/>
        <v>26.188000000000002</v>
      </c>
      <c r="D31" s="116">
        <f t="shared" si="47"/>
        <v>28.792999999999999</v>
      </c>
      <c r="E31" s="116">
        <f t="shared" si="47"/>
        <v>25.24</v>
      </c>
      <c r="F31" s="116">
        <f t="shared" si="47"/>
        <v>106.29600000000001</v>
      </c>
      <c r="G31" s="116">
        <f t="shared" si="47"/>
        <v>21.663</v>
      </c>
      <c r="H31" s="116">
        <f t="shared" si="47"/>
        <v>34.213000000000001</v>
      </c>
      <c r="I31" s="116">
        <f t="shared" si="47"/>
        <v>40.075000000000003</v>
      </c>
      <c r="J31" s="116">
        <f t="shared" si="47"/>
        <v>41.33</v>
      </c>
      <c r="K31" s="116">
        <f t="shared" si="47"/>
        <v>137.28100000000001</v>
      </c>
      <c r="L31" s="116">
        <f t="shared" si="47"/>
        <v>41.084000000000003</v>
      </c>
      <c r="M31" s="116">
        <f t="shared" si="47"/>
        <v>55.567999999999998</v>
      </c>
      <c r="N31" s="116">
        <f t="shared" si="47"/>
        <v>48.920999999999999</v>
      </c>
      <c r="O31" s="116">
        <f t="shared" si="47"/>
        <v>42.697000000000003</v>
      </c>
      <c r="P31" s="116">
        <f t="shared" si="47"/>
        <v>188.27</v>
      </c>
      <c r="Q31" s="116">
        <f t="shared" si="47"/>
        <v>31.061999999999998</v>
      </c>
      <c r="R31" s="116">
        <f t="shared" si="47"/>
        <v>32.43</v>
      </c>
      <c r="S31" s="116">
        <f t="shared" si="47"/>
        <v>30.446000000000002</v>
      </c>
      <c r="T31" s="116">
        <f t="shared" si="47"/>
        <v>23.529</v>
      </c>
      <c r="U31" s="116">
        <f t="shared" si="47"/>
        <v>117.46700000000001</v>
      </c>
      <c r="V31" s="116">
        <f t="shared" si="47"/>
        <v>23.164000000000001</v>
      </c>
      <c r="W31" s="116">
        <f t="shared" si="47"/>
        <v>32.536000000000001</v>
      </c>
      <c r="X31" s="116">
        <f t="shared" si="47"/>
        <v>32.019999999999996</v>
      </c>
      <c r="Y31" s="116">
        <f t="shared" si="47"/>
        <v>22.387</v>
      </c>
      <c r="Z31" s="116">
        <f t="shared" si="47"/>
        <v>110.107</v>
      </c>
      <c r="AA31" s="116">
        <f t="shared" si="47"/>
        <v>20.286000000000001</v>
      </c>
      <c r="AB31" s="116">
        <f t="shared" si="47"/>
        <v>26.683</v>
      </c>
      <c r="AC31" s="116">
        <f t="shared" si="47"/>
        <v>29.579000000000001</v>
      </c>
      <c r="AD31" s="116">
        <f t="shared" si="47"/>
        <v>36.859000000000002</v>
      </c>
      <c r="AE31" s="116">
        <f t="shared" si="47"/>
        <v>113.40700000000001</v>
      </c>
      <c r="AF31" s="116">
        <f t="shared" si="47"/>
        <v>58.298999999999992</v>
      </c>
      <c r="AG31" s="116">
        <f t="shared" si="47"/>
        <v>58.936999999999998</v>
      </c>
      <c r="AH31" s="116">
        <f t="shared" si="47"/>
        <v>31.47</v>
      </c>
      <c r="AI31" s="116">
        <f t="shared" si="47"/>
        <v>30.625</v>
      </c>
      <c r="AJ31" s="116">
        <f t="shared" si="47"/>
        <v>179.33099999999999</v>
      </c>
      <c r="AK31" s="116">
        <f t="shared" si="47"/>
        <v>48.987000000000002</v>
      </c>
      <c r="AL31" s="116">
        <f t="shared" si="47"/>
        <v>52.332000000000001</v>
      </c>
      <c r="AM31" s="116">
        <f t="shared" si="47"/>
        <v>48.061</v>
      </c>
      <c r="AN31" s="116">
        <f t="shared" si="47"/>
        <v>38.613</v>
      </c>
      <c r="AO31" s="116">
        <f t="shared" si="47"/>
        <v>187.99299999999999</v>
      </c>
      <c r="AP31" s="116">
        <f t="shared" si="47"/>
        <v>32.602000000000004</v>
      </c>
      <c r="AQ31" s="116">
        <f t="shared" si="47"/>
        <v>37.978999999999999</v>
      </c>
      <c r="AR31" s="116">
        <f t="shared" si="47"/>
        <v>40.056000000000004</v>
      </c>
      <c r="AS31" s="116">
        <f t="shared" si="47"/>
        <v>39.161999999999999</v>
      </c>
      <c r="AT31" s="116">
        <f t="shared" si="47"/>
        <v>149.79900000000001</v>
      </c>
      <c r="AU31" s="116">
        <f t="shared" si="47"/>
        <v>36.9</v>
      </c>
      <c r="AV31" s="116">
        <f t="shared" si="47"/>
        <v>41.709000000000003</v>
      </c>
      <c r="AW31" s="116">
        <f t="shared" si="47"/>
        <v>48.023000000000003</v>
      </c>
      <c r="AX31" s="116">
        <f t="shared" si="47"/>
        <v>39.295000000000002</v>
      </c>
      <c r="AY31" s="116">
        <f t="shared" si="47"/>
        <v>165.92699999999999</v>
      </c>
      <c r="AZ31" s="116">
        <f t="shared" si="47"/>
        <v>36.402000000000001</v>
      </c>
      <c r="BA31" s="116">
        <f t="shared" si="47"/>
        <v>33.741</v>
      </c>
      <c r="BB31" s="116">
        <f t="shared" si="47"/>
        <v>54.578000000000003</v>
      </c>
      <c r="BC31" s="116">
        <f t="shared" si="47"/>
        <v>31.765999999999998</v>
      </c>
      <c r="BD31" s="116">
        <f t="shared" si="47"/>
        <v>156.48699999999999</v>
      </c>
      <c r="BE31" s="116">
        <f t="shared" si="47"/>
        <v>18.016999999999999</v>
      </c>
      <c r="BF31" s="116">
        <f t="shared" si="47"/>
        <v>20.68</v>
      </c>
      <c r="BG31" s="116">
        <f t="shared" si="47"/>
        <v>22.804000000000002</v>
      </c>
      <c r="BH31" s="116">
        <f t="shared" si="47"/>
        <v>29.25</v>
      </c>
      <c r="BI31" s="116">
        <f t="shared" si="47"/>
        <v>90.751000000000005</v>
      </c>
      <c r="BJ31" s="116">
        <f t="shared" si="47"/>
        <v>26.905999999999999</v>
      </c>
      <c r="BK31" s="116">
        <f t="shared" si="47"/>
        <v>24.416</v>
      </c>
      <c r="BL31" s="116">
        <f t="shared" si="47"/>
        <v>32.923000000000002</v>
      </c>
      <c r="BM31" s="116">
        <f t="shared" si="47"/>
        <v>25.615000000000002</v>
      </c>
      <c r="BN31" s="116">
        <f t="shared" si="47"/>
        <v>109.86000000000001</v>
      </c>
      <c r="BO31" s="116">
        <f t="shared" si="47"/>
        <v>33.582999999999998</v>
      </c>
      <c r="BP31" s="116">
        <f t="shared" si="47"/>
        <v>51.941999999999993</v>
      </c>
      <c r="BQ31" s="116">
        <f t="shared" si="47"/>
        <v>43.658000000000001</v>
      </c>
      <c r="BR31" s="116">
        <f t="shared" si="47"/>
        <v>31.029</v>
      </c>
      <c r="BS31" s="116">
        <f t="shared" si="47"/>
        <v>160.21200000000002</v>
      </c>
      <c r="BT31" s="116">
        <f t="shared" si="47"/>
        <v>32.624000000000002</v>
      </c>
      <c r="BU31" s="116">
        <f t="shared" si="47"/>
        <v>35.096000000000004</v>
      </c>
      <c r="BV31" s="116">
        <f t="shared" si="47"/>
        <v>34.780999999999999</v>
      </c>
      <c r="BW31" s="116">
        <f t="shared" si="47"/>
        <v>39.741</v>
      </c>
      <c r="BX31" s="116">
        <f t="shared" si="47"/>
        <v>142.24200000000002</v>
      </c>
      <c r="BY31" s="116">
        <f t="shared" si="47"/>
        <v>31.402000000000001</v>
      </c>
      <c r="BZ31" s="116">
        <f t="shared" si="47"/>
        <v>28.366</v>
      </c>
      <c r="CA31" s="116">
        <f t="shared" si="47"/>
        <v>45.929000000000002</v>
      </c>
      <c r="CB31" s="105"/>
    </row>
    <row r="32" spans="1:80" ht="12.75" x14ac:dyDescent="0.2">
      <c r="A32" s="117" t="s">
        <v>139</v>
      </c>
      <c r="B32" s="116">
        <f t="shared" ref="B32:CA32" si="48">B7+B11+B12+B17+B21</f>
        <v>132.428</v>
      </c>
      <c r="C32" s="116">
        <f t="shared" si="48"/>
        <v>136.85000000000002</v>
      </c>
      <c r="D32" s="116">
        <f t="shared" si="48"/>
        <v>150.10300000000001</v>
      </c>
      <c r="E32" s="116">
        <f t="shared" si="48"/>
        <v>149.392</v>
      </c>
      <c r="F32" s="116">
        <f t="shared" si="48"/>
        <v>568.77300000000002</v>
      </c>
      <c r="G32" s="116">
        <f t="shared" si="48"/>
        <v>120.11</v>
      </c>
      <c r="H32" s="116">
        <f t="shared" si="48"/>
        <v>149.029</v>
      </c>
      <c r="I32" s="116">
        <f t="shared" si="48"/>
        <v>159.791</v>
      </c>
      <c r="J32" s="116">
        <f t="shared" si="48"/>
        <v>160.989</v>
      </c>
      <c r="K32" s="116">
        <f t="shared" si="48"/>
        <v>589.91899999999998</v>
      </c>
      <c r="L32" s="116">
        <f t="shared" si="48"/>
        <v>145.107</v>
      </c>
      <c r="M32" s="116">
        <f t="shared" si="48"/>
        <v>170.32400000000001</v>
      </c>
      <c r="N32" s="116">
        <f t="shared" si="48"/>
        <v>175.34399999999999</v>
      </c>
      <c r="O32" s="116">
        <f t="shared" si="48"/>
        <v>169.31099999999998</v>
      </c>
      <c r="P32" s="116">
        <f t="shared" si="48"/>
        <v>660.08600000000013</v>
      </c>
      <c r="Q32" s="116">
        <f t="shared" si="48"/>
        <v>141.76899999999998</v>
      </c>
      <c r="R32" s="116">
        <f t="shared" si="48"/>
        <v>155.83500000000001</v>
      </c>
      <c r="S32" s="116">
        <f t="shared" si="48"/>
        <v>168.39399999999998</v>
      </c>
      <c r="T32" s="116">
        <f t="shared" si="48"/>
        <v>153.16800000000001</v>
      </c>
      <c r="U32" s="116">
        <f t="shared" si="48"/>
        <v>619.16600000000005</v>
      </c>
      <c r="V32" s="116">
        <f t="shared" si="48"/>
        <v>142.35999999999999</v>
      </c>
      <c r="W32" s="116">
        <f t="shared" si="48"/>
        <v>152.88400000000001</v>
      </c>
      <c r="X32" s="116">
        <f t="shared" si="48"/>
        <v>167.13500000000002</v>
      </c>
      <c r="Y32" s="116">
        <f t="shared" si="48"/>
        <v>157.89699999999999</v>
      </c>
      <c r="Z32" s="116">
        <f t="shared" si="48"/>
        <v>620.27599999999995</v>
      </c>
      <c r="AA32" s="116">
        <f t="shared" si="48"/>
        <v>135.81700000000001</v>
      </c>
      <c r="AB32" s="116">
        <f t="shared" si="48"/>
        <v>158.94900000000001</v>
      </c>
      <c r="AC32" s="116">
        <f t="shared" si="48"/>
        <v>166.84800000000001</v>
      </c>
      <c r="AD32" s="116">
        <f t="shared" si="48"/>
        <v>186.69800000000004</v>
      </c>
      <c r="AE32" s="116">
        <f t="shared" si="48"/>
        <v>648.31200000000013</v>
      </c>
      <c r="AF32" s="116">
        <f t="shared" si="48"/>
        <v>177.84299999999999</v>
      </c>
      <c r="AG32" s="116">
        <f t="shared" si="48"/>
        <v>180.77700000000002</v>
      </c>
      <c r="AH32" s="116">
        <f t="shared" si="48"/>
        <v>176.261</v>
      </c>
      <c r="AI32" s="116">
        <f t="shared" si="48"/>
        <v>168.904</v>
      </c>
      <c r="AJ32" s="116">
        <f t="shared" si="48"/>
        <v>703.78499999999997</v>
      </c>
      <c r="AK32" s="116">
        <f t="shared" si="48"/>
        <v>169.661</v>
      </c>
      <c r="AL32" s="116">
        <f t="shared" si="48"/>
        <v>183.71800000000002</v>
      </c>
      <c r="AM32" s="116">
        <f t="shared" si="48"/>
        <v>197.58899999999997</v>
      </c>
      <c r="AN32" s="116">
        <f t="shared" si="48"/>
        <v>181.52600000000001</v>
      </c>
      <c r="AO32" s="116">
        <f t="shared" si="48"/>
        <v>732.49400000000003</v>
      </c>
      <c r="AP32" s="116">
        <f t="shared" si="48"/>
        <v>161.74099999999999</v>
      </c>
      <c r="AQ32" s="116">
        <f t="shared" si="48"/>
        <v>181.24700000000001</v>
      </c>
      <c r="AR32" s="116">
        <f t="shared" si="48"/>
        <v>191.55600000000004</v>
      </c>
      <c r="AS32" s="116">
        <f t="shared" si="48"/>
        <v>182.07300000000001</v>
      </c>
      <c r="AT32" s="116">
        <f t="shared" si="48"/>
        <v>716.61700000000008</v>
      </c>
      <c r="AU32" s="116">
        <f t="shared" si="48"/>
        <v>173.02099999999999</v>
      </c>
      <c r="AV32" s="116">
        <f t="shared" si="48"/>
        <v>182.33299999999997</v>
      </c>
      <c r="AW32" s="116">
        <f t="shared" si="48"/>
        <v>205.834</v>
      </c>
      <c r="AX32" s="116">
        <f t="shared" si="48"/>
        <v>195.613</v>
      </c>
      <c r="AY32" s="116">
        <f t="shared" si="48"/>
        <v>756.80100000000016</v>
      </c>
      <c r="AZ32" s="116">
        <f t="shared" si="48"/>
        <v>182.52199999999996</v>
      </c>
      <c r="BA32" s="116">
        <f t="shared" si="48"/>
        <v>167.46400000000003</v>
      </c>
      <c r="BB32" s="116">
        <f t="shared" si="48"/>
        <v>224.852</v>
      </c>
      <c r="BC32" s="116">
        <f t="shared" si="48"/>
        <v>200.62999999999997</v>
      </c>
      <c r="BD32" s="116">
        <f t="shared" si="48"/>
        <v>775.46799999999996</v>
      </c>
      <c r="BE32" s="116">
        <f t="shared" si="48"/>
        <v>169.899</v>
      </c>
      <c r="BF32" s="116">
        <f t="shared" si="48"/>
        <v>175.39699999999999</v>
      </c>
      <c r="BG32" s="116">
        <f t="shared" si="48"/>
        <v>189.631</v>
      </c>
      <c r="BH32" s="116">
        <f t="shared" si="48"/>
        <v>192.024</v>
      </c>
      <c r="BI32" s="116">
        <f t="shared" si="48"/>
        <v>726.95100000000002</v>
      </c>
      <c r="BJ32" s="116">
        <f t="shared" si="48"/>
        <v>176.50399999999999</v>
      </c>
      <c r="BK32" s="116">
        <f t="shared" si="48"/>
        <v>162.755</v>
      </c>
      <c r="BL32" s="116">
        <f t="shared" si="48"/>
        <v>192.78800000000001</v>
      </c>
      <c r="BM32" s="116">
        <f t="shared" si="48"/>
        <v>185.68899999999999</v>
      </c>
      <c r="BN32" s="116">
        <f t="shared" si="48"/>
        <v>717.72699999999998</v>
      </c>
      <c r="BO32" s="116">
        <f t="shared" si="48"/>
        <v>189.32399999999998</v>
      </c>
      <c r="BP32" s="116">
        <f t="shared" si="48"/>
        <v>206.23100000000002</v>
      </c>
      <c r="BQ32" s="116">
        <f t="shared" si="48"/>
        <v>185.77100000000002</v>
      </c>
      <c r="BR32" s="116">
        <f t="shared" si="48"/>
        <v>178.71900000000002</v>
      </c>
      <c r="BS32" s="116">
        <f t="shared" si="48"/>
        <v>760.04499999999985</v>
      </c>
      <c r="BT32" s="116">
        <f t="shared" si="48"/>
        <v>161.51500000000001</v>
      </c>
      <c r="BU32" s="116">
        <f t="shared" si="48"/>
        <v>168.68999999999997</v>
      </c>
      <c r="BV32" s="116">
        <f t="shared" si="48"/>
        <v>162.47</v>
      </c>
      <c r="BW32" s="116">
        <f t="shared" si="48"/>
        <v>177.447</v>
      </c>
      <c r="BX32" s="116">
        <f t="shared" si="48"/>
        <v>670.12199999999996</v>
      </c>
      <c r="BY32" s="116">
        <f t="shared" si="48"/>
        <v>163.70800000000003</v>
      </c>
      <c r="BZ32" s="116">
        <f t="shared" si="48"/>
        <v>174.51900000000001</v>
      </c>
      <c r="CA32" s="116">
        <f t="shared" si="48"/>
        <v>198.43299999999999</v>
      </c>
      <c r="CB32" s="105"/>
    </row>
    <row r="33" spans="1:80" ht="12.75" x14ac:dyDescent="0.2">
      <c r="A33" s="117" t="s">
        <v>140</v>
      </c>
      <c r="B33" s="116">
        <f t="shared" ref="B33:CA33" si="49">B$13+B$22</f>
        <v>65.591000000000008</v>
      </c>
      <c r="C33" s="116">
        <f t="shared" si="49"/>
        <v>61.316999999999993</v>
      </c>
      <c r="D33" s="116">
        <f t="shared" si="49"/>
        <v>73.62</v>
      </c>
      <c r="E33" s="116">
        <f t="shared" si="49"/>
        <v>92.919000000000011</v>
      </c>
      <c r="F33" s="116">
        <f t="shared" si="49"/>
        <v>293.447</v>
      </c>
      <c r="G33" s="116">
        <f t="shared" si="49"/>
        <v>58.329000000000008</v>
      </c>
      <c r="H33" s="116">
        <f t="shared" si="49"/>
        <v>88.945000000000007</v>
      </c>
      <c r="I33" s="116">
        <f t="shared" si="49"/>
        <v>88.207999999999998</v>
      </c>
      <c r="J33" s="116">
        <f t="shared" si="49"/>
        <v>64.646000000000001</v>
      </c>
      <c r="K33" s="116">
        <f t="shared" si="49"/>
        <v>300.12799999999999</v>
      </c>
      <c r="L33" s="116">
        <f t="shared" si="49"/>
        <v>62.587000000000003</v>
      </c>
      <c r="M33" s="116">
        <f t="shared" si="49"/>
        <v>64.126999999999995</v>
      </c>
      <c r="N33" s="116">
        <f t="shared" si="49"/>
        <v>72.466999999999999</v>
      </c>
      <c r="O33" s="116">
        <f t="shared" si="49"/>
        <v>69.449999999999989</v>
      </c>
      <c r="P33" s="116">
        <f t="shared" si="49"/>
        <v>268.63099999999997</v>
      </c>
      <c r="Q33" s="116">
        <f t="shared" si="49"/>
        <v>60.790999999999997</v>
      </c>
      <c r="R33" s="116">
        <f t="shared" si="49"/>
        <v>80.171999999999997</v>
      </c>
      <c r="S33" s="116">
        <f t="shared" si="49"/>
        <v>83.914999999999992</v>
      </c>
      <c r="T33" s="116">
        <f t="shared" si="49"/>
        <v>57.275999999999996</v>
      </c>
      <c r="U33" s="116">
        <f t="shared" si="49"/>
        <v>282.154</v>
      </c>
      <c r="V33" s="116">
        <f t="shared" si="49"/>
        <v>67.734000000000009</v>
      </c>
      <c r="W33" s="116">
        <f t="shared" si="49"/>
        <v>63.456000000000003</v>
      </c>
      <c r="X33" s="116">
        <f t="shared" si="49"/>
        <v>88.153000000000006</v>
      </c>
      <c r="Y33" s="116">
        <f t="shared" si="49"/>
        <v>68.662000000000006</v>
      </c>
      <c r="Z33" s="116">
        <f t="shared" si="49"/>
        <v>288.005</v>
      </c>
      <c r="AA33" s="116">
        <f t="shared" si="49"/>
        <v>59.958999999999996</v>
      </c>
      <c r="AB33" s="116">
        <f t="shared" si="49"/>
        <v>70.323000000000008</v>
      </c>
      <c r="AC33" s="116">
        <f t="shared" si="49"/>
        <v>80.177999999999997</v>
      </c>
      <c r="AD33" s="116">
        <f t="shared" si="49"/>
        <v>78.744</v>
      </c>
      <c r="AE33" s="116">
        <f t="shared" si="49"/>
        <v>289.20400000000001</v>
      </c>
      <c r="AF33" s="116">
        <f t="shared" si="49"/>
        <v>65.680999999999997</v>
      </c>
      <c r="AG33" s="116">
        <f t="shared" si="49"/>
        <v>65.037999999999997</v>
      </c>
      <c r="AH33" s="116">
        <f t="shared" si="49"/>
        <v>74.277999999999992</v>
      </c>
      <c r="AI33" s="116">
        <f t="shared" si="49"/>
        <v>66.334000000000003</v>
      </c>
      <c r="AJ33" s="116">
        <f t="shared" si="49"/>
        <v>271.33100000000002</v>
      </c>
      <c r="AK33" s="116">
        <f t="shared" si="49"/>
        <v>56.133000000000003</v>
      </c>
      <c r="AL33" s="116">
        <f t="shared" si="49"/>
        <v>72.039000000000001</v>
      </c>
      <c r="AM33" s="116">
        <f t="shared" si="49"/>
        <v>91.132000000000005</v>
      </c>
      <c r="AN33" s="116">
        <f t="shared" si="49"/>
        <v>83.36</v>
      </c>
      <c r="AO33" s="116">
        <f t="shared" si="49"/>
        <v>302.66399999999999</v>
      </c>
      <c r="AP33" s="116">
        <f t="shared" si="49"/>
        <v>75.724000000000004</v>
      </c>
      <c r="AQ33" s="116">
        <f t="shared" si="49"/>
        <v>84.769000000000005</v>
      </c>
      <c r="AR33" s="116">
        <f t="shared" si="49"/>
        <v>83.734000000000009</v>
      </c>
      <c r="AS33" s="116">
        <f t="shared" si="49"/>
        <v>69.061000000000007</v>
      </c>
      <c r="AT33" s="116">
        <f t="shared" si="49"/>
        <v>313.28800000000001</v>
      </c>
      <c r="AU33" s="116">
        <f t="shared" si="49"/>
        <v>75.819999999999993</v>
      </c>
      <c r="AV33" s="116">
        <f t="shared" si="49"/>
        <v>72.282999999999987</v>
      </c>
      <c r="AW33" s="116">
        <f t="shared" si="49"/>
        <v>89.6</v>
      </c>
      <c r="AX33" s="116">
        <f t="shared" si="49"/>
        <v>73.585999999999999</v>
      </c>
      <c r="AY33" s="116">
        <f t="shared" si="49"/>
        <v>311.28899999999999</v>
      </c>
      <c r="AZ33" s="116">
        <f t="shared" si="49"/>
        <v>65.676000000000002</v>
      </c>
      <c r="BA33" s="116">
        <f t="shared" si="49"/>
        <v>68.361000000000004</v>
      </c>
      <c r="BB33" s="116">
        <f t="shared" si="49"/>
        <v>87.430999999999997</v>
      </c>
      <c r="BC33" s="116">
        <f t="shared" si="49"/>
        <v>75.766999999999996</v>
      </c>
      <c r="BD33" s="116">
        <f t="shared" si="49"/>
        <v>297.23500000000001</v>
      </c>
      <c r="BE33" s="116">
        <f t="shared" si="49"/>
        <v>74.197000000000003</v>
      </c>
      <c r="BF33" s="116">
        <f t="shared" si="49"/>
        <v>67.218999999999994</v>
      </c>
      <c r="BG33" s="116">
        <f t="shared" si="49"/>
        <v>86.251999999999981</v>
      </c>
      <c r="BH33" s="116">
        <f t="shared" si="49"/>
        <v>72.966999999999999</v>
      </c>
      <c r="BI33" s="116">
        <f t="shared" si="49"/>
        <v>300.63499999999999</v>
      </c>
      <c r="BJ33" s="116">
        <f t="shared" si="49"/>
        <v>67.364000000000004</v>
      </c>
      <c r="BK33" s="116">
        <f t="shared" si="49"/>
        <v>77.378</v>
      </c>
      <c r="BL33" s="116">
        <f t="shared" si="49"/>
        <v>86.322000000000003</v>
      </c>
      <c r="BM33" s="116">
        <f t="shared" si="49"/>
        <v>68.881999999999991</v>
      </c>
      <c r="BN33" s="116">
        <f t="shared" si="49"/>
        <v>299.94600000000003</v>
      </c>
      <c r="BO33" s="116">
        <f t="shared" si="49"/>
        <v>68.555999999999997</v>
      </c>
      <c r="BP33" s="116">
        <f t="shared" si="49"/>
        <v>74.489000000000004</v>
      </c>
      <c r="BQ33" s="116">
        <f t="shared" si="49"/>
        <v>72.582000000000008</v>
      </c>
      <c r="BR33" s="116">
        <f t="shared" si="49"/>
        <v>66.611000000000004</v>
      </c>
      <c r="BS33" s="116">
        <f t="shared" si="49"/>
        <v>282.23799999999994</v>
      </c>
      <c r="BT33" s="116">
        <f t="shared" si="49"/>
        <v>61.421000000000006</v>
      </c>
      <c r="BU33" s="116">
        <f t="shared" si="49"/>
        <v>66.372</v>
      </c>
      <c r="BV33" s="116">
        <f t="shared" si="49"/>
        <v>65.212000000000003</v>
      </c>
      <c r="BW33" s="116">
        <f t="shared" si="49"/>
        <v>52.815000000000005</v>
      </c>
      <c r="BX33" s="116">
        <f t="shared" si="49"/>
        <v>245.82000000000005</v>
      </c>
      <c r="BY33" s="116">
        <f t="shared" si="49"/>
        <v>73.991</v>
      </c>
      <c r="BZ33" s="116">
        <f t="shared" si="49"/>
        <v>78.231999999999999</v>
      </c>
      <c r="CA33" s="116">
        <f t="shared" si="49"/>
        <v>78.841000000000008</v>
      </c>
      <c r="CB33" s="105"/>
    </row>
    <row r="34" spans="1:80" ht="12.75" x14ac:dyDescent="0.2">
      <c r="A34" s="118"/>
      <c r="B34" s="119"/>
      <c r="C34" s="119"/>
      <c r="D34" s="119"/>
      <c r="E34" s="119"/>
      <c r="F34" s="120"/>
      <c r="G34" s="119"/>
      <c r="H34" s="119"/>
      <c r="I34" s="119"/>
      <c r="J34" s="119"/>
      <c r="K34" s="120"/>
      <c r="L34" s="119"/>
      <c r="M34" s="119"/>
      <c r="N34" s="119"/>
      <c r="O34" s="119"/>
      <c r="P34" s="120"/>
      <c r="Q34" s="119"/>
      <c r="R34" s="119"/>
      <c r="S34" s="119"/>
      <c r="T34" s="119"/>
      <c r="U34" s="120"/>
      <c r="V34" s="119"/>
      <c r="W34" s="119"/>
      <c r="X34" s="119"/>
      <c r="Y34" s="119"/>
      <c r="Z34" s="120"/>
      <c r="AA34" s="119"/>
      <c r="AB34" s="119"/>
      <c r="AC34" s="119"/>
      <c r="AD34" s="119"/>
      <c r="AE34" s="120"/>
      <c r="AF34" s="119"/>
      <c r="AG34" s="119"/>
      <c r="AH34" s="119"/>
      <c r="AI34" s="119"/>
      <c r="AJ34" s="120"/>
      <c r="AK34" s="119"/>
      <c r="AL34" s="119"/>
      <c r="AM34" s="119"/>
      <c r="AN34" s="119"/>
      <c r="AO34" s="120"/>
      <c r="AP34" s="119"/>
      <c r="AQ34" s="119"/>
      <c r="AR34" s="119"/>
      <c r="AS34" s="119"/>
      <c r="AT34" s="120"/>
      <c r="AU34" s="119"/>
      <c r="AV34" s="119"/>
      <c r="AW34" s="119"/>
      <c r="AX34" s="119"/>
      <c r="AY34" s="120"/>
      <c r="AZ34" s="119"/>
      <c r="BA34" s="119"/>
      <c r="BB34" s="119"/>
      <c r="BC34" s="119"/>
      <c r="BD34" s="120"/>
      <c r="BE34" s="119"/>
      <c r="BF34" s="119"/>
      <c r="BG34" s="119"/>
      <c r="BH34" s="119"/>
      <c r="BI34" s="120"/>
      <c r="BJ34" s="119"/>
      <c r="BK34" s="119"/>
      <c r="BL34" s="119"/>
      <c r="BM34" s="119"/>
      <c r="BN34" s="120"/>
      <c r="BO34" s="119"/>
      <c r="BP34" s="119"/>
      <c r="BQ34" s="119"/>
      <c r="BR34" s="119"/>
      <c r="BS34" s="120"/>
      <c r="BT34" s="119"/>
      <c r="BU34" s="119"/>
      <c r="BV34" s="119"/>
      <c r="BW34" s="119"/>
      <c r="BX34" s="120"/>
      <c r="BY34" s="119"/>
      <c r="BZ34" s="119"/>
      <c r="CA34" s="119"/>
      <c r="CB34" s="105"/>
    </row>
    <row r="35" spans="1:80" ht="12.75" x14ac:dyDescent="0.2">
      <c r="A35" s="115" t="s">
        <v>141</v>
      </c>
      <c r="B35" s="104">
        <f t="shared" ref="B35:BL35" si="50">B14+B23</f>
        <v>198.01900000000001</v>
      </c>
      <c r="C35" s="104">
        <f t="shared" si="50"/>
        <v>198.16699999999997</v>
      </c>
      <c r="D35" s="104">
        <f t="shared" si="50"/>
        <v>223.72300000000004</v>
      </c>
      <c r="E35" s="104">
        <f t="shared" si="50"/>
        <v>242.31099999999998</v>
      </c>
      <c r="F35" s="104">
        <f t="shared" si="50"/>
        <v>862.22</v>
      </c>
      <c r="G35" s="104">
        <f t="shared" si="50"/>
        <v>178.43900000000002</v>
      </c>
      <c r="H35" s="104">
        <f t="shared" si="50"/>
        <v>237.97399999999999</v>
      </c>
      <c r="I35" s="104">
        <f t="shared" si="50"/>
        <v>247.999</v>
      </c>
      <c r="J35" s="104">
        <f t="shared" si="50"/>
        <v>225.63499999999999</v>
      </c>
      <c r="K35" s="104">
        <f t="shared" si="50"/>
        <v>890.04699999999991</v>
      </c>
      <c r="L35" s="104">
        <f t="shared" si="50"/>
        <v>207.69400000000002</v>
      </c>
      <c r="M35" s="104">
        <f t="shared" si="50"/>
        <v>234.45099999999996</v>
      </c>
      <c r="N35" s="104">
        <f t="shared" si="50"/>
        <v>247.81099999999998</v>
      </c>
      <c r="O35" s="104">
        <f t="shared" si="50"/>
        <v>238.761</v>
      </c>
      <c r="P35" s="104">
        <f t="shared" si="50"/>
        <v>928.71699999999998</v>
      </c>
      <c r="Q35" s="104">
        <f t="shared" si="50"/>
        <v>202.56</v>
      </c>
      <c r="R35" s="104">
        <f t="shared" si="50"/>
        <v>236.00699999999998</v>
      </c>
      <c r="S35" s="104">
        <f t="shared" si="50"/>
        <v>252.309</v>
      </c>
      <c r="T35" s="104">
        <f t="shared" si="50"/>
        <v>210.44400000000002</v>
      </c>
      <c r="U35" s="104">
        <f t="shared" si="50"/>
        <v>901.32000000000016</v>
      </c>
      <c r="V35" s="104">
        <f t="shared" si="50"/>
        <v>210.09399999999999</v>
      </c>
      <c r="W35" s="104">
        <f t="shared" si="50"/>
        <v>216.34000000000003</v>
      </c>
      <c r="X35" s="104">
        <f t="shared" si="50"/>
        <v>255.28800000000001</v>
      </c>
      <c r="Y35" s="104">
        <f t="shared" si="50"/>
        <v>226.559</v>
      </c>
      <c r="Z35" s="104">
        <f t="shared" si="50"/>
        <v>908.28099999999995</v>
      </c>
      <c r="AA35" s="104">
        <f t="shared" si="50"/>
        <v>195.77600000000001</v>
      </c>
      <c r="AB35" s="104">
        <f t="shared" si="50"/>
        <v>229.27199999999999</v>
      </c>
      <c r="AC35" s="104">
        <f t="shared" si="50"/>
        <v>247.02600000000001</v>
      </c>
      <c r="AD35" s="104">
        <f t="shared" si="50"/>
        <v>265.44200000000001</v>
      </c>
      <c r="AE35" s="104">
        <f t="shared" si="50"/>
        <v>937.51600000000008</v>
      </c>
      <c r="AF35" s="104">
        <f t="shared" si="50"/>
        <v>243.52399999999997</v>
      </c>
      <c r="AG35" s="104">
        <f t="shared" si="50"/>
        <v>245.815</v>
      </c>
      <c r="AH35" s="104">
        <f t="shared" si="50"/>
        <v>250.53899999999999</v>
      </c>
      <c r="AI35" s="104">
        <f t="shared" si="50"/>
        <v>235.238</v>
      </c>
      <c r="AJ35" s="104">
        <f t="shared" si="50"/>
        <v>975.11599999999999</v>
      </c>
      <c r="AK35" s="104">
        <f t="shared" si="50"/>
        <v>225.79399999999998</v>
      </c>
      <c r="AL35" s="104">
        <f t="shared" si="50"/>
        <v>255.75700000000001</v>
      </c>
      <c r="AM35" s="104">
        <f t="shared" si="50"/>
        <v>288.721</v>
      </c>
      <c r="AN35" s="104">
        <f t="shared" si="50"/>
        <v>264.88600000000002</v>
      </c>
      <c r="AO35" s="104">
        <f t="shared" si="50"/>
        <v>1035.1579999999999</v>
      </c>
      <c r="AP35" s="104">
        <f t="shared" si="50"/>
        <v>237.46500000000003</v>
      </c>
      <c r="AQ35" s="104">
        <f t="shared" si="50"/>
        <v>266.01600000000002</v>
      </c>
      <c r="AR35" s="104">
        <f t="shared" si="50"/>
        <v>275.28999999999996</v>
      </c>
      <c r="AS35" s="104">
        <f t="shared" si="50"/>
        <v>251.13400000000001</v>
      </c>
      <c r="AT35" s="104">
        <f t="shared" si="50"/>
        <v>1029.9050000000002</v>
      </c>
      <c r="AU35" s="104">
        <f t="shared" si="50"/>
        <v>248.84099999999998</v>
      </c>
      <c r="AV35" s="104">
        <f t="shared" si="50"/>
        <v>254.61599999999996</v>
      </c>
      <c r="AW35" s="104">
        <f t="shared" si="50"/>
        <v>295.43399999999997</v>
      </c>
      <c r="AX35" s="104">
        <f t="shared" si="50"/>
        <v>269.19899999999996</v>
      </c>
      <c r="AY35" s="104">
        <f t="shared" si="50"/>
        <v>1068.0900000000001</v>
      </c>
      <c r="AZ35" s="104">
        <f t="shared" si="50"/>
        <v>248.19800000000001</v>
      </c>
      <c r="BA35" s="104">
        <f t="shared" si="50"/>
        <v>235.82500000000002</v>
      </c>
      <c r="BB35" s="104">
        <f t="shared" si="50"/>
        <v>312.28300000000002</v>
      </c>
      <c r="BC35" s="104">
        <f t="shared" si="50"/>
        <v>276.39699999999993</v>
      </c>
      <c r="BD35" s="104">
        <f t="shared" si="50"/>
        <v>1072.703</v>
      </c>
      <c r="BE35" s="104">
        <f t="shared" si="50"/>
        <v>244.096</v>
      </c>
      <c r="BF35" s="104">
        <f t="shared" si="50"/>
        <v>242.61599999999999</v>
      </c>
      <c r="BG35" s="104">
        <f t="shared" si="50"/>
        <v>275.88299999999998</v>
      </c>
      <c r="BH35" s="104">
        <f t="shared" si="50"/>
        <v>264.99099999999999</v>
      </c>
      <c r="BI35" s="104">
        <f t="shared" si="50"/>
        <v>1027.586</v>
      </c>
      <c r="BJ35" s="104">
        <f t="shared" si="50"/>
        <v>243.86799999999999</v>
      </c>
      <c r="BK35" s="104">
        <f t="shared" si="50"/>
        <v>240.13300000000001</v>
      </c>
      <c r="BL35" s="104">
        <f t="shared" si="50"/>
        <v>279.11</v>
      </c>
      <c r="BM35" s="104">
        <v>254.5</v>
      </c>
      <c r="BN35" s="104">
        <f>BN14+BN23</f>
        <v>1017.673</v>
      </c>
      <c r="BO35" s="104">
        <v>257.88</v>
      </c>
      <c r="BP35" s="104">
        <f t="shared" ref="BP35:BY35" si="51">BP14+BP23</f>
        <v>280.72000000000003</v>
      </c>
      <c r="BQ35" s="104">
        <f t="shared" si="51"/>
        <v>258.35300000000001</v>
      </c>
      <c r="BR35" s="104">
        <f t="shared" si="51"/>
        <v>245.32999999999998</v>
      </c>
      <c r="BS35" s="104">
        <f t="shared" si="51"/>
        <v>1042.2829999999999</v>
      </c>
      <c r="BT35" s="104">
        <f t="shared" si="51"/>
        <v>222.93600000000001</v>
      </c>
      <c r="BU35" s="104">
        <f t="shared" si="51"/>
        <v>235.06199999999998</v>
      </c>
      <c r="BV35" s="104">
        <f t="shared" si="51"/>
        <v>227.68200000000002</v>
      </c>
      <c r="BW35" s="104">
        <f t="shared" si="51"/>
        <v>230.26200000000003</v>
      </c>
      <c r="BX35" s="104">
        <f t="shared" si="51"/>
        <v>915.94200000000001</v>
      </c>
      <c r="BY35" s="104">
        <f t="shared" si="51"/>
        <v>237.69900000000001</v>
      </c>
      <c r="BZ35" s="104">
        <v>252.751</v>
      </c>
      <c r="CA35" s="104">
        <v>277.274</v>
      </c>
      <c r="CB35" s="105"/>
    </row>
    <row r="36" spans="1:80" ht="12.75" x14ac:dyDescent="0.2">
      <c r="A36" s="121" t="s">
        <v>142</v>
      </c>
      <c r="B36" s="113"/>
      <c r="C36" s="113"/>
      <c r="D36" s="113"/>
      <c r="E36" s="113"/>
      <c r="F36" s="114"/>
      <c r="G36" s="113"/>
      <c r="H36" s="113"/>
      <c r="I36" s="113"/>
      <c r="J36" s="113"/>
      <c r="K36" s="114"/>
      <c r="L36" s="113"/>
      <c r="M36" s="113"/>
      <c r="N36" s="113"/>
      <c r="O36" s="113"/>
      <c r="P36" s="114"/>
      <c r="Q36" s="113"/>
      <c r="R36" s="113"/>
      <c r="S36" s="113"/>
      <c r="T36" s="113"/>
      <c r="U36" s="114"/>
      <c r="V36" s="113"/>
      <c r="W36" s="113"/>
      <c r="X36" s="113"/>
      <c r="Y36" s="113"/>
      <c r="Z36" s="114"/>
      <c r="AA36" s="113"/>
      <c r="AB36" s="113"/>
      <c r="AC36" s="113"/>
      <c r="AD36" s="113"/>
      <c r="AE36" s="114"/>
      <c r="AF36" s="113"/>
      <c r="AG36" s="113"/>
      <c r="AH36" s="113"/>
      <c r="AI36" s="113"/>
      <c r="AJ36" s="114"/>
      <c r="AK36" s="113"/>
      <c r="AL36" s="113"/>
      <c r="AM36" s="113"/>
      <c r="AN36" s="113"/>
      <c r="AO36" s="114"/>
      <c r="AP36" s="113"/>
      <c r="AQ36" s="113"/>
      <c r="AR36" s="113"/>
      <c r="AS36" s="113"/>
      <c r="AT36" s="114"/>
      <c r="AU36" s="113"/>
      <c r="AV36" s="113"/>
      <c r="AW36" s="113"/>
      <c r="AX36" s="113"/>
      <c r="AY36" s="114"/>
      <c r="AZ36" s="113"/>
      <c r="BA36" s="113"/>
      <c r="BB36" s="113"/>
      <c r="BC36" s="113"/>
      <c r="BD36" s="114"/>
      <c r="BE36" s="113"/>
      <c r="BF36" s="113"/>
      <c r="BG36" s="113"/>
      <c r="BH36" s="113"/>
      <c r="BI36" s="114"/>
      <c r="BJ36" s="113"/>
      <c r="BK36" s="113"/>
      <c r="BL36" s="113"/>
      <c r="BM36" s="113"/>
      <c r="BN36" s="114"/>
      <c r="BO36" s="113"/>
      <c r="BP36" s="113"/>
      <c r="BQ36" s="113"/>
      <c r="BR36" s="113"/>
      <c r="BS36" s="114"/>
      <c r="BT36" s="113"/>
      <c r="BU36" s="113"/>
      <c r="BV36" s="113"/>
      <c r="BW36" s="113"/>
      <c r="BX36" s="114"/>
      <c r="BY36" s="113"/>
      <c r="BZ36" s="113"/>
      <c r="CA36" s="113"/>
      <c r="CB36" s="122"/>
    </row>
    <row r="37" spans="1:80" ht="12.75" x14ac:dyDescent="0.2">
      <c r="A37" s="112"/>
      <c r="B37" s="113"/>
      <c r="C37" s="113"/>
      <c r="D37" s="113"/>
      <c r="E37" s="113"/>
      <c r="F37" s="114"/>
      <c r="G37" s="113"/>
      <c r="H37" s="113"/>
      <c r="I37" s="113"/>
      <c r="J37" s="113"/>
      <c r="K37" s="114"/>
      <c r="L37" s="113"/>
      <c r="M37" s="113"/>
      <c r="N37" s="113"/>
      <c r="O37" s="113"/>
      <c r="P37" s="114"/>
      <c r="Q37" s="113"/>
      <c r="R37" s="113"/>
      <c r="S37" s="113"/>
      <c r="T37" s="113"/>
      <c r="U37" s="114"/>
      <c r="V37" s="113"/>
      <c r="W37" s="113"/>
      <c r="X37" s="113"/>
      <c r="Y37" s="113"/>
      <c r="Z37" s="114"/>
      <c r="AA37" s="113"/>
      <c r="AB37" s="113"/>
      <c r="AC37" s="113"/>
      <c r="AD37" s="113"/>
      <c r="AE37" s="114"/>
      <c r="AF37" s="113"/>
      <c r="AG37" s="113"/>
      <c r="AH37" s="113"/>
      <c r="AI37" s="113"/>
      <c r="AJ37" s="114"/>
      <c r="AK37" s="113"/>
      <c r="AL37" s="113"/>
      <c r="AM37" s="113"/>
      <c r="AN37" s="113"/>
      <c r="AO37" s="114"/>
      <c r="AP37" s="113"/>
      <c r="AQ37" s="113"/>
      <c r="AR37" s="113"/>
      <c r="AS37" s="113"/>
      <c r="AT37" s="114"/>
      <c r="AU37" s="113"/>
      <c r="AV37" s="113"/>
      <c r="AW37" s="113"/>
      <c r="AX37" s="113"/>
      <c r="AY37" s="114"/>
      <c r="AZ37" s="113"/>
      <c r="BA37" s="113"/>
      <c r="BB37" s="113"/>
      <c r="BC37" s="113"/>
      <c r="BD37" s="114"/>
      <c r="BE37" s="113"/>
      <c r="BF37" s="113"/>
      <c r="BG37" s="113"/>
      <c r="BH37" s="113"/>
      <c r="BI37" s="114"/>
      <c r="BJ37" s="113"/>
      <c r="BK37" s="113"/>
      <c r="BL37" s="113"/>
      <c r="BM37" s="113"/>
      <c r="BN37" s="114"/>
      <c r="BO37" s="113"/>
      <c r="BP37" s="113"/>
      <c r="BQ37" s="113"/>
      <c r="BR37" s="113"/>
      <c r="BS37" s="114"/>
      <c r="BT37" s="113"/>
      <c r="BU37" s="113"/>
      <c r="BV37" s="113"/>
      <c r="BW37" s="113"/>
      <c r="BX37" s="114"/>
      <c r="BY37" s="113"/>
      <c r="BZ37" s="113"/>
      <c r="CA37" s="113"/>
      <c r="CB37" s="105"/>
    </row>
    <row r="38" spans="1:80" ht="12.75" x14ac:dyDescent="0.2">
      <c r="A38" s="123" t="s">
        <v>23</v>
      </c>
      <c r="B38" s="96"/>
      <c r="C38" s="96"/>
      <c r="D38" s="96"/>
      <c r="E38" s="96"/>
      <c r="F38" s="95"/>
      <c r="G38" s="96"/>
      <c r="H38" s="96"/>
      <c r="I38" s="96"/>
      <c r="J38" s="96"/>
      <c r="K38" s="95"/>
      <c r="L38" s="96"/>
      <c r="M38" s="96"/>
      <c r="N38" s="96"/>
      <c r="O38" s="96"/>
      <c r="P38" s="95"/>
      <c r="Q38" s="96"/>
      <c r="R38" s="96"/>
      <c r="S38" s="96"/>
      <c r="T38" s="96"/>
      <c r="U38" s="95"/>
      <c r="V38" s="96"/>
      <c r="W38" s="96"/>
      <c r="X38" s="96"/>
      <c r="Y38" s="96"/>
      <c r="Z38" s="95"/>
      <c r="AA38" s="96"/>
      <c r="AB38" s="96"/>
      <c r="AC38" s="96"/>
      <c r="AD38" s="96"/>
      <c r="AE38" s="95"/>
      <c r="AF38" s="96"/>
      <c r="AG38" s="96"/>
      <c r="AH38" s="96"/>
      <c r="AI38" s="96"/>
      <c r="AJ38" s="95"/>
      <c r="AK38" s="96"/>
      <c r="AL38" s="96"/>
      <c r="AM38" s="96"/>
      <c r="AN38" s="96"/>
      <c r="AO38" s="95"/>
      <c r="AP38" s="96"/>
      <c r="AQ38" s="96"/>
      <c r="AR38" s="96"/>
      <c r="AS38" s="96"/>
      <c r="AT38" s="95"/>
      <c r="AU38" s="96"/>
      <c r="AV38" s="96"/>
      <c r="AW38" s="96"/>
      <c r="AX38" s="96"/>
      <c r="AY38" s="95"/>
      <c r="AZ38" s="96"/>
      <c r="BA38" s="96"/>
      <c r="BB38" s="96"/>
      <c r="BC38" s="96"/>
      <c r="BD38" s="95"/>
      <c r="BE38" s="96"/>
      <c r="BF38" s="96"/>
      <c r="BG38" s="96"/>
      <c r="BH38" s="96"/>
      <c r="BI38" s="95"/>
      <c r="BJ38" s="96"/>
      <c r="BK38" s="96"/>
      <c r="BL38" s="96"/>
      <c r="BM38" s="96"/>
      <c r="BN38" s="95"/>
      <c r="BO38" s="96"/>
      <c r="BP38" s="96"/>
      <c r="BQ38" s="96"/>
      <c r="BR38" s="96"/>
      <c r="BS38" s="95"/>
      <c r="BT38" s="96"/>
      <c r="BU38" s="96"/>
      <c r="BV38" s="96"/>
      <c r="BW38" s="96"/>
      <c r="BX38" s="95"/>
      <c r="BY38" s="96"/>
      <c r="BZ38" s="96"/>
      <c r="CA38" s="96"/>
      <c r="CB38" s="105"/>
    </row>
    <row r="39" spans="1:80" ht="14.25" customHeight="1" x14ac:dyDescent="0.2">
      <c r="A39" s="124" t="s">
        <v>143</v>
      </c>
      <c r="B39" s="125">
        <v>14639.5</v>
      </c>
      <c r="C39" s="125">
        <v>13928.5</v>
      </c>
      <c r="D39" s="125">
        <v>13835</v>
      </c>
      <c r="E39" s="125">
        <v>13252</v>
      </c>
      <c r="F39" s="125">
        <f>SUM(B39:E39)</f>
        <v>55655</v>
      </c>
      <c r="G39" s="125">
        <v>12295</v>
      </c>
      <c r="H39" s="125">
        <v>12508.5</v>
      </c>
      <c r="I39" s="125">
        <v>12714</v>
      </c>
      <c r="J39" s="125">
        <v>12547</v>
      </c>
      <c r="K39" s="125">
        <f>SUM(G39:J39)</f>
        <v>50064.5</v>
      </c>
      <c r="L39" s="125">
        <v>12352.5</v>
      </c>
      <c r="M39" s="125">
        <v>12553</v>
      </c>
      <c r="N39" s="125">
        <v>13180</v>
      </c>
      <c r="O39" s="125">
        <v>13422</v>
      </c>
      <c r="P39" s="125">
        <f>SUM(L39:O39)</f>
        <v>51507.5</v>
      </c>
      <c r="Q39" s="125">
        <v>13164</v>
      </c>
      <c r="R39" s="125">
        <v>12888</v>
      </c>
      <c r="S39" s="125">
        <v>13885.973371228312</v>
      </c>
      <c r="T39" s="125">
        <v>14723.496628771689</v>
      </c>
      <c r="U39" s="125">
        <f>SUM(Q39:T39)</f>
        <v>54661.47</v>
      </c>
      <c r="V39" s="125">
        <v>13423.5</v>
      </c>
      <c r="W39" s="125">
        <v>12483</v>
      </c>
      <c r="X39" s="125">
        <v>13138</v>
      </c>
      <c r="Y39" s="125">
        <v>13159.5</v>
      </c>
      <c r="Z39" s="125">
        <f>SUM(V39:Y39)</f>
        <v>52204</v>
      </c>
      <c r="AA39" s="125">
        <v>12514</v>
      </c>
      <c r="AB39" s="125">
        <v>13193</v>
      </c>
      <c r="AC39" s="125">
        <v>13638.5</v>
      </c>
      <c r="AD39" s="125">
        <v>14523.5</v>
      </c>
      <c r="AE39" s="125">
        <f>SUM(AA39:AD39)</f>
        <v>53869</v>
      </c>
      <c r="AF39" s="125">
        <v>13682.5</v>
      </c>
      <c r="AG39" s="125">
        <v>14014.5</v>
      </c>
      <c r="AH39" s="125">
        <v>14913.5</v>
      </c>
      <c r="AI39" s="125">
        <v>15932.5</v>
      </c>
      <c r="AJ39" s="125">
        <f>SUM(AF39:AI39)</f>
        <v>58543</v>
      </c>
      <c r="AK39" s="125">
        <v>14905</v>
      </c>
      <c r="AL39" s="125">
        <v>14744</v>
      </c>
      <c r="AM39" s="125">
        <v>14682</v>
      </c>
      <c r="AN39" s="125">
        <v>14289</v>
      </c>
      <c r="AO39" s="125">
        <f>SUM(AK39:AN39)</f>
        <v>58620</v>
      </c>
      <c r="AP39" s="125">
        <v>13868</v>
      </c>
      <c r="AQ39" s="125">
        <v>14346</v>
      </c>
      <c r="AR39" s="125">
        <v>15040</v>
      </c>
      <c r="AS39" s="125">
        <v>15121.5</v>
      </c>
      <c r="AT39" s="125">
        <f>SUM(AP39:AS39)</f>
        <v>58375.5</v>
      </c>
      <c r="AU39" s="125">
        <v>14742</v>
      </c>
      <c r="AV39" s="125">
        <v>15160</v>
      </c>
      <c r="AW39" s="125">
        <v>15067</v>
      </c>
      <c r="AX39" s="125">
        <v>14827</v>
      </c>
      <c r="AY39" s="125">
        <f>SUM(AU39:AX39)</f>
        <v>59796</v>
      </c>
      <c r="AZ39" s="125">
        <v>14013</v>
      </c>
      <c r="BA39" s="125">
        <v>13871.5</v>
      </c>
      <c r="BB39" s="125">
        <v>13992</v>
      </c>
      <c r="BC39" s="125">
        <v>14237</v>
      </c>
      <c r="BD39" s="125">
        <f>SUM(AZ39:BC39)</f>
        <v>56113.5</v>
      </c>
      <c r="BE39" s="125">
        <v>12925.5</v>
      </c>
      <c r="BF39" s="125">
        <v>12913.5</v>
      </c>
      <c r="BG39" s="125">
        <v>13724</v>
      </c>
      <c r="BH39" s="125">
        <v>13524.5</v>
      </c>
      <c r="BI39" s="125">
        <f>SUM(BE39:BH39)</f>
        <v>53087.5</v>
      </c>
      <c r="BJ39" s="125">
        <v>12539.5</v>
      </c>
      <c r="BK39" s="125">
        <v>12635.5</v>
      </c>
      <c r="BL39" s="125">
        <v>13973</v>
      </c>
      <c r="BM39" s="125">
        <v>13725</v>
      </c>
      <c r="BN39" s="125">
        <f>SUM(BJ39:BM39)</f>
        <v>52873</v>
      </c>
      <c r="BO39" s="125">
        <v>13204</v>
      </c>
      <c r="BP39" s="125">
        <v>13753</v>
      </c>
      <c r="BQ39" s="125">
        <v>13746</v>
      </c>
      <c r="BR39" s="125">
        <v>13686</v>
      </c>
      <c r="BS39" s="125">
        <f>SUM(BO39:BR39)</f>
        <v>54389</v>
      </c>
      <c r="BT39" s="125">
        <v>12957</v>
      </c>
      <c r="BU39" s="125">
        <v>13789</v>
      </c>
      <c r="BV39" s="99">
        <v>14087</v>
      </c>
      <c r="BW39" s="99">
        <v>14032</v>
      </c>
      <c r="BX39" s="125">
        <f>SUM(BT39:BW39)</f>
        <v>54865</v>
      </c>
      <c r="BY39" s="99">
        <v>13360</v>
      </c>
      <c r="BZ39" s="99">
        <v>13719</v>
      </c>
      <c r="CA39" s="99">
        <v>14914</v>
      </c>
      <c r="CB39" s="105"/>
    </row>
    <row r="40" spans="1:80" ht="13.5" customHeight="1" x14ac:dyDescent="0.2">
      <c r="A40" s="106" t="s">
        <v>144</v>
      </c>
      <c r="B40" s="126">
        <v>44.3048772</v>
      </c>
      <c r="C40" s="126">
        <v>50.229956999999999</v>
      </c>
      <c r="D40" s="126">
        <v>50.09462336</v>
      </c>
      <c r="E40" s="126">
        <v>48.684722989999997</v>
      </c>
      <c r="F40" s="113">
        <f>AVERAGE(B40:E40)</f>
        <v>48.328545137500001</v>
      </c>
      <c r="G40" s="113">
        <v>48.668691840000001</v>
      </c>
      <c r="H40" s="113">
        <v>50.516813339999999</v>
      </c>
      <c r="I40" s="113">
        <v>50.068909320000003</v>
      </c>
      <c r="J40" s="113">
        <v>48.112282810000004</v>
      </c>
      <c r="K40" s="113">
        <f>AVERAGE(G40:J40)</f>
        <v>49.341674327500002</v>
      </c>
      <c r="L40" s="113">
        <v>46.690706730000002</v>
      </c>
      <c r="M40" s="113">
        <v>51.353516849999998</v>
      </c>
      <c r="N40" s="113">
        <v>51.468644400000002</v>
      </c>
      <c r="O40" s="113">
        <v>48.861890709999997</v>
      </c>
      <c r="P40" s="113">
        <f>AVERAGE(L40:O40)</f>
        <v>49.593689672500005</v>
      </c>
      <c r="Q40" s="113">
        <v>47.951945309999999</v>
      </c>
      <c r="R40" s="113">
        <v>52.216331529999998</v>
      </c>
      <c r="S40" s="113">
        <v>52.686824399999999</v>
      </c>
      <c r="T40" s="113">
        <v>50.96969095</v>
      </c>
      <c r="U40" s="113">
        <f>AVERAGE(Q40:T40)</f>
        <v>50.956198047500003</v>
      </c>
      <c r="V40" s="113">
        <v>49.652428069999999</v>
      </c>
      <c r="W40" s="113">
        <v>52.60755958</v>
      </c>
      <c r="X40" s="113">
        <v>54.629755279999998</v>
      </c>
      <c r="Y40" s="113">
        <v>54.520340959999999</v>
      </c>
      <c r="Z40" s="113">
        <f>AVERAGE(V40:Y40)</f>
        <v>52.852520972500002</v>
      </c>
      <c r="AA40" s="113">
        <v>56.647444110000002</v>
      </c>
      <c r="AB40" s="113">
        <v>56.730687199999998</v>
      </c>
      <c r="AC40" s="113">
        <v>58.01037419</v>
      </c>
      <c r="AD40" s="113">
        <v>60.02569811</v>
      </c>
      <c r="AE40" s="113">
        <f>AVERAGE(AA40:AD40)</f>
        <v>57.853550902500004</v>
      </c>
      <c r="AF40" s="113">
        <v>61.67473811</v>
      </c>
      <c r="AG40" s="113">
        <v>62.826113599999999</v>
      </c>
      <c r="AH40" s="113">
        <v>63.235694619999997</v>
      </c>
      <c r="AI40" s="113">
        <v>62.820364840000003</v>
      </c>
      <c r="AJ40" s="113">
        <f>AVERAGE(AF40:AI40)</f>
        <v>62.639227792500002</v>
      </c>
      <c r="AK40" s="113">
        <v>61.857490380000002</v>
      </c>
      <c r="AL40" s="113">
        <v>63.015883629999998</v>
      </c>
      <c r="AM40" s="113">
        <v>64.228747999999996</v>
      </c>
      <c r="AN40" s="113">
        <v>64.5770366</v>
      </c>
      <c r="AO40" s="113">
        <f>AVERAGE(AK40:AN40)</f>
        <v>63.4197896525</v>
      </c>
      <c r="AP40" s="113">
        <v>62.900871250000002</v>
      </c>
      <c r="AQ40" s="113">
        <v>64.692057489999996</v>
      </c>
      <c r="AR40" s="113">
        <v>64.556510220000007</v>
      </c>
      <c r="AS40" s="113">
        <v>64.642947149999998</v>
      </c>
      <c r="AT40" s="113">
        <f>AVERAGE(AP40:AS40)</f>
        <v>64.198096527499999</v>
      </c>
      <c r="AU40" s="113">
        <v>70.642191600000004</v>
      </c>
      <c r="AV40" s="113">
        <v>70.448877300000007</v>
      </c>
      <c r="AW40" s="113">
        <v>71.720276920000003</v>
      </c>
      <c r="AX40" s="113">
        <v>71.77359568</v>
      </c>
      <c r="AY40" s="113">
        <f>AVERAGE(AU40:AX40)</f>
        <v>71.146235375000003</v>
      </c>
      <c r="AZ40" s="113">
        <v>70.420310959999995</v>
      </c>
      <c r="BA40" s="113">
        <v>76.207122850000005</v>
      </c>
      <c r="BB40" s="113">
        <v>77.505579280000006</v>
      </c>
      <c r="BC40" s="113">
        <v>75.710827309999999</v>
      </c>
      <c r="BD40" s="113">
        <f>AVERAGE(AZ40:BC40)</f>
        <v>74.960960100000008</v>
      </c>
      <c r="BE40" s="113">
        <v>74.551301539999997</v>
      </c>
      <c r="BF40" s="113">
        <v>75.624403079999993</v>
      </c>
      <c r="BG40" s="113">
        <v>77.618311120000001</v>
      </c>
      <c r="BH40" s="113">
        <v>78.62426705</v>
      </c>
      <c r="BI40" s="113">
        <f>AVERAGE(BE40:BH40)</f>
        <v>76.604570697499994</v>
      </c>
      <c r="BJ40" s="113">
        <v>75.462432059999998</v>
      </c>
      <c r="BK40" s="113">
        <v>83.617355989999993</v>
      </c>
      <c r="BL40" s="113">
        <v>88.680112080000001</v>
      </c>
      <c r="BM40" s="113">
        <v>90.95336442</v>
      </c>
      <c r="BN40" s="113">
        <f>AVERAGE(BJ40:BM40)</f>
        <v>84.678316137500005</v>
      </c>
      <c r="BO40" s="113">
        <v>88.309501609999998</v>
      </c>
      <c r="BP40" s="113">
        <v>84.78114583</v>
      </c>
      <c r="BQ40" s="113">
        <v>89.845499689999997</v>
      </c>
      <c r="BR40" s="113">
        <v>89.624158570000006</v>
      </c>
      <c r="BS40" s="113">
        <f>AVERAGE(BO40:BR40)</f>
        <v>88.140076425000004</v>
      </c>
      <c r="BT40" s="113">
        <v>85.597108390000002</v>
      </c>
      <c r="BU40" s="113">
        <v>87.797318340000004</v>
      </c>
      <c r="BV40" s="113">
        <v>93.085032662513029</v>
      </c>
      <c r="BW40" s="113">
        <v>91.246175714126139</v>
      </c>
      <c r="BX40" s="113">
        <f>AVERAGE(BT40:BW40)</f>
        <v>89.431408776659794</v>
      </c>
      <c r="BY40" s="113">
        <v>86.91888982905084</v>
      </c>
      <c r="BZ40" s="113">
        <v>91.120421179999994</v>
      </c>
      <c r="CA40" s="113">
        <v>92.820714150000001</v>
      </c>
      <c r="CB40" s="105"/>
    </row>
    <row r="41" spans="1:80" ht="12.75" x14ac:dyDescent="0.2">
      <c r="A41" s="106"/>
      <c r="B41" s="127"/>
      <c r="C41" s="127"/>
      <c r="D41" s="127"/>
      <c r="E41" s="127"/>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05"/>
    </row>
    <row r="42" spans="1:80" ht="12.75" x14ac:dyDescent="0.2">
      <c r="A42" s="129" t="s">
        <v>27</v>
      </c>
      <c r="B42" s="96"/>
      <c r="C42" s="96"/>
      <c r="D42" s="96"/>
      <c r="E42" s="96"/>
      <c r="F42" s="95"/>
      <c r="G42" s="96"/>
      <c r="H42" s="96"/>
      <c r="I42" s="96"/>
      <c r="J42" s="96"/>
      <c r="K42" s="95"/>
      <c r="L42" s="96"/>
      <c r="M42" s="96"/>
      <c r="N42" s="96"/>
      <c r="O42" s="96"/>
      <c r="P42" s="95"/>
      <c r="Q42" s="96"/>
      <c r="R42" s="96"/>
      <c r="S42" s="96"/>
      <c r="T42" s="96"/>
      <c r="U42" s="95"/>
      <c r="V42" s="96"/>
      <c r="W42" s="96"/>
      <c r="X42" s="96"/>
      <c r="Y42" s="96"/>
      <c r="Z42" s="95"/>
      <c r="AA42" s="96"/>
      <c r="AB42" s="96"/>
      <c r="AC42" s="96"/>
      <c r="AD42" s="96"/>
      <c r="AE42" s="95"/>
      <c r="AF42" s="96"/>
      <c r="AG42" s="96"/>
      <c r="AH42" s="96"/>
      <c r="AI42" s="96"/>
      <c r="AJ42" s="95"/>
      <c r="AK42" s="96"/>
      <c r="AL42" s="96"/>
      <c r="AM42" s="96"/>
      <c r="AN42" s="96"/>
      <c r="AO42" s="95"/>
      <c r="AP42" s="96"/>
      <c r="AQ42" s="96"/>
      <c r="AR42" s="96"/>
      <c r="AS42" s="96"/>
      <c r="AT42" s="95"/>
      <c r="AU42" s="96"/>
      <c r="AV42" s="96"/>
      <c r="AW42" s="96"/>
      <c r="AX42" s="96"/>
      <c r="AY42" s="95"/>
      <c r="AZ42" s="96"/>
      <c r="BA42" s="96"/>
      <c r="BB42" s="96"/>
      <c r="BC42" s="96"/>
      <c r="BD42" s="95"/>
      <c r="BE42" s="96"/>
      <c r="BF42" s="96"/>
      <c r="BG42" s="96"/>
      <c r="BH42" s="96"/>
      <c r="BI42" s="95"/>
      <c r="BJ42" s="96"/>
      <c r="BK42" s="96"/>
      <c r="BL42" s="96"/>
      <c r="BM42" s="96"/>
      <c r="BN42" s="95"/>
      <c r="BO42" s="96"/>
      <c r="BP42" s="96"/>
      <c r="BQ42" s="96"/>
      <c r="BR42" s="96"/>
      <c r="BS42" s="95"/>
      <c r="BT42" s="96"/>
      <c r="BU42" s="96"/>
      <c r="BV42" s="96"/>
      <c r="BW42" s="96"/>
      <c r="BX42" s="95"/>
      <c r="BY42" s="96"/>
      <c r="BZ42" s="96"/>
      <c r="CA42" s="96"/>
      <c r="CB42" s="105"/>
    </row>
    <row r="43" spans="1:80" ht="12.75" x14ac:dyDescent="0.2">
      <c r="A43" s="130" t="s">
        <v>145</v>
      </c>
      <c r="B43" s="131" t="s">
        <v>146</v>
      </c>
      <c r="C43" s="131" t="s">
        <v>146</v>
      </c>
      <c r="D43" s="131" t="s">
        <v>146</v>
      </c>
      <c r="E43" s="131" t="s">
        <v>146</v>
      </c>
      <c r="F43" s="132" t="s">
        <v>146</v>
      </c>
      <c r="G43" s="132">
        <v>118</v>
      </c>
      <c r="H43" s="132">
        <v>153</v>
      </c>
      <c r="I43" s="132">
        <v>160</v>
      </c>
      <c r="J43" s="132">
        <v>203</v>
      </c>
      <c r="K43" s="132">
        <v>634</v>
      </c>
      <c r="L43" s="132">
        <v>150</v>
      </c>
      <c r="M43" s="132">
        <v>205</v>
      </c>
      <c r="N43" s="132">
        <v>404</v>
      </c>
      <c r="O43" s="132">
        <v>484</v>
      </c>
      <c r="P43" s="132">
        <v>1243</v>
      </c>
      <c r="Q43" s="132">
        <v>563</v>
      </c>
      <c r="R43" s="132">
        <v>607</v>
      </c>
      <c r="S43" s="132">
        <v>672</v>
      </c>
      <c r="T43" s="132">
        <v>387</v>
      </c>
      <c r="U43" s="132">
        <v>2229</v>
      </c>
      <c r="V43" s="132">
        <v>275</v>
      </c>
      <c r="W43" s="132">
        <v>248</v>
      </c>
      <c r="X43" s="132">
        <v>230</v>
      </c>
      <c r="Y43" s="132">
        <v>208</v>
      </c>
      <c r="Z43" s="132">
        <v>961</v>
      </c>
      <c r="AA43" s="132">
        <v>293</v>
      </c>
      <c r="AB43" s="132">
        <v>359</v>
      </c>
      <c r="AC43" s="132">
        <v>410</v>
      </c>
      <c r="AD43" s="132">
        <v>365</v>
      </c>
      <c r="AE43" s="132">
        <v>1427</v>
      </c>
      <c r="AF43" s="132">
        <v>389</v>
      </c>
      <c r="AG43" s="132">
        <v>363</v>
      </c>
      <c r="AH43" s="132">
        <v>308</v>
      </c>
      <c r="AI43" s="132">
        <v>197</v>
      </c>
      <c r="AJ43" s="132">
        <v>1257</v>
      </c>
      <c r="AK43" s="132">
        <v>201</v>
      </c>
      <c r="AL43" s="132">
        <v>210</v>
      </c>
      <c r="AM43" s="132">
        <v>207</v>
      </c>
      <c r="AN43" s="132">
        <v>220</v>
      </c>
      <c r="AO43" s="132">
        <v>838</v>
      </c>
      <c r="AP43" s="132">
        <v>235</v>
      </c>
      <c r="AQ43" s="132">
        <v>189</v>
      </c>
      <c r="AR43" s="132">
        <v>125</v>
      </c>
      <c r="AS43" s="132">
        <v>102</v>
      </c>
      <c r="AT43" s="132">
        <v>651</v>
      </c>
      <c r="AU43" s="132">
        <v>89</v>
      </c>
      <c r="AV43" s="132">
        <v>89</v>
      </c>
      <c r="AW43" s="132">
        <v>93</v>
      </c>
      <c r="AX43" s="132">
        <v>123</v>
      </c>
      <c r="AY43" s="132">
        <f>SUM(AU43:AX43)</f>
        <v>394</v>
      </c>
      <c r="AZ43" s="132">
        <v>173</v>
      </c>
      <c r="BA43" s="132">
        <v>184</v>
      </c>
      <c r="BB43" s="132">
        <v>155</v>
      </c>
      <c r="BC43" s="132">
        <v>158</v>
      </c>
      <c r="BD43" s="132">
        <f>SUM(AZ43:BC43)</f>
        <v>670</v>
      </c>
      <c r="BE43" s="132">
        <v>193</v>
      </c>
      <c r="BF43" s="132">
        <v>265</v>
      </c>
      <c r="BG43" s="132">
        <v>179</v>
      </c>
      <c r="BH43" s="132">
        <v>125</v>
      </c>
      <c r="BI43" s="132">
        <f>SUM(BE43:BH43)</f>
        <v>762</v>
      </c>
      <c r="BJ43" s="132">
        <v>173</v>
      </c>
      <c r="BK43" s="132">
        <v>150</v>
      </c>
      <c r="BL43" s="132">
        <v>138</v>
      </c>
      <c r="BM43" s="132">
        <v>122</v>
      </c>
      <c r="BN43" s="132">
        <f>SUM(BJ43:BM43)</f>
        <v>583</v>
      </c>
      <c r="BO43" s="132">
        <v>122</v>
      </c>
      <c r="BP43" s="132">
        <v>133</v>
      </c>
      <c r="BQ43" s="132">
        <v>156</v>
      </c>
      <c r="BR43" s="132">
        <v>190</v>
      </c>
      <c r="BS43" s="132">
        <f>SUM(BO43:BR43)</f>
        <v>601</v>
      </c>
      <c r="BT43" s="132">
        <v>150</v>
      </c>
      <c r="BU43" s="132">
        <v>179</v>
      </c>
      <c r="BV43" s="132">
        <v>209</v>
      </c>
      <c r="BW43" s="132">
        <v>247</v>
      </c>
      <c r="BX43" s="132">
        <f>SUM(BT43:BW43)</f>
        <v>785</v>
      </c>
      <c r="BY43" s="132">
        <v>264</v>
      </c>
      <c r="BZ43" s="132">
        <v>290</v>
      </c>
      <c r="CA43" s="132">
        <v>262</v>
      </c>
      <c r="CB43" s="105"/>
    </row>
    <row r="44" spans="1:80" ht="12.75" x14ac:dyDescent="0.2">
      <c r="A44" s="43"/>
      <c r="B44" s="43"/>
      <c r="C44" s="43"/>
      <c r="D44" s="43"/>
      <c r="E44" s="43"/>
      <c r="F44" s="133"/>
      <c r="G44" s="43"/>
      <c r="H44" s="43"/>
      <c r="I44" s="43"/>
      <c r="J44" s="43"/>
      <c r="K44" s="133"/>
      <c r="L44" s="43"/>
      <c r="M44" s="43"/>
      <c r="N44" s="43"/>
      <c r="O44" s="43"/>
      <c r="P44" s="133"/>
      <c r="Q44" s="43"/>
      <c r="R44" s="43"/>
      <c r="S44" s="43"/>
      <c r="T44" s="43"/>
      <c r="U44" s="133"/>
      <c r="V44" s="43"/>
      <c r="W44" s="134"/>
      <c r="X44" s="134"/>
      <c r="Y44" s="134"/>
      <c r="Z44" s="133"/>
      <c r="AA44" s="134"/>
      <c r="AB44" s="134"/>
      <c r="AC44" s="134"/>
      <c r="AD44" s="134"/>
      <c r="AE44" s="133"/>
      <c r="AF44" s="134"/>
      <c r="AG44" s="134"/>
      <c r="AH44" s="134"/>
      <c r="AI44" s="134"/>
      <c r="AJ44" s="133"/>
      <c r="AK44" s="134"/>
      <c r="AL44" s="134"/>
      <c r="AM44" s="134"/>
      <c r="AN44" s="134"/>
      <c r="AO44" s="133"/>
      <c r="AP44" s="134"/>
      <c r="AQ44" s="134"/>
      <c r="AR44" s="134"/>
      <c r="AS44" s="134"/>
      <c r="AT44" s="133"/>
      <c r="AU44" s="134"/>
      <c r="AV44" s="134"/>
      <c r="AW44" s="134"/>
      <c r="AX44" s="134"/>
      <c r="AY44" s="133"/>
      <c r="AZ44" s="134"/>
      <c r="BA44" s="134"/>
      <c r="BB44" s="43"/>
      <c r="BC44" s="43"/>
      <c r="BD44" s="133"/>
      <c r="BE44" s="43"/>
      <c r="BF44" s="43"/>
      <c r="BG44" s="43"/>
      <c r="BH44" s="43"/>
      <c r="BI44" s="133"/>
      <c r="BJ44" s="43"/>
      <c r="BK44" s="43"/>
      <c r="BL44" s="43"/>
      <c r="BM44" s="43"/>
      <c r="BN44" s="133"/>
      <c r="BO44" s="43"/>
      <c r="BP44" s="43"/>
      <c r="BQ44" s="43"/>
      <c r="BR44" s="43"/>
      <c r="BS44" s="133"/>
      <c r="BT44" s="43"/>
      <c r="BU44" s="43"/>
      <c r="BV44" s="43"/>
      <c r="BW44" s="43"/>
      <c r="BX44" s="133"/>
      <c r="BY44" s="43"/>
      <c r="BZ44" s="43"/>
      <c r="CA44" s="43"/>
      <c r="CB44" s="105"/>
    </row>
    <row r="45" spans="1:80" ht="12.75" x14ac:dyDescent="0.2">
      <c r="A45" s="135" t="s">
        <v>147</v>
      </c>
      <c r="B45" s="96"/>
      <c r="C45" s="96"/>
      <c r="D45" s="96"/>
      <c r="E45" s="96"/>
      <c r="F45" s="95"/>
      <c r="G45" s="96"/>
      <c r="H45" s="96"/>
      <c r="I45" s="96"/>
      <c r="J45" s="96"/>
      <c r="K45" s="95"/>
      <c r="L45" s="96"/>
      <c r="M45" s="96"/>
      <c r="N45" s="96"/>
      <c r="O45" s="96"/>
      <c r="P45" s="95"/>
      <c r="Q45" s="96"/>
      <c r="R45" s="96"/>
      <c r="S45" s="96"/>
      <c r="T45" s="96"/>
      <c r="U45" s="95"/>
      <c r="V45" s="96"/>
      <c r="W45" s="96"/>
      <c r="X45" s="96"/>
      <c r="Y45" s="96"/>
      <c r="Z45" s="95"/>
      <c r="AA45" s="96"/>
      <c r="AB45" s="96"/>
      <c r="AC45" s="96"/>
      <c r="AD45" s="96"/>
      <c r="AE45" s="95"/>
      <c r="AF45" s="96"/>
      <c r="AG45" s="96"/>
      <c r="AH45" s="96"/>
      <c r="AI45" s="96"/>
      <c r="AJ45" s="95"/>
      <c r="AK45" s="96"/>
      <c r="AL45" s="96"/>
      <c r="AM45" s="96"/>
      <c r="AN45" s="96"/>
      <c r="AO45" s="95"/>
      <c r="AP45" s="96"/>
      <c r="AQ45" s="96"/>
      <c r="AR45" s="96"/>
      <c r="AS45" s="96"/>
      <c r="AT45" s="95"/>
      <c r="AU45" s="96"/>
      <c r="AV45" s="96"/>
      <c r="AW45" s="96"/>
      <c r="AX45" s="96"/>
      <c r="AY45" s="95"/>
      <c r="AZ45" s="96"/>
      <c r="BA45" s="96"/>
      <c r="BB45" s="96"/>
      <c r="BC45" s="96"/>
      <c r="BD45" s="95"/>
      <c r="BE45" s="96"/>
      <c r="BF45" s="96"/>
      <c r="BG45" s="96"/>
      <c r="BH45" s="96"/>
      <c r="BI45" s="95"/>
      <c r="BJ45" s="96"/>
      <c r="BK45" s="96"/>
      <c r="BL45" s="96"/>
      <c r="BM45" s="96"/>
      <c r="BN45" s="95"/>
      <c r="BO45" s="96"/>
      <c r="BP45" s="96"/>
      <c r="BQ45" s="96"/>
      <c r="BR45" s="96"/>
      <c r="BS45" s="95"/>
      <c r="BT45" s="96"/>
      <c r="BU45" s="96"/>
      <c r="BV45" s="96"/>
      <c r="BW45" s="96"/>
      <c r="BX45" s="95"/>
      <c r="BY45" s="96"/>
      <c r="BZ45" s="96"/>
      <c r="CA45" s="96"/>
      <c r="CB45" s="105"/>
    </row>
    <row r="46" spans="1:80" ht="12.75" x14ac:dyDescent="0.2">
      <c r="A46" s="136" t="s">
        <v>148</v>
      </c>
      <c r="B46" s="137">
        <v>3</v>
      </c>
      <c r="C46" s="137">
        <v>4</v>
      </c>
      <c r="D46" s="137">
        <v>4</v>
      </c>
      <c r="E46" s="137">
        <v>5</v>
      </c>
      <c r="F46" s="137">
        <v>5</v>
      </c>
      <c r="G46" s="137">
        <v>5</v>
      </c>
      <c r="H46" s="137">
        <v>6</v>
      </c>
      <c r="I46" s="137">
        <v>7</v>
      </c>
      <c r="J46" s="137">
        <v>7</v>
      </c>
      <c r="K46" s="137">
        <v>7</v>
      </c>
      <c r="L46" s="137">
        <v>8</v>
      </c>
      <c r="M46" s="137">
        <v>9</v>
      </c>
      <c r="N46" s="137">
        <v>9</v>
      </c>
      <c r="O46" s="137">
        <v>10</v>
      </c>
      <c r="P46" s="137">
        <v>10</v>
      </c>
      <c r="Q46" s="137">
        <v>10</v>
      </c>
      <c r="R46" s="137">
        <v>11</v>
      </c>
      <c r="S46" s="137">
        <v>12</v>
      </c>
      <c r="T46" s="137">
        <v>12</v>
      </c>
      <c r="U46" s="137">
        <v>12</v>
      </c>
      <c r="V46" s="137">
        <v>12</v>
      </c>
      <c r="W46" s="137">
        <v>13</v>
      </c>
      <c r="X46" s="137">
        <v>14</v>
      </c>
      <c r="Y46" s="137">
        <v>14</v>
      </c>
      <c r="Z46" s="137">
        <v>14</v>
      </c>
      <c r="AA46" s="137">
        <v>14</v>
      </c>
      <c r="AB46" s="137">
        <v>15</v>
      </c>
      <c r="AC46" s="137">
        <v>15</v>
      </c>
      <c r="AD46" s="137">
        <v>18</v>
      </c>
      <c r="AE46" s="137">
        <v>18</v>
      </c>
      <c r="AF46" s="137">
        <v>18</v>
      </c>
      <c r="AG46" s="137">
        <v>19</v>
      </c>
      <c r="AH46" s="137">
        <v>19</v>
      </c>
      <c r="AI46" s="137">
        <v>19</v>
      </c>
      <c r="AJ46" s="137">
        <v>19</v>
      </c>
      <c r="AK46" s="137">
        <v>19</v>
      </c>
      <c r="AL46" s="137">
        <v>19</v>
      </c>
      <c r="AM46" s="137">
        <v>19</v>
      </c>
      <c r="AN46" s="137">
        <v>19</v>
      </c>
      <c r="AO46" s="137">
        <v>19</v>
      </c>
      <c r="AP46" s="137">
        <v>19</v>
      </c>
      <c r="AQ46" s="137">
        <v>21</v>
      </c>
      <c r="AR46" s="137">
        <v>21</v>
      </c>
      <c r="AS46" s="137">
        <v>23</v>
      </c>
      <c r="AT46" s="137">
        <v>23</v>
      </c>
      <c r="AU46" s="137">
        <v>23</v>
      </c>
      <c r="AV46" s="137">
        <v>23</v>
      </c>
      <c r="AW46" s="137">
        <v>23</v>
      </c>
      <c r="AX46" s="137">
        <v>23</v>
      </c>
      <c r="AY46" s="137">
        <v>23</v>
      </c>
      <c r="AZ46" s="137">
        <v>23</v>
      </c>
      <c r="BA46" s="137">
        <v>23</v>
      </c>
      <c r="BB46" s="137">
        <v>23</v>
      </c>
      <c r="BC46" s="137">
        <v>23</v>
      </c>
      <c r="BD46" s="137">
        <v>23</v>
      </c>
      <c r="BE46" s="137">
        <v>23</v>
      </c>
      <c r="BF46" s="137">
        <v>23</v>
      </c>
      <c r="BG46" s="137">
        <v>23</v>
      </c>
      <c r="BH46" s="137">
        <v>23</v>
      </c>
      <c r="BI46" s="137">
        <v>23</v>
      </c>
      <c r="BJ46" s="137">
        <v>23</v>
      </c>
      <c r="BK46" s="137">
        <v>23</v>
      </c>
      <c r="BL46" s="137">
        <v>23</v>
      </c>
      <c r="BM46" s="137">
        <v>23</v>
      </c>
      <c r="BN46" s="137">
        <v>23</v>
      </c>
      <c r="BO46" s="137">
        <v>23</v>
      </c>
      <c r="BP46" s="137">
        <v>23</v>
      </c>
      <c r="BQ46" s="137">
        <v>23</v>
      </c>
      <c r="BR46" s="137">
        <v>23</v>
      </c>
      <c r="BS46" s="137">
        <v>23</v>
      </c>
      <c r="BT46" s="137">
        <v>23</v>
      </c>
      <c r="BU46" s="137">
        <v>23</v>
      </c>
      <c r="BV46" s="137">
        <v>25</v>
      </c>
      <c r="BW46" s="137">
        <v>25</v>
      </c>
      <c r="BX46" s="137">
        <v>25</v>
      </c>
      <c r="BY46" s="137">
        <v>25</v>
      </c>
      <c r="BZ46" s="137">
        <v>25</v>
      </c>
      <c r="CA46" s="137">
        <v>25</v>
      </c>
      <c r="CB46" s="105"/>
    </row>
    <row r="47" spans="1:80" ht="12.75" x14ac:dyDescent="0.2">
      <c r="A47" s="130" t="s">
        <v>149</v>
      </c>
      <c r="B47" s="131">
        <v>273</v>
      </c>
      <c r="C47" s="131">
        <v>301</v>
      </c>
      <c r="D47" s="131">
        <v>352</v>
      </c>
      <c r="E47" s="131">
        <v>433</v>
      </c>
      <c r="F47" s="132">
        <v>1359</v>
      </c>
      <c r="G47" s="132">
        <v>434</v>
      </c>
      <c r="H47" s="132">
        <v>501</v>
      </c>
      <c r="I47" s="132">
        <v>512</v>
      </c>
      <c r="J47" s="132">
        <v>598</v>
      </c>
      <c r="K47" s="132">
        <v>2045</v>
      </c>
      <c r="L47" s="132">
        <v>630.51150000000007</v>
      </c>
      <c r="M47" s="132">
        <v>717.76319999999998</v>
      </c>
      <c r="N47" s="132">
        <v>819.10079999999994</v>
      </c>
      <c r="O47" s="132">
        <v>899.88409435926485</v>
      </c>
      <c r="P47" s="132">
        <v>3067.2595943592651</v>
      </c>
      <c r="Q47" s="132">
        <v>829.80297685184632</v>
      </c>
      <c r="R47" s="132">
        <v>979.17899999999986</v>
      </c>
      <c r="S47" s="132">
        <v>1037.6018884259233</v>
      </c>
      <c r="T47" s="132">
        <v>1122.3960000000002</v>
      </c>
      <c r="U47" s="132">
        <v>3968.9798652777695</v>
      </c>
      <c r="V47" s="132">
        <v>1003.697</v>
      </c>
      <c r="W47" s="132">
        <v>1172.1120000000001</v>
      </c>
      <c r="X47" s="132">
        <v>1208.4507020314779</v>
      </c>
      <c r="Y47" s="132">
        <v>1318.1441712962917</v>
      </c>
      <c r="Z47" s="132">
        <v>4702.4038733277694</v>
      </c>
      <c r="AA47" s="132">
        <v>1135.229</v>
      </c>
      <c r="AB47" s="132">
        <v>1272.635</v>
      </c>
      <c r="AC47" s="132">
        <v>1333.3239999999998</v>
      </c>
      <c r="AD47" s="132">
        <v>1627.402</v>
      </c>
      <c r="AE47" s="132">
        <v>5368.59</v>
      </c>
      <c r="AF47" s="132">
        <v>1491.0043000000001</v>
      </c>
      <c r="AG47" s="132">
        <v>1699.7657388888979</v>
      </c>
      <c r="AH47" s="132">
        <v>1696.6799999842117</v>
      </c>
      <c r="AI47" s="132">
        <v>1795.767651350327</v>
      </c>
      <c r="AJ47" s="132">
        <v>6683.2176902234369</v>
      </c>
      <c r="AK47" s="132">
        <v>1556.4506999999999</v>
      </c>
      <c r="AL47" s="132">
        <v>1710</v>
      </c>
      <c r="AM47" s="132">
        <v>1716</v>
      </c>
      <c r="AN47" s="132">
        <v>1603.056</v>
      </c>
      <c r="AO47" s="132">
        <v>6585.5066999999999</v>
      </c>
      <c r="AP47" s="132">
        <v>1422</v>
      </c>
      <c r="AQ47" s="132">
        <v>1569</v>
      </c>
      <c r="AR47" s="132">
        <v>1675</v>
      </c>
      <c r="AS47" s="132">
        <v>1763.4001179166667</v>
      </c>
      <c r="AT47" s="132">
        <v>6429.4001179166662</v>
      </c>
      <c r="AU47" s="132">
        <v>1466.145899999997</v>
      </c>
      <c r="AV47" s="132">
        <v>1677.6280416666641</v>
      </c>
      <c r="AW47" s="132">
        <v>1653.3319791666722</v>
      </c>
      <c r="AX47" s="132">
        <v>1237.8887999999999</v>
      </c>
      <c r="AY47" s="132">
        <v>6034.9947208333324</v>
      </c>
      <c r="AZ47" s="132">
        <v>1174.2267999999999</v>
      </c>
      <c r="BA47" s="132">
        <v>1358.5874000000001</v>
      </c>
      <c r="BB47" s="132">
        <v>1442.0315106481494</v>
      </c>
      <c r="BC47" s="132">
        <v>1151.359416203697</v>
      </c>
      <c r="BD47" s="132">
        <f>SUM(AZ47:BC47)</f>
        <v>5126.2051268518462</v>
      </c>
      <c r="BE47" s="132">
        <v>1043.787</v>
      </c>
      <c r="BF47" s="132">
        <v>1220.834293173592</v>
      </c>
      <c r="BG47" s="132">
        <v>1372.2105446844691</v>
      </c>
      <c r="BH47" s="132">
        <v>1491.5945999999999</v>
      </c>
      <c r="BI47" s="132">
        <f>SUM(BE47:BH47)</f>
        <v>5128.426437858061</v>
      </c>
      <c r="BJ47" s="132">
        <v>1326.9396862180861</v>
      </c>
      <c r="BK47" s="132">
        <v>1225.9082452382054</v>
      </c>
      <c r="BL47" s="132">
        <v>1377.3489199999999</v>
      </c>
      <c r="BM47" s="132">
        <v>1425.8824500000001</v>
      </c>
      <c r="BN47" s="132">
        <f>SUM(BJ47:BM47)</f>
        <v>5356.0793014562914</v>
      </c>
      <c r="BO47" s="132">
        <v>1247.071577301723</v>
      </c>
      <c r="BP47" s="132">
        <v>1326.0471849999999</v>
      </c>
      <c r="BQ47" s="132">
        <v>1351.7851000000001</v>
      </c>
      <c r="BR47" s="132">
        <v>1474.8503820000001</v>
      </c>
      <c r="BS47" s="132">
        <f>SUM(BO47:BR47)</f>
        <v>5399.7542443017228</v>
      </c>
      <c r="BT47" s="132">
        <v>1399.6333999999999</v>
      </c>
      <c r="BU47" s="132">
        <v>1704.1923999999999</v>
      </c>
      <c r="BV47" s="132">
        <v>1599.2290777666719</v>
      </c>
      <c r="BW47" s="132">
        <v>1785.4718556</v>
      </c>
      <c r="BX47" s="132">
        <f>SUM(BT47:BW47)</f>
        <v>6488.5267333666716</v>
      </c>
      <c r="BY47" s="132">
        <v>1743.9722552222249</v>
      </c>
      <c r="BZ47" s="132">
        <v>1913.3992777799999</v>
      </c>
      <c r="CA47" s="132">
        <v>1851.8459</v>
      </c>
      <c r="CB47" s="138"/>
    </row>
    <row r="48" spans="1:80" ht="12.75" x14ac:dyDescent="0.2">
      <c r="A48" s="139" t="s">
        <v>150</v>
      </c>
      <c r="B48" s="140">
        <v>1</v>
      </c>
      <c r="C48" s="140">
        <v>0.90114185810000003</v>
      </c>
      <c r="D48" s="140">
        <v>0.88400167220000003</v>
      </c>
      <c r="E48" s="140">
        <v>0.94154021740000005</v>
      </c>
      <c r="F48" s="140">
        <f>MEDIAN(B48:E48)</f>
        <v>0.92134103774999998</v>
      </c>
      <c r="G48" s="140">
        <v>0.96406000000000003</v>
      </c>
      <c r="H48" s="140">
        <v>0.91827838829999997</v>
      </c>
      <c r="I48" s="140">
        <v>0.83506141300000003</v>
      </c>
      <c r="J48" s="140">
        <v>0.92845854039999998</v>
      </c>
      <c r="K48" s="140">
        <f>MEDIAN(G48:J48)</f>
        <v>0.92336846434999997</v>
      </c>
      <c r="L48" s="140">
        <v>0.91378478259999996</v>
      </c>
      <c r="M48" s="140">
        <v>0.9465009231</v>
      </c>
      <c r="N48" s="140">
        <v>0.98925217389999998</v>
      </c>
      <c r="O48" s="140">
        <v>0.97813488520000003</v>
      </c>
      <c r="P48" s="140">
        <f>MEDIAN(L48:O48)</f>
        <v>0.96231790415000007</v>
      </c>
      <c r="Q48" s="140">
        <v>0.89226126539999995</v>
      </c>
      <c r="R48" s="140">
        <v>0.97820079920000003</v>
      </c>
      <c r="S48" s="140">
        <v>0.93985678299999997</v>
      </c>
      <c r="T48" s="140">
        <v>1.0166630430000001</v>
      </c>
      <c r="U48" s="140">
        <f>MEDIAN(Q48:T48)</f>
        <v>0.95902879109999994</v>
      </c>
      <c r="V48" s="140">
        <v>0.89429492129999999</v>
      </c>
      <c r="W48" s="140">
        <v>0.99079628060000002</v>
      </c>
      <c r="X48" s="140">
        <v>0.96112197929999998</v>
      </c>
      <c r="Y48" s="140">
        <v>1.0234038599999999</v>
      </c>
      <c r="Z48" s="140">
        <f>MEDIAN(V48:Y48)</f>
        <v>0.97595912995</v>
      </c>
      <c r="AA48" s="140">
        <v>0.88002248059999999</v>
      </c>
      <c r="AB48" s="140">
        <v>0.93233333330000001</v>
      </c>
      <c r="AC48" s="140">
        <v>0.96617681160000002</v>
      </c>
      <c r="AD48" s="140">
        <v>1.001272765</v>
      </c>
      <c r="AE48" s="140">
        <f>MEDIAN(AA48:AD48)</f>
        <v>0.94925507244999996</v>
      </c>
      <c r="AF48" s="140">
        <v>0.92037302470000004</v>
      </c>
      <c r="AG48" s="140">
        <v>0.98309180969999999</v>
      </c>
      <c r="AH48" s="140">
        <v>0.97064073230000003</v>
      </c>
      <c r="AI48" s="140">
        <v>1.0273270320000001</v>
      </c>
      <c r="AJ48" s="140">
        <f>MEDIAN(AF48:AI48)</f>
        <v>0.97686627100000001</v>
      </c>
      <c r="AK48" s="140">
        <v>0.91020508769999997</v>
      </c>
      <c r="AL48" s="140">
        <v>0.98901098899999995</v>
      </c>
      <c r="AM48" s="140">
        <v>0.98180663619999997</v>
      </c>
      <c r="AN48" s="140">
        <v>0.91708009150000003</v>
      </c>
      <c r="AO48" s="140">
        <f>MEDIAN(AK48:AN48)</f>
        <v>0.94944336384999994</v>
      </c>
      <c r="AP48" s="140">
        <v>0.82221920189999997</v>
      </c>
      <c r="AQ48" s="140">
        <v>0.86208791210000002</v>
      </c>
      <c r="AR48" s="140">
        <v>0.86697722570000002</v>
      </c>
      <c r="AS48" s="140">
        <v>0.88464888860000002</v>
      </c>
      <c r="AT48" s="140">
        <f>MEDIAN(AP48:AS48)</f>
        <v>0.86453256890000008</v>
      </c>
      <c r="AU48" s="140">
        <v>0.7083449544</v>
      </c>
      <c r="AV48" s="140">
        <v>0.80154230370000001</v>
      </c>
      <c r="AW48" s="140">
        <v>0.78134781620000004</v>
      </c>
      <c r="AX48" s="140">
        <v>0.58500226840000003</v>
      </c>
      <c r="AY48" s="140">
        <f>MEDIAN(AU48:AX48)</f>
        <v>0.74484638530000002</v>
      </c>
      <c r="AZ48" s="140">
        <v>0.56725932369999998</v>
      </c>
      <c r="BA48" s="140">
        <v>0.64911008120000002</v>
      </c>
      <c r="BB48" s="140">
        <v>0.68148937180000002</v>
      </c>
      <c r="BC48" s="140">
        <v>0.54416385450000004</v>
      </c>
      <c r="BD48" s="140">
        <f>MEDIAN(AZ48:BC48)</f>
        <v>0.60818470245</v>
      </c>
      <c r="BE48" s="140">
        <v>0.50424492750000005</v>
      </c>
      <c r="BF48" s="140">
        <v>0.58329397670000005</v>
      </c>
      <c r="BG48" s="140">
        <v>0.64849269600000004</v>
      </c>
      <c r="BH48" s="140">
        <v>0.70491238190000005</v>
      </c>
      <c r="BI48" s="140">
        <f>MEDIAN(BE48:BH48)</f>
        <v>0.6158933363500001</v>
      </c>
      <c r="BJ48" s="140">
        <v>0.63398933889999998</v>
      </c>
      <c r="BK48" s="140">
        <v>0.58571822510000005</v>
      </c>
      <c r="BL48" s="140">
        <v>0.65092103980000005</v>
      </c>
      <c r="BM48" s="140">
        <v>0.67385749049999999</v>
      </c>
      <c r="BN48" s="140">
        <f>MEDIAN(BJ48:BM48)</f>
        <v>0.64245518935000001</v>
      </c>
      <c r="BO48" s="140">
        <v>0.60245003730000002</v>
      </c>
      <c r="BP48" s="140">
        <v>0.63356291659999997</v>
      </c>
      <c r="BQ48" s="140">
        <v>0.63883983929999999</v>
      </c>
      <c r="BR48" s="140">
        <v>0.69699923519999996</v>
      </c>
      <c r="BS48" s="140">
        <f>MEDIAN(BO48:BR48)</f>
        <v>0.63620137794999998</v>
      </c>
      <c r="BT48" s="140">
        <v>0.67615140100000004</v>
      </c>
      <c r="BU48" s="140">
        <v>0.81423430480000003</v>
      </c>
      <c r="BV48" s="140">
        <v>0.69531699033333561</v>
      </c>
      <c r="BW48" s="140">
        <v>0.77629211113043484</v>
      </c>
      <c r="BX48" s="140">
        <f>MEDIAN(BT48:BW48)</f>
        <v>0.73580455073188522</v>
      </c>
      <c r="BY48" s="140">
        <v>0.77509878009876665</v>
      </c>
      <c r="BZ48" s="140">
        <v>0.84105463000000003</v>
      </c>
      <c r="CA48" s="140">
        <v>0.80515038999999999</v>
      </c>
      <c r="CB48" s="105"/>
    </row>
    <row r="49" spans="1:80" ht="12.75" x14ac:dyDescent="0.2">
      <c r="A49" s="121" t="s">
        <v>151</v>
      </c>
      <c r="B49" s="113"/>
      <c r="C49" s="113"/>
      <c r="D49" s="113"/>
      <c r="E49" s="113"/>
      <c r="F49" s="114"/>
      <c r="G49" s="113"/>
      <c r="H49" s="113"/>
      <c r="I49" s="113"/>
      <c r="J49" s="113"/>
      <c r="K49" s="114"/>
      <c r="L49" s="113"/>
      <c r="M49" s="113"/>
      <c r="N49" s="113"/>
      <c r="O49" s="113"/>
      <c r="P49" s="114"/>
      <c r="Q49" s="113"/>
      <c r="R49" s="113"/>
      <c r="S49" s="113"/>
      <c r="T49" s="113"/>
      <c r="U49" s="114"/>
      <c r="V49" s="113"/>
      <c r="W49" s="113"/>
      <c r="X49" s="113"/>
      <c r="Y49" s="113"/>
      <c r="Z49" s="114"/>
      <c r="AA49" s="113"/>
      <c r="AB49" s="113"/>
      <c r="AC49" s="113"/>
      <c r="AD49" s="113"/>
      <c r="AE49" s="114"/>
      <c r="AF49" s="113"/>
      <c r="AG49" s="113"/>
      <c r="AH49" s="113"/>
      <c r="AI49" s="113"/>
      <c r="AJ49" s="114"/>
      <c r="AK49" s="113"/>
      <c r="AL49" s="113"/>
      <c r="AM49" s="113"/>
      <c r="AN49" s="113"/>
      <c r="AO49" s="114"/>
      <c r="AP49" s="113"/>
      <c r="AQ49" s="113"/>
      <c r="AR49" s="113"/>
      <c r="AS49" s="113"/>
      <c r="AT49" s="114"/>
      <c r="AU49" s="113"/>
      <c r="AV49" s="113"/>
      <c r="AW49" s="113"/>
      <c r="AX49" s="113"/>
      <c r="AY49" s="114"/>
      <c r="AZ49" s="113"/>
      <c r="BA49" s="113"/>
      <c r="BB49" s="113"/>
      <c r="BC49" s="113"/>
      <c r="BD49" s="114"/>
      <c r="BE49" s="113"/>
      <c r="BF49" s="113"/>
      <c r="BG49" s="113"/>
      <c r="BH49" s="113"/>
      <c r="BI49" s="114"/>
      <c r="BJ49" s="113"/>
      <c r="BK49" s="113"/>
      <c r="BL49" s="113"/>
      <c r="BM49" s="113"/>
      <c r="BN49" s="114"/>
      <c r="BO49" s="113"/>
      <c r="BP49" s="113"/>
      <c r="BQ49" s="113"/>
      <c r="BR49" s="113"/>
      <c r="BS49" s="114"/>
      <c r="BT49" s="113"/>
      <c r="BU49" s="113"/>
      <c r="BV49" s="113"/>
      <c r="BW49" s="113"/>
      <c r="BX49" s="114"/>
      <c r="BY49" s="113"/>
      <c r="BZ49" s="113"/>
      <c r="CA49" s="113"/>
      <c r="CB49" s="85"/>
    </row>
    <row r="50" spans="1:80" ht="12.75" customHeight="1" x14ac:dyDescent="0.2">
      <c r="A50" s="43"/>
      <c r="B50" s="43"/>
      <c r="C50" s="43"/>
      <c r="D50" s="43"/>
      <c r="E50" s="43"/>
      <c r="F50" s="133"/>
      <c r="G50" s="43"/>
      <c r="H50" s="43"/>
      <c r="I50" s="43"/>
      <c r="J50" s="43"/>
      <c r="K50" s="133"/>
      <c r="L50" s="43"/>
      <c r="M50" s="43"/>
      <c r="N50" s="43"/>
      <c r="O50" s="43"/>
      <c r="P50" s="133"/>
      <c r="Q50" s="43"/>
      <c r="R50" s="43"/>
      <c r="S50" s="43"/>
      <c r="T50" s="43"/>
      <c r="U50" s="133"/>
      <c r="V50" s="43"/>
      <c r="W50" s="134"/>
      <c r="X50" s="134"/>
      <c r="Y50" s="134"/>
      <c r="Z50" s="133"/>
      <c r="AA50" s="134"/>
      <c r="AB50" s="134"/>
      <c r="AC50" s="134"/>
      <c r="AD50" s="134"/>
      <c r="AE50" s="133"/>
      <c r="AF50" s="134"/>
      <c r="AG50" s="134"/>
      <c r="AH50" s="134"/>
      <c r="AI50" s="134"/>
      <c r="AJ50" s="133"/>
      <c r="AK50" s="134"/>
      <c r="AL50" s="134"/>
      <c r="AM50" s="134"/>
      <c r="AN50" s="134"/>
      <c r="AO50" s="133"/>
      <c r="AP50" s="134"/>
      <c r="AQ50" s="134"/>
      <c r="AR50" s="134"/>
      <c r="AS50" s="134"/>
      <c r="AT50" s="133"/>
      <c r="AU50" s="134"/>
      <c r="AV50" s="134"/>
      <c r="AW50" s="134"/>
      <c r="AX50" s="134"/>
      <c r="AY50" s="133"/>
      <c r="AZ50" s="134"/>
      <c r="BA50" s="134"/>
      <c r="BB50" s="43"/>
      <c r="BC50" s="43"/>
      <c r="BD50" s="133"/>
      <c r="BE50" s="43"/>
      <c r="BF50" s="43"/>
      <c r="BG50" s="43"/>
      <c r="BH50" s="43"/>
      <c r="BI50" s="133"/>
      <c r="BJ50" s="43"/>
      <c r="BK50" s="43"/>
      <c r="BL50" s="43"/>
      <c r="BM50" s="43"/>
      <c r="BN50" s="133"/>
      <c r="BO50" s="43"/>
      <c r="BP50" s="43"/>
      <c r="BQ50" s="43"/>
      <c r="BR50" s="43"/>
      <c r="BS50" s="133"/>
      <c r="BT50" s="43"/>
      <c r="BU50" s="43"/>
      <c r="BV50" s="43"/>
      <c r="BW50" s="43"/>
      <c r="BX50" s="133"/>
      <c r="BY50" s="43"/>
      <c r="BZ50" s="43"/>
      <c r="CA50" s="43"/>
      <c r="CB50" s="85"/>
    </row>
    <row r="51" spans="1:80" ht="12.75" customHeight="1" x14ac:dyDescent="0.2">
      <c r="A51" s="43"/>
      <c r="B51" s="43"/>
      <c r="C51" s="43"/>
      <c r="D51" s="43"/>
      <c r="E51" s="43"/>
      <c r="F51" s="133"/>
      <c r="G51" s="43"/>
      <c r="H51" s="43"/>
      <c r="I51" s="43"/>
      <c r="J51" s="43"/>
      <c r="K51" s="133"/>
      <c r="L51" s="43"/>
      <c r="M51" s="43"/>
      <c r="N51" s="43"/>
      <c r="O51" s="43"/>
      <c r="P51" s="133"/>
      <c r="Q51" s="43"/>
      <c r="R51" s="43"/>
      <c r="S51" s="43"/>
      <c r="T51" s="43"/>
      <c r="U51" s="133"/>
      <c r="V51" s="43"/>
      <c r="W51" s="134"/>
      <c r="X51" s="134"/>
      <c r="Y51" s="134"/>
      <c r="Z51" s="133"/>
      <c r="AA51" s="134"/>
      <c r="AB51" s="134"/>
      <c r="AC51" s="134"/>
      <c r="AD51" s="134"/>
      <c r="AE51" s="133"/>
      <c r="AF51" s="134"/>
      <c r="AG51" s="134"/>
      <c r="AH51" s="134"/>
      <c r="AI51" s="134"/>
      <c r="AJ51" s="133"/>
      <c r="AK51" s="134"/>
      <c r="AL51" s="134"/>
      <c r="AM51" s="134"/>
      <c r="AN51" s="134"/>
      <c r="AO51" s="133"/>
      <c r="AP51" s="134"/>
      <c r="AQ51" s="134"/>
      <c r="AR51" s="134"/>
      <c r="AS51" s="134"/>
      <c r="AT51" s="133"/>
      <c r="AU51" s="134"/>
      <c r="AV51" s="134"/>
      <c r="AW51" s="134"/>
      <c r="AX51" s="134"/>
      <c r="AY51" s="133"/>
      <c r="AZ51" s="134"/>
      <c r="BA51" s="134"/>
      <c r="BB51" s="43"/>
      <c r="BC51" s="43"/>
      <c r="BD51" s="133"/>
      <c r="BE51" s="43"/>
      <c r="BF51" s="43"/>
      <c r="BG51" s="43"/>
      <c r="BH51" s="43"/>
      <c r="BI51" s="133"/>
      <c r="BJ51" s="43"/>
      <c r="BK51" s="43"/>
      <c r="BL51" s="43"/>
      <c r="BM51" s="43"/>
      <c r="BN51" s="133"/>
      <c r="BO51" s="43"/>
      <c r="BP51" s="43"/>
      <c r="BQ51" s="43"/>
      <c r="BR51" s="43"/>
      <c r="BS51" s="133"/>
      <c r="BT51" s="43"/>
      <c r="BU51" s="43"/>
      <c r="BV51" s="43"/>
      <c r="BW51" s="43"/>
      <c r="BX51" s="133"/>
      <c r="BY51" s="43"/>
      <c r="BZ51" s="43"/>
      <c r="CA51" s="43"/>
      <c r="CB51" s="85"/>
    </row>
    <row r="52" spans="1:80" ht="12.75" customHeight="1" x14ac:dyDescent="0.2">
      <c r="A52" s="43"/>
      <c r="B52" s="43"/>
      <c r="C52" s="43"/>
      <c r="D52" s="43"/>
      <c r="E52" s="43"/>
      <c r="F52" s="133"/>
      <c r="G52" s="43"/>
      <c r="H52" s="43"/>
      <c r="I52" s="43"/>
      <c r="J52" s="43"/>
      <c r="K52" s="133"/>
      <c r="L52" s="43"/>
      <c r="M52" s="43"/>
      <c r="N52" s="43"/>
      <c r="O52" s="43"/>
      <c r="P52" s="133"/>
      <c r="Q52" s="43"/>
      <c r="R52" s="43"/>
      <c r="S52" s="43"/>
      <c r="T52" s="43"/>
      <c r="U52" s="133"/>
      <c r="V52" s="43"/>
      <c r="W52" s="134"/>
      <c r="X52" s="134"/>
      <c r="Y52" s="134"/>
      <c r="Z52" s="133"/>
      <c r="AA52" s="134"/>
      <c r="AB52" s="134"/>
      <c r="AC52" s="134"/>
      <c r="AD52" s="134"/>
      <c r="AE52" s="133"/>
      <c r="AF52" s="134"/>
      <c r="AG52" s="134"/>
      <c r="AH52" s="134"/>
      <c r="AI52" s="134"/>
      <c r="AJ52" s="133"/>
      <c r="AK52" s="134"/>
      <c r="AL52" s="134"/>
      <c r="AM52" s="134"/>
      <c r="AN52" s="134"/>
      <c r="AO52" s="133"/>
      <c r="AP52" s="134"/>
      <c r="AQ52" s="134"/>
      <c r="AR52" s="134"/>
      <c r="AS52" s="134"/>
      <c r="AT52" s="133"/>
      <c r="AU52" s="134"/>
      <c r="AV52" s="134"/>
      <c r="AW52" s="134"/>
      <c r="AX52" s="134"/>
      <c r="AY52" s="133"/>
      <c r="AZ52" s="134"/>
      <c r="BA52" s="134"/>
      <c r="BB52" s="43"/>
      <c r="BC52" s="43"/>
      <c r="BD52" s="133"/>
      <c r="BE52" s="43"/>
      <c r="BF52" s="43"/>
      <c r="BG52" s="43"/>
      <c r="BH52" s="43"/>
      <c r="BI52" s="133"/>
      <c r="BJ52" s="43"/>
      <c r="BK52" s="43"/>
      <c r="BL52" s="43"/>
      <c r="BM52" s="43"/>
      <c r="BN52" s="133"/>
      <c r="BO52" s="43"/>
      <c r="BP52" s="43"/>
      <c r="BQ52" s="43"/>
      <c r="BR52" s="43"/>
      <c r="BS52" s="133"/>
      <c r="BT52" s="43"/>
      <c r="BU52" s="43"/>
      <c r="BV52" s="43"/>
      <c r="BW52" s="43"/>
      <c r="BX52" s="133"/>
      <c r="BY52" s="43"/>
      <c r="BZ52" s="43"/>
      <c r="CA52" s="43"/>
      <c r="CB52" s="85"/>
    </row>
    <row r="53" spans="1:80" ht="12.75" customHeight="1" x14ac:dyDescent="0.2">
      <c r="A53" s="43"/>
      <c r="B53" s="43"/>
      <c r="C53" s="43"/>
      <c r="D53" s="43"/>
      <c r="E53" s="43"/>
      <c r="F53" s="133"/>
      <c r="G53" s="43"/>
      <c r="H53" s="43"/>
      <c r="I53" s="43"/>
      <c r="J53" s="43"/>
      <c r="K53" s="133"/>
      <c r="L53" s="43"/>
      <c r="M53" s="43"/>
      <c r="N53" s="43"/>
      <c r="O53" s="43"/>
      <c r="P53" s="133"/>
      <c r="Q53" s="43"/>
      <c r="R53" s="43"/>
      <c r="S53" s="43"/>
      <c r="T53" s="43"/>
      <c r="U53" s="133"/>
      <c r="V53" s="43"/>
      <c r="W53" s="134"/>
      <c r="X53" s="134"/>
      <c r="Y53" s="134"/>
      <c r="Z53" s="133"/>
      <c r="AA53" s="134"/>
      <c r="AB53" s="134"/>
      <c r="AC53" s="134"/>
      <c r="AD53" s="134"/>
      <c r="AE53" s="133"/>
      <c r="AF53" s="134"/>
      <c r="AG53" s="134"/>
      <c r="AH53" s="134"/>
      <c r="AI53" s="134"/>
      <c r="AJ53" s="133"/>
      <c r="AK53" s="134"/>
      <c r="AL53" s="134"/>
      <c r="AM53" s="134"/>
      <c r="AN53" s="134"/>
      <c r="AO53" s="133"/>
      <c r="AP53" s="134"/>
      <c r="AQ53" s="134"/>
      <c r="AR53" s="134"/>
      <c r="AS53" s="134"/>
      <c r="AT53" s="133"/>
      <c r="AU53" s="134"/>
      <c r="AV53" s="134"/>
      <c r="AW53" s="134"/>
      <c r="AX53" s="134"/>
      <c r="AY53" s="133"/>
      <c r="AZ53" s="134"/>
      <c r="BA53" s="134"/>
      <c r="BB53" s="43"/>
      <c r="BC53" s="43"/>
      <c r="BD53" s="133"/>
      <c r="BE53" s="43"/>
      <c r="BF53" s="43"/>
      <c r="BG53" s="43"/>
      <c r="BH53" s="43"/>
      <c r="BI53" s="133"/>
      <c r="BJ53" s="43"/>
      <c r="BK53" s="43"/>
      <c r="BL53" s="43"/>
      <c r="BM53" s="43"/>
      <c r="BN53" s="133"/>
      <c r="BO53" s="43"/>
      <c r="BP53" s="43"/>
      <c r="BQ53" s="43"/>
      <c r="BR53" s="43"/>
      <c r="BS53" s="133"/>
      <c r="BT53" s="43"/>
      <c r="BU53" s="43"/>
      <c r="BV53" s="43"/>
      <c r="BW53" s="43"/>
      <c r="BX53" s="133"/>
      <c r="BY53" s="43"/>
      <c r="BZ53" s="43"/>
      <c r="CA53" s="43"/>
      <c r="CB53" s="85"/>
    </row>
  </sheetData>
  <pageMargins left="0.511811024" right="0.511811024" top="0.78740157499999996" bottom="0.78740157499999996" header="0" footer="0"/>
  <pageSetup paperSize="9" scale="4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BG1675"/>
  <sheetViews>
    <sheetView showGridLines="0" workbookViewId="0"/>
  </sheetViews>
  <sheetFormatPr defaultColWidth="14.42578125" defaultRowHeight="15" customHeight="1" outlineLevelCol="1" x14ac:dyDescent="0.2"/>
  <cols>
    <col min="1" max="2" width="5.5703125" customWidth="1"/>
    <col min="3" max="3" width="34.5703125" customWidth="1"/>
    <col min="4" max="4" width="19.85546875" hidden="1" customWidth="1" outlineLevel="1"/>
    <col min="5" max="7" width="9.5703125" hidden="1" customWidth="1" outlineLevel="1"/>
    <col min="8" max="8" width="9.5703125" customWidth="1" collapsed="1"/>
    <col min="9" max="11" width="9.5703125" hidden="1" customWidth="1" outlineLevel="1"/>
    <col min="12" max="12" width="9.7109375" hidden="1" customWidth="1" outlineLevel="1"/>
    <col min="13" max="13" width="9.5703125" customWidth="1" collapsed="1"/>
    <col min="14" max="17" width="9.5703125" hidden="1" customWidth="1" outlineLevel="1"/>
    <col min="18" max="18" width="9.5703125" customWidth="1" collapsed="1"/>
    <col min="19" max="19" width="10.42578125" hidden="1" customWidth="1" outlineLevel="1"/>
    <col min="20" max="22" width="9.5703125" hidden="1" customWidth="1" outlineLevel="1"/>
    <col min="23" max="23" width="9.5703125" customWidth="1" collapsed="1"/>
    <col min="24" max="27" width="9.5703125" hidden="1" customWidth="1" outlineLevel="1"/>
    <col min="28" max="28" width="9.5703125" customWidth="1" collapsed="1"/>
    <col min="29" max="31" width="9.5703125" customWidth="1" outlineLevel="1"/>
    <col min="32" max="59" width="8.140625" customWidth="1"/>
  </cols>
  <sheetData>
    <row r="1" spans="1:59" ht="27.75" customHeight="1" x14ac:dyDescent="0.2">
      <c r="A1" s="141"/>
      <c r="B1" s="141"/>
      <c r="C1" s="142" t="s">
        <v>152</v>
      </c>
      <c r="D1" s="143"/>
      <c r="E1" s="144"/>
      <c r="F1" s="143"/>
      <c r="G1" s="143"/>
      <c r="H1" s="143"/>
      <c r="I1" s="143"/>
      <c r="J1" s="143"/>
      <c r="K1" s="143"/>
      <c r="L1" s="143"/>
      <c r="M1" s="145"/>
      <c r="N1" s="143"/>
      <c r="O1" s="143"/>
      <c r="P1" s="143"/>
      <c r="Q1" s="143"/>
      <c r="R1" s="146"/>
      <c r="S1" s="143"/>
      <c r="T1" s="143"/>
      <c r="U1" s="143"/>
      <c r="V1" s="143"/>
      <c r="W1" s="145"/>
      <c r="X1" s="143"/>
      <c r="Y1" s="143"/>
      <c r="Z1" s="143"/>
      <c r="AA1" s="143"/>
      <c r="AB1" s="145"/>
      <c r="AC1" s="143"/>
      <c r="AD1" s="143"/>
      <c r="AE1" s="143"/>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ht="15.75" customHeight="1" x14ac:dyDescent="0.2">
      <c r="A2" s="148"/>
      <c r="B2" s="148"/>
      <c r="C2" s="149" t="s">
        <v>153</v>
      </c>
      <c r="D2" s="421" t="s">
        <v>154</v>
      </c>
      <c r="E2" s="405"/>
      <c r="F2" s="405"/>
      <c r="G2" s="405"/>
      <c r="H2" s="405"/>
      <c r="I2" s="405"/>
      <c r="J2" s="405"/>
      <c r="K2" s="405"/>
      <c r="L2" s="405"/>
      <c r="M2" s="405"/>
      <c r="N2" s="405"/>
      <c r="O2" s="405"/>
      <c r="P2" s="405"/>
      <c r="Q2" s="405"/>
      <c r="R2" s="405"/>
      <c r="S2" s="422" t="s">
        <v>155</v>
      </c>
      <c r="T2" s="408"/>
      <c r="U2" s="408"/>
      <c r="V2" s="408"/>
      <c r="W2" s="408"/>
      <c r="X2" s="409"/>
      <c r="Y2" s="151"/>
      <c r="Z2" s="151"/>
      <c r="AA2" s="151"/>
      <c r="AB2" s="151"/>
      <c r="AC2" s="151"/>
      <c r="AD2" s="151"/>
      <c r="AE2" s="151"/>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row>
    <row r="3" spans="1:59" ht="15.75" customHeight="1" x14ac:dyDescent="0.2">
      <c r="A3" s="152"/>
      <c r="B3" s="153" t="s">
        <v>156</v>
      </c>
      <c r="C3" s="154"/>
      <c r="D3" s="155"/>
      <c r="E3" s="155"/>
      <c r="F3" s="155"/>
      <c r="G3" s="155"/>
      <c r="H3" s="155"/>
      <c r="I3" s="155"/>
      <c r="J3" s="155"/>
      <c r="K3" s="155"/>
      <c r="L3" s="155"/>
      <c r="M3" s="155"/>
      <c r="N3" s="155"/>
      <c r="O3" s="155"/>
      <c r="P3" s="155"/>
      <c r="Q3" s="155"/>
      <c r="R3" s="156"/>
      <c r="S3" s="155"/>
      <c r="T3" s="155"/>
      <c r="U3" s="155"/>
      <c r="V3" s="155"/>
      <c r="W3" s="155"/>
      <c r="X3" s="155"/>
      <c r="Y3" s="155"/>
      <c r="Z3" s="155"/>
      <c r="AA3" s="155"/>
      <c r="AB3" s="155"/>
      <c r="AC3" s="155"/>
      <c r="AD3" s="155"/>
      <c r="AE3" s="155"/>
      <c r="AF3" s="157"/>
      <c r="AG3" s="157"/>
      <c r="AH3" s="157"/>
      <c r="AI3" s="157"/>
      <c r="AJ3" s="157"/>
      <c r="AK3" s="147"/>
      <c r="AL3" s="147"/>
      <c r="AM3" s="147"/>
      <c r="AN3" s="147"/>
      <c r="AO3" s="147"/>
      <c r="AP3" s="147"/>
      <c r="AQ3" s="147"/>
      <c r="AR3" s="147"/>
      <c r="AS3" s="147"/>
      <c r="AT3" s="147"/>
      <c r="AU3" s="147"/>
      <c r="AV3" s="147"/>
      <c r="AW3" s="147"/>
      <c r="AX3" s="147"/>
      <c r="AY3" s="147"/>
      <c r="AZ3" s="147"/>
      <c r="BA3" s="147"/>
      <c r="BB3" s="147"/>
      <c r="BC3" s="147"/>
      <c r="BD3" s="147"/>
      <c r="BE3" s="147"/>
      <c r="BF3" s="147"/>
      <c r="BG3" s="147"/>
    </row>
    <row r="4" spans="1:59" ht="15.75" customHeight="1" x14ac:dyDescent="0.2">
      <c r="A4" s="152"/>
      <c r="B4" s="153" t="s">
        <v>157</v>
      </c>
      <c r="C4" s="154"/>
      <c r="D4" s="158" t="s">
        <v>98</v>
      </c>
      <c r="E4" s="158" t="s">
        <v>99</v>
      </c>
      <c r="F4" s="158" t="s">
        <v>100</v>
      </c>
      <c r="G4" s="158" t="s">
        <v>101</v>
      </c>
      <c r="H4" s="159">
        <v>2018</v>
      </c>
      <c r="I4" s="158" t="s">
        <v>102</v>
      </c>
      <c r="J4" s="158" t="s">
        <v>103</v>
      </c>
      <c r="K4" s="158" t="s">
        <v>104</v>
      </c>
      <c r="L4" s="158" t="s">
        <v>105</v>
      </c>
      <c r="M4" s="159">
        <v>2019</v>
      </c>
      <c r="N4" s="158" t="s">
        <v>158</v>
      </c>
      <c r="O4" s="158" t="s">
        <v>107</v>
      </c>
      <c r="P4" s="158" t="s">
        <v>108</v>
      </c>
      <c r="Q4" s="158" t="s">
        <v>109</v>
      </c>
      <c r="R4" s="159">
        <v>2020</v>
      </c>
      <c r="S4" s="158" t="s">
        <v>110</v>
      </c>
      <c r="T4" s="158" t="s">
        <v>111</v>
      </c>
      <c r="U4" s="158" t="s">
        <v>112</v>
      </c>
      <c r="V4" s="158" t="s">
        <v>113</v>
      </c>
      <c r="W4" s="159">
        <v>2021</v>
      </c>
      <c r="X4" s="158" t="s">
        <v>114</v>
      </c>
      <c r="Y4" s="158" t="s">
        <v>115</v>
      </c>
      <c r="Z4" s="158" t="s">
        <v>116</v>
      </c>
      <c r="AA4" s="158" t="s">
        <v>117</v>
      </c>
      <c r="AB4" s="160">
        <v>2022</v>
      </c>
      <c r="AC4" s="158" t="s">
        <v>118</v>
      </c>
      <c r="AD4" s="158" t="s">
        <v>119</v>
      </c>
      <c r="AE4" s="158" t="s">
        <v>120</v>
      </c>
      <c r="AF4" s="161"/>
      <c r="AG4" s="161"/>
      <c r="AH4" s="161"/>
      <c r="AI4" s="161"/>
      <c r="AJ4" s="161"/>
      <c r="AK4" s="147"/>
      <c r="AL4" s="147"/>
      <c r="AM4" s="147"/>
      <c r="AN4" s="147"/>
      <c r="AO4" s="147"/>
      <c r="AP4" s="147"/>
      <c r="AQ4" s="147"/>
      <c r="AR4" s="147"/>
      <c r="AS4" s="147"/>
      <c r="AT4" s="147"/>
      <c r="AU4" s="147"/>
      <c r="AV4" s="147"/>
      <c r="AW4" s="147"/>
      <c r="AX4" s="147"/>
      <c r="AY4" s="147"/>
      <c r="AZ4" s="147"/>
      <c r="BA4" s="147"/>
      <c r="BB4" s="147"/>
      <c r="BC4" s="147"/>
      <c r="BD4" s="147"/>
      <c r="BE4" s="147"/>
      <c r="BF4" s="147"/>
      <c r="BG4" s="147"/>
    </row>
    <row r="5" spans="1:59" ht="15.75" customHeight="1" x14ac:dyDescent="0.2">
      <c r="A5" s="162"/>
      <c r="B5" s="162"/>
      <c r="C5" s="163" t="s">
        <v>159</v>
      </c>
      <c r="D5" s="164">
        <v>387.28230541999994</v>
      </c>
      <c r="E5" s="164">
        <v>416.07024279499893</v>
      </c>
      <c r="F5" s="164">
        <v>451.33237634500125</v>
      </c>
      <c r="G5" s="164">
        <v>422.78488874000027</v>
      </c>
      <c r="H5" s="164">
        <v>1677.4698133000004</v>
      </c>
      <c r="I5" s="164">
        <v>378.84580550999999</v>
      </c>
      <c r="J5" s="164">
        <v>386.96014074000004</v>
      </c>
      <c r="K5" s="164">
        <v>421.34964608000001</v>
      </c>
      <c r="L5" s="164">
        <v>415.07026023000003</v>
      </c>
      <c r="M5" s="164">
        <v>1602.22585256</v>
      </c>
      <c r="N5" s="164">
        <v>406.3893173248639</v>
      </c>
      <c r="O5" s="164">
        <v>447.33472256927212</v>
      </c>
      <c r="P5" s="164">
        <v>474.10105264381394</v>
      </c>
      <c r="Q5" s="164">
        <v>487.777643132165</v>
      </c>
      <c r="R5" s="164">
        <f>SUM(N5:Q5)</f>
        <v>1815.602735670115</v>
      </c>
      <c r="S5" s="164">
        <v>507.08572291000002</v>
      </c>
      <c r="T5" s="164">
        <v>509.99797374000002</v>
      </c>
      <c r="U5" s="164">
        <v>543.92654571000003</v>
      </c>
      <c r="V5" s="164">
        <v>577.70454937</v>
      </c>
      <c r="W5" s="164">
        <f>SUM(S5:V5)</f>
        <v>2138.7147917299999</v>
      </c>
      <c r="X5" s="164">
        <v>529.21786904999999</v>
      </c>
      <c r="Y5" s="164">
        <v>539.57049873999995</v>
      </c>
      <c r="Z5" s="164">
        <v>619.07765617999996</v>
      </c>
      <c r="AA5" s="164">
        <v>584.02593898999999</v>
      </c>
      <c r="AB5" s="164">
        <f>SUM(X5:AA5)</f>
        <v>2271.8919629599995</v>
      </c>
      <c r="AC5" s="164">
        <v>570.23890833999997</v>
      </c>
      <c r="AD5" s="164">
        <v>593.53465242999994</v>
      </c>
      <c r="AE5" s="164">
        <v>618.58496862000004</v>
      </c>
      <c r="AF5" s="161"/>
      <c r="AG5" s="161"/>
      <c r="AH5" s="161"/>
      <c r="AI5" s="161"/>
      <c r="AJ5" s="161"/>
      <c r="AK5" s="147"/>
      <c r="AL5" s="147"/>
      <c r="AM5" s="147"/>
      <c r="AN5" s="147"/>
      <c r="AO5" s="147"/>
      <c r="AP5" s="147"/>
      <c r="AQ5" s="147"/>
      <c r="AR5" s="147"/>
      <c r="AS5" s="147"/>
      <c r="AT5" s="147"/>
      <c r="AU5" s="147"/>
      <c r="AV5" s="147"/>
      <c r="AW5" s="147"/>
      <c r="AX5" s="147"/>
      <c r="AY5" s="147"/>
      <c r="AZ5" s="147"/>
      <c r="BA5" s="147"/>
      <c r="BB5" s="147"/>
      <c r="BC5" s="147"/>
      <c r="BD5" s="147"/>
      <c r="BE5" s="147"/>
      <c r="BF5" s="147"/>
      <c r="BG5" s="147"/>
    </row>
    <row r="6" spans="1:59" ht="15.75" customHeight="1" x14ac:dyDescent="0.2">
      <c r="A6" s="162"/>
      <c r="B6" s="162"/>
      <c r="C6" s="165" t="s">
        <v>160</v>
      </c>
      <c r="D6" s="166">
        <v>-254.1</v>
      </c>
      <c r="E6" s="166">
        <v>-282.8</v>
      </c>
      <c r="F6" s="166">
        <v>-270.39999999999998</v>
      </c>
      <c r="G6" s="166">
        <v>-283.3</v>
      </c>
      <c r="H6" s="166">
        <v>-1090.5999999999999</v>
      </c>
      <c r="I6" s="166">
        <v>-238</v>
      </c>
      <c r="J6" s="166">
        <v>-257.8</v>
      </c>
      <c r="K6" s="166">
        <v>-240.7</v>
      </c>
      <c r="L6" s="166">
        <v>-258.8</v>
      </c>
      <c r="M6" s="166">
        <v>-995.3</v>
      </c>
      <c r="N6" s="166">
        <v>-244.95614959019349</v>
      </c>
      <c r="O6" s="166">
        <v>-247.16878143319309</v>
      </c>
      <c r="P6" s="166">
        <v>-268.12815296089349</v>
      </c>
      <c r="Q6" s="166">
        <v>-317.92169232948038</v>
      </c>
      <c r="R6" s="166">
        <v>-1085.29402553</v>
      </c>
      <c r="S6" s="166">
        <v>-267.02989581999998</v>
      </c>
      <c r="T6" s="166">
        <v>-291.93900687000001</v>
      </c>
      <c r="U6" s="166">
        <v>-309.71091723000001</v>
      </c>
      <c r="V6" s="166">
        <v>-376.57855431999997</v>
      </c>
      <c r="W6" s="166">
        <v>-1245.2689027000001</v>
      </c>
      <c r="X6" s="166">
        <v>-311.74806505999999</v>
      </c>
      <c r="Y6" s="166">
        <v>-320.43337122999998</v>
      </c>
      <c r="Z6" s="166">
        <v>-358.32994966000001</v>
      </c>
      <c r="AA6" s="166">
        <v>-359.93399183000002</v>
      </c>
      <c r="AB6" s="166">
        <v>-1350.3973127300001</v>
      </c>
      <c r="AC6" s="166">
        <v>-342.87212700999999</v>
      </c>
      <c r="AD6" s="166">
        <v>-362.88881458494689</v>
      </c>
      <c r="AE6" s="166">
        <v>-350.78806486000002</v>
      </c>
      <c r="AF6" s="161"/>
      <c r="AG6" s="161"/>
      <c r="AH6" s="161"/>
      <c r="AI6" s="161"/>
      <c r="AJ6" s="161"/>
      <c r="AK6" s="147"/>
      <c r="AL6" s="147"/>
      <c r="AM6" s="147"/>
      <c r="AN6" s="147"/>
      <c r="AO6" s="147"/>
      <c r="AP6" s="147"/>
      <c r="AQ6" s="147"/>
      <c r="AR6" s="147"/>
      <c r="AS6" s="147"/>
      <c r="AT6" s="147"/>
      <c r="AU6" s="147"/>
      <c r="AV6" s="147"/>
      <c r="AW6" s="147"/>
      <c r="AX6" s="147"/>
      <c r="AY6" s="147"/>
      <c r="AZ6" s="147"/>
      <c r="BA6" s="147"/>
      <c r="BB6" s="147"/>
      <c r="BC6" s="147"/>
      <c r="BD6" s="147"/>
      <c r="BE6" s="147"/>
      <c r="BF6" s="147"/>
      <c r="BG6" s="147"/>
    </row>
    <row r="7" spans="1:59" ht="15.75" customHeight="1" x14ac:dyDescent="0.2">
      <c r="A7" s="45"/>
      <c r="B7" s="45"/>
      <c r="C7" s="167" t="s">
        <v>161</v>
      </c>
      <c r="D7" s="168">
        <v>-34</v>
      </c>
      <c r="E7" s="168">
        <v>-38</v>
      </c>
      <c r="F7" s="168">
        <v>-30</v>
      </c>
      <c r="G7" s="168">
        <v>-36</v>
      </c>
      <c r="H7" s="168">
        <f t="shared" ref="H7:H12" si="0">SUM(D7:G7)</f>
        <v>-138</v>
      </c>
      <c r="I7" s="168">
        <v>-24</v>
      </c>
      <c r="J7" s="168">
        <v>-26</v>
      </c>
      <c r="K7" s="168">
        <v>-22</v>
      </c>
      <c r="L7" s="168">
        <v>-28</v>
      </c>
      <c r="M7" s="168">
        <f t="shared" ref="M7:M12" si="1">SUM(I7:L7)</f>
        <v>-100</v>
      </c>
      <c r="N7" s="168">
        <v>-23.361674306808503</v>
      </c>
      <c r="O7" s="168">
        <v>-21.093662393380999</v>
      </c>
      <c r="P7" s="168">
        <v>-24.084150104154002</v>
      </c>
      <c r="Q7" s="168">
        <v>-30.085053054052583</v>
      </c>
      <c r="R7" s="168">
        <f t="shared" ref="R7:R12" si="2">SUM(N7:Q7)</f>
        <v>-98.624539858396091</v>
      </c>
      <c r="S7" s="168">
        <v>-31.391560629999997</v>
      </c>
      <c r="T7" s="168">
        <v>-29.266194590000001</v>
      </c>
      <c r="U7" s="168">
        <v>-33.306676340000003</v>
      </c>
      <c r="V7" s="168">
        <v>-35.970127679999997</v>
      </c>
      <c r="W7" s="168">
        <f t="shared" ref="W7:W12" si="3">SUM(S7:V7)</f>
        <v>-129.93455924</v>
      </c>
      <c r="X7" s="168">
        <v>-36.336787370000003</v>
      </c>
      <c r="Y7" s="168">
        <v>-39.542739210000001</v>
      </c>
      <c r="Z7" s="168">
        <v>-49.23327166</v>
      </c>
      <c r="AA7" s="168">
        <v>-44.937018119999998</v>
      </c>
      <c r="AB7" s="168">
        <f t="shared" ref="AB7:AB24" si="4">SUM(X7:AA7)</f>
        <v>-170.04981635999999</v>
      </c>
      <c r="AC7" s="168">
        <v>-44.076616649999998</v>
      </c>
      <c r="AD7" s="168">
        <v>-45.783290869427894</v>
      </c>
      <c r="AE7" s="168">
        <v>-42.011840640000003</v>
      </c>
      <c r="AF7" s="169"/>
      <c r="AG7" s="169"/>
      <c r="AH7" s="169"/>
      <c r="AI7" s="169"/>
      <c r="AJ7" s="169"/>
      <c r="AK7" s="84"/>
      <c r="AL7" s="84"/>
      <c r="AM7" s="84"/>
      <c r="AN7" s="84"/>
      <c r="AO7" s="84"/>
      <c r="AP7" s="84"/>
      <c r="AQ7" s="84"/>
      <c r="AR7" s="84"/>
      <c r="AS7" s="84"/>
      <c r="AT7" s="84"/>
      <c r="AU7" s="84"/>
      <c r="AV7" s="84"/>
      <c r="AW7" s="84"/>
      <c r="AX7" s="84"/>
      <c r="AY7" s="84"/>
      <c r="AZ7" s="84"/>
      <c r="BA7" s="84"/>
      <c r="BB7" s="84"/>
      <c r="BC7" s="84"/>
      <c r="BD7" s="84"/>
      <c r="BE7" s="84"/>
      <c r="BF7" s="84"/>
      <c r="BG7" s="84"/>
    </row>
    <row r="8" spans="1:59" ht="15.75" customHeight="1" x14ac:dyDescent="0.2">
      <c r="A8" s="45"/>
      <c r="B8" s="45"/>
      <c r="C8" s="170" t="s">
        <v>162</v>
      </c>
      <c r="D8" s="168">
        <v>-120</v>
      </c>
      <c r="E8" s="168">
        <v>-137</v>
      </c>
      <c r="F8" s="168">
        <v>-134</v>
      </c>
      <c r="G8" s="168">
        <v>-138</v>
      </c>
      <c r="H8" s="168">
        <f t="shared" si="0"/>
        <v>-529</v>
      </c>
      <c r="I8" s="168">
        <v>-129</v>
      </c>
      <c r="J8" s="168">
        <v>-141</v>
      </c>
      <c r="K8" s="168">
        <v>-137</v>
      </c>
      <c r="L8" s="168">
        <v>-142</v>
      </c>
      <c r="M8" s="168">
        <f t="shared" si="1"/>
        <v>-549</v>
      </c>
      <c r="N8" s="168">
        <v>-135.45903632409403</v>
      </c>
      <c r="O8" s="168">
        <v>-138.08864035930006</v>
      </c>
      <c r="P8" s="168">
        <v>-137.91073161253206</v>
      </c>
      <c r="Q8" s="168">
        <v>-144.37399282114782</v>
      </c>
      <c r="R8" s="168">
        <f t="shared" si="2"/>
        <v>-555.83240111707403</v>
      </c>
      <c r="S8" s="168">
        <v>-136.29896033</v>
      </c>
      <c r="T8" s="168">
        <v>-143.83822755</v>
      </c>
      <c r="U8" s="168">
        <v>-142.86785963</v>
      </c>
      <c r="V8" s="168">
        <v>-175.46635447</v>
      </c>
      <c r="W8" s="168">
        <f t="shared" si="3"/>
        <v>-598.47140198</v>
      </c>
      <c r="X8" s="168">
        <v>-150.96301738</v>
      </c>
      <c r="Y8" s="168">
        <v>-162.02058291</v>
      </c>
      <c r="Z8" s="168">
        <v>-166.17650563000001</v>
      </c>
      <c r="AA8" s="168">
        <v>-170.28403187999999</v>
      </c>
      <c r="AB8" s="168">
        <f t="shared" si="4"/>
        <v>-649.44413780000002</v>
      </c>
      <c r="AC8" s="168">
        <v>-163.60510163000001</v>
      </c>
      <c r="AD8" s="168">
        <v>-177.46057145</v>
      </c>
      <c r="AE8" s="168">
        <v>-170.09407661</v>
      </c>
      <c r="AF8" s="169"/>
      <c r="AG8" s="169"/>
      <c r="AH8" s="169"/>
      <c r="AI8" s="169"/>
      <c r="AJ8" s="169"/>
      <c r="AK8" s="84"/>
      <c r="AL8" s="84"/>
      <c r="AM8" s="84"/>
      <c r="AN8" s="84"/>
      <c r="AO8" s="84"/>
      <c r="AP8" s="84"/>
      <c r="AQ8" s="84"/>
      <c r="AR8" s="84"/>
      <c r="AS8" s="84"/>
      <c r="AT8" s="84"/>
      <c r="AU8" s="84"/>
      <c r="AV8" s="84"/>
      <c r="AW8" s="84"/>
      <c r="AX8" s="84"/>
      <c r="AY8" s="84"/>
      <c r="AZ8" s="84"/>
      <c r="BA8" s="84"/>
      <c r="BB8" s="84"/>
      <c r="BC8" s="84"/>
      <c r="BD8" s="84"/>
      <c r="BE8" s="84"/>
      <c r="BF8" s="84"/>
      <c r="BG8" s="84"/>
    </row>
    <row r="9" spans="1:59" ht="15.75" customHeight="1" x14ac:dyDescent="0.2">
      <c r="A9" s="45"/>
      <c r="B9" s="45"/>
      <c r="C9" s="170" t="s">
        <v>163</v>
      </c>
      <c r="D9" s="168">
        <f>-100-0.1</f>
        <v>-100.1</v>
      </c>
      <c r="E9" s="168">
        <f>-108+0.2</f>
        <v>-107.8</v>
      </c>
      <c r="F9" s="168">
        <f>-106-0.4</f>
        <v>-106.4</v>
      </c>
      <c r="G9" s="168">
        <f>-109-0.3</f>
        <v>-109.3</v>
      </c>
      <c r="H9" s="168">
        <f t="shared" si="0"/>
        <v>-423.59999999999997</v>
      </c>
      <c r="I9" s="168">
        <v>-85</v>
      </c>
      <c r="J9" s="168">
        <v>-90.8</v>
      </c>
      <c r="K9" s="168">
        <f>-82+0.3</f>
        <v>-81.7</v>
      </c>
      <c r="L9" s="168">
        <f>-89+0.2</f>
        <v>-88.8</v>
      </c>
      <c r="M9" s="168">
        <f t="shared" si="1"/>
        <v>-346.3</v>
      </c>
      <c r="N9" s="168">
        <v>-86.135438959290937</v>
      </c>
      <c r="O9" s="168">
        <v>-87.986478680512008</v>
      </c>
      <c r="P9" s="168">
        <v>-106.13327124420744</v>
      </c>
      <c r="Q9" s="168">
        <v>-143.46264645427996</v>
      </c>
      <c r="R9" s="168">
        <f t="shared" si="2"/>
        <v>-423.71783533829034</v>
      </c>
      <c r="S9" s="168">
        <v>-99.339374859999992</v>
      </c>
      <c r="T9" s="168">
        <v>-118.83458473</v>
      </c>
      <c r="U9" s="168">
        <v>-133.53638126000001</v>
      </c>
      <c r="V9" s="168">
        <v>-165.14207216999998</v>
      </c>
      <c r="W9" s="168">
        <f t="shared" si="3"/>
        <v>-516.85241301999997</v>
      </c>
      <c r="X9" s="168">
        <v>-124.44826030999999</v>
      </c>
      <c r="Y9" s="168">
        <v>-118.87004911</v>
      </c>
      <c r="Z9" s="168">
        <v>-142.92017236999999</v>
      </c>
      <c r="AA9" s="168">
        <v>-144.71294183000001</v>
      </c>
      <c r="AB9" s="168">
        <f t="shared" si="4"/>
        <v>-530.95142362000001</v>
      </c>
      <c r="AC9" s="168">
        <v>-135.19040873</v>
      </c>
      <c r="AD9" s="168">
        <v>-139.64495227</v>
      </c>
      <c r="AE9" s="168">
        <v>-138.68214760999999</v>
      </c>
      <c r="AF9" s="169"/>
      <c r="AG9" s="169"/>
      <c r="AH9" s="169"/>
      <c r="AI9" s="169"/>
      <c r="AJ9" s="169"/>
      <c r="AK9" s="84"/>
      <c r="AL9" s="84"/>
      <c r="AM9" s="84"/>
      <c r="AN9" s="84"/>
      <c r="AO9" s="84"/>
      <c r="AP9" s="84"/>
      <c r="AQ9" s="84"/>
      <c r="AR9" s="84"/>
      <c r="AS9" s="84"/>
      <c r="AT9" s="84"/>
      <c r="AU9" s="84"/>
      <c r="AV9" s="84"/>
      <c r="AW9" s="84"/>
      <c r="AX9" s="84"/>
      <c r="AY9" s="84"/>
      <c r="AZ9" s="84"/>
      <c r="BA9" s="84"/>
      <c r="BB9" s="84"/>
      <c r="BC9" s="84"/>
      <c r="BD9" s="84"/>
      <c r="BE9" s="84"/>
      <c r="BF9" s="84"/>
      <c r="BG9" s="84"/>
    </row>
    <row r="10" spans="1:59" ht="15.75" customHeight="1" x14ac:dyDescent="0.2">
      <c r="A10" s="162"/>
      <c r="B10" s="162"/>
      <c r="C10" s="171" t="s">
        <v>164</v>
      </c>
      <c r="D10" s="172">
        <v>0</v>
      </c>
      <c r="E10" s="172">
        <v>0</v>
      </c>
      <c r="F10" s="172">
        <v>0</v>
      </c>
      <c r="G10" s="172">
        <v>0</v>
      </c>
      <c r="H10" s="172">
        <f t="shared" si="0"/>
        <v>0</v>
      </c>
      <c r="I10" s="172">
        <v>0</v>
      </c>
      <c r="J10" s="172">
        <v>0</v>
      </c>
      <c r="K10" s="172">
        <v>0</v>
      </c>
      <c r="L10" s="172">
        <v>-54</v>
      </c>
      <c r="M10" s="172">
        <f t="shared" si="1"/>
        <v>-54</v>
      </c>
      <c r="N10" s="172">
        <v>0</v>
      </c>
      <c r="O10" s="172">
        <v>0</v>
      </c>
      <c r="P10" s="172">
        <v>0</v>
      </c>
      <c r="Q10" s="172">
        <v>0</v>
      </c>
      <c r="R10" s="172">
        <f t="shared" si="2"/>
        <v>0</v>
      </c>
      <c r="S10" s="172">
        <v>0</v>
      </c>
      <c r="T10" s="172">
        <v>0</v>
      </c>
      <c r="U10" s="172">
        <v>0</v>
      </c>
      <c r="V10" s="172">
        <v>0</v>
      </c>
      <c r="W10" s="172">
        <f t="shared" si="3"/>
        <v>0</v>
      </c>
      <c r="X10" s="172">
        <v>0</v>
      </c>
      <c r="Y10" s="172">
        <v>0</v>
      </c>
      <c r="Z10" s="172">
        <v>0</v>
      </c>
      <c r="AA10" s="172">
        <v>0</v>
      </c>
      <c r="AB10" s="172">
        <f t="shared" si="4"/>
        <v>0</v>
      </c>
      <c r="AC10" s="172">
        <v>0</v>
      </c>
      <c r="AD10" s="172">
        <v>0</v>
      </c>
      <c r="AE10" s="172">
        <v>0</v>
      </c>
      <c r="AF10" s="157"/>
      <c r="AG10" s="157"/>
      <c r="AH10" s="157"/>
      <c r="AI10" s="157"/>
      <c r="AJ10" s="15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row>
    <row r="11" spans="1:59" ht="15.75" customHeight="1" x14ac:dyDescent="0.2">
      <c r="A11" s="162"/>
      <c r="B11" s="162"/>
      <c r="C11" s="171" t="s">
        <v>165</v>
      </c>
      <c r="D11" s="172">
        <v>0</v>
      </c>
      <c r="E11" s="172">
        <v>0</v>
      </c>
      <c r="F11" s="172">
        <v>0</v>
      </c>
      <c r="G11" s="172">
        <v>0</v>
      </c>
      <c r="H11" s="172">
        <f t="shared" si="0"/>
        <v>0</v>
      </c>
      <c r="I11" s="172">
        <v>0</v>
      </c>
      <c r="J11" s="172">
        <v>0</v>
      </c>
      <c r="K11" s="172">
        <v>0</v>
      </c>
      <c r="L11" s="172">
        <v>0</v>
      </c>
      <c r="M11" s="172">
        <f t="shared" si="1"/>
        <v>0</v>
      </c>
      <c r="N11" s="172">
        <v>0</v>
      </c>
      <c r="O11" s="172">
        <v>0</v>
      </c>
      <c r="P11" s="172">
        <v>0</v>
      </c>
      <c r="Q11" s="172">
        <v>2</v>
      </c>
      <c r="R11" s="172">
        <f t="shared" si="2"/>
        <v>2</v>
      </c>
      <c r="S11" s="172">
        <v>0</v>
      </c>
      <c r="T11" s="172">
        <v>0</v>
      </c>
      <c r="U11" s="172">
        <v>0</v>
      </c>
      <c r="V11" s="172">
        <v>0</v>
      </c>
      <c r="W11" s="172">
        <f t="shared" si="3"/>
        <v>0</v>
      </c>
      <c r="X11" s="172">
        <v>0</v>
      </c>
      <c r="Y11" s="172">
        <v>0</v>
      </c>
      <c r="Z11" s="172">
        <v>0</v>
      </c>
      <c r="AA11" s="172">
        <v>0</v>
      </c>
      <c r="AB11" s="172">
        <f t="shared" si="4"/>
        <v>0</v>
      </c>
      <c r="AC11" s="172">
        <v>0</v>
      </c>
      <c r="AD11" s="172">
        <v>0</v>
      </c>
      <c r="AE11" s="172">
        <v>0</v>
      </c>
      <c r="AF11" s="157"/>
      <c r="AG11" s="157"/>
      <c r="AH11" s="157"/>
      <c r="AI11" s="157"/>
      <c r="AJ11" s="15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row>
    <row r="12" spans="1:59" ht="15.75" customHeight="1" x14ac:dyDescent="0.2">
      <c r="A12" s="162"/>
      <c r="B12" s="162"/>
      <c r="C12" s="171" t="s">
        <v>166</v>
      </c>
      <c r="D12" s="172">
        <v>1</v>
      </c>
      <c r="E12" s="172">
        <v>-1</v>
      </c>
      <c r="F12" s="172">
        <v>0</v>
      </c>
      <c r="G12" s="172">
        <v>-1</v>
      </c>
      <c r="H12" s="172">
        <f t="shared" si="0"/>
        <v>-1</v>
      </c>
      <c r="I12" s="172">
        <v>0</v>
      </c>
      <c r="J12" s="172">
        <v>0</v>
      </c>
      <c r="K12" s="172">
        <v>1</v>
      </c>
      <c r="L12" s="172">
        <v>0</v>
      </c>
      <c r="M12" s="172">
        <f t="shared" si="1"/>
        <v>1</v>
      </c>
      <c r="N12" s="172">
        <v>0.64534412312349898</v>
      </c>
      <c r="O12" s="172">
        <v>0.74398573306199989</v>
      </c>
      <c r="P12" s="172">
        <v>-0.88115627187550005</v>
      </c>
      <c r="Q12" s="172">
        <v>-0.55051600666599909</v>
      </c>
      <c r="R12" s="172">
        <f t="shared" si="2"/>
        <v>-4.2342422356000164E-2</v>
      </c>
      <c r="S12" s="172">
        <v>-0.33477555999999997</v>
      </c>
      <c r="T12" s="172">
        <v>0.35464895000000002</v>
      </c>
      <c r="U12" s="172">
        <v>0.57826875</v>
      </c>
      <c r="V12" s="172">
        <v>-3.44875372</v>
      </c>
      <c r="W12" s="172">
        <f t="shared" si="3"/>
        <v>-2.8506115799999998</v>
      </c>
      <c r="X12" s="172">
        <v>0.12579946</v>
      </c>
      <c r="Y12" s="172">
        <v>0.30581055000000001</v>
      </c>
      <c r="Z12" s="172">
        <v>0.13407368</v>
      </c>
      <c r="AA12" s="172">
        <v>-7.2301359999999995E-2</v>
      </c>
      <c r="AB12" s="172">
        <f t="shared" si="4"/>
        <v>0.49338232999999998</v>
      </c>
      <c r="AC12" s="172">
        <v>0.10028860000000001</v>
      </c>
      <c r="AD12" s="172">
        <v>8.2327270563389998</v>
      </c>
      <c r="AE12" s="172">
        <v>3.1764779999999999E-2</v>
      </c>
      <c r="AF12" s="157"/>
      <c r="AG12" s="157"/>
      <c r="AH12" s="157"/>
      <c r="AI12" s="157"/>
      <c r="AJ12" s="15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row>
    <row r="13" spans="1:59" ht="15.75" customHeight="1" x14ac:dyDescent="0.2">
      <c r="A13" s="162"/>
      <c r="B13" s="162"/>
      <c r="C13" s="173" t="s">
        <v>167</v>
      </c>
      <c r="D13" s="172">
        <v>-1.6</v>
      </c>
      <c r="E13" s="172">
        <v>-2.9</v>
      </c>
      <c r="F13" s="172">
        <v>-2.1</v>
      </c>
      <c r="G13" s="172">
        <v>-8.5</v>
      </c>
      <c r="H13" s="172">
        <v>-15.1</v>
      </c>
      <c r="I13" s="172">
        <v>-4.8</v>
      </c>
      <c r="J13" s="172">
        <v>2.5</v>
      </c>
      <c r="K13" s="172">
        <v>-2.1</v>
      </c>
      <c r="L13" s="172">
        <v>6.8</v>
      </c>
      <c r="M13" s="172">
        <v>2.3999999999999995</v>
      </c>
      <c r="N13" s="172">
        <v>-20.755774623940663</v>
      </c>
      <c r="O13" s="172">
        <v>-8.8213611674358994</v>
      </c>
      <c r="P13" s="172">
        <v>-2.5582720601457778</v>
      </c>
      <c r="Q13" s="172">
        <v>3.3687220727818254</v>
      </c>
      <c r="R13" s="174">
        <v>-19.100000000000001</v>
      </c>
      <c r="S13" s="174">
        <v>-10.2396025</v>
      </c>
      <c r="T13" s="174">
        <v>2.1829537499999998</v>
      </c>
      <c r="U13" s="174">
        <v>-15.7024714</v>
      </c>
      <c r="V13" s="174">
        <v>-8.03832828</v>
      </c>
      <c r="W13" s="172">
        <v>-31.891265679999997</v>
      </c>
      <c r="X13" s="172">
        <v>21.417042769999998</v>
      </c>
      <c r="Y13" s="174">
        <v>-18.24229012</v>
      </c>
      <c r="Z13" s="174">
        <v>-12.859271870000001</v>
      </c>
      <c r="AA13" s="174">
        <v>26.697567840000001</v>
      </c>
      <c r="AB13" s="174">
        <f t="shared" si="4"/>
        <v>17.013048619999999</v>
      </c>
      <c r="AC13" s="174">
        <v>12.0674036</v>
      </c>
      <c r="AD13" s="174">
        <v>18.319750655970303</v>
      </c>
      <c r="AE13" s="174">
        <v>0.56187282000000005</v>
      </c>
      <c r="AF13" s="161"/>
      <c r="AG13" s="175"/>
      <c r="AH13" s="175"/>
      <c r="AI13" s="175"/>
      <c r="AJ13" s="175"/>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row>
    <row r="14" spans="1:59" ht="15.75" customHeight="1" x14ac:dyDescent="0.2">
      <c r="A14" s="162"/>
      <c r="B14" s="162"/>
      <c r="C14" s="163" t="s">
        <v>168</v>
      </c>
      <c r="D14" s="164">
        <f t="shared" ref="D14:G14" si="5">D5+D6+D10+D11+D12+D13</f>
        <v>132.58230541999995</v>
      </c>
      <c r="E14" s="164">
        <f t="shared" si="5"/>
        <v>129.37024279499892</v>
      </c>
      <c r="F14" s="164">
        <f t="shared" si="5"/>
        <v>178.83237634500128</v>
      </c>
      <c r="G14" s="164">
        <f t="shared" si="5"/>
        <v>129.98488874000026</v>
      </c>
      <c r="H14" s="164">
        <v>570.76981330000046</v>
      </c>
      <c r="I14" s="164">
        <v>136.04580550999998</v>
      </c>
      <c r="J14" s="164">
        <v>131.66014074000003</v>
      </c>
      <c r="K14" s="164">
        <v>179.54964608000003</v>
      </c>
      <c r="L14" s="164">
        <v>109.07026023000002</v>
      </c>
      <c r="M14" s="164">
        <v>556.32585256000004</v>
      </c>
      <c r="N14" s="164">
        <v>141.32273723385333</v>
      </c>
      <c r="O14" s="164">
        <v>192.08856570170511</v>
      </c>
      <c r="P14" s="164">
        <v>202.53347135089939</v>
      </c>
      <c r="Q14" s="164">
        <v>172.67415686880008</v>
      </c>
      <c r="R14" s="164">
        <f>SUM(N14:Q14)</f>
        <v>708.61893115525788</v>
      </c>
      <c r="S14" s="164">
        <v>229.48144902999999</v>
      </c>
      <c r="T14" s="164">
        <v>220.59656956999999</v>
      </c>
      <c r="U14" s="164">
        <v>219.09142583000002</v>
      </c>
      <c r="V14" s="164">
        <v>189.63891305000001</v>
      </c>
      <c r="W14" s="164">
        <f>SUM(S14:V14)</f>
        <v>858.80835748000004</v>
      </c>
      <c r="X14" s="164">
        <v>239.01264623</v>
      </c>
      <c r="Y14" s="164">
        <v>201.20064794000001</v>
      </c>
      <c r="Z14" s="164">
        <v>248.02250831999999</v>
      </c>
      <c r="AA14" s="164">
        <v>250.71721364000001</v>
      </c>
      <c r="AB14" s="164">
        <f t="shared" si="4"/>
        <v>938.95301612999992</v>
      </c>
      <c r="AC14" s="164">
        <v>239.53447352999999</v>
      </c>
      <c r="AD14" s="164">
        <v>257.198315557363</v>
      </c>
      <c r="AE14" s="164">
        <v>268.39054135999999</v>
      </c>
      <c r="AF14" s="157"/>
      <c r="AG14" s="157"/>
      <c r="AH14" s="157"/>
      <c r="AI14" s="161"/>
      <c r="AJ14" s="175"/>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row>
    <row r="15" spans="1:59" ht="15.75" customHeight="1" x14ac:dyDescent="0.2">
      <c r="A15" s="162"/>
      <c r="B15" s="162"/>
      <c r="C15" s="177" t="s">
        <v>169</v>
      </c>
      <c r="D15" s="172">
        <v>-46.9</v>
      </c>
      <c r="E15" s="172">
        <v>-51.4</v>
      </c>
      <c r="F15" s="172">
        <v>-53</v>
      </c>
      <c r="G15" s="172">
        <v>-53.5</v>
      </c>
      <c r="H15" s="172">
        <v>-204.8</v>
      </c>
      <c r="I15" s="172">
        <v>-63.1</v>
      </c>
      <c r="J15" s="172">
        <v>-64.2</v>
      </c>
      <c r="K15" s="172">
        <v>-66.400000000000006</v>
      </c>
      <c r="L15" s="172">
        <v>-67.099999999999994</v>
      </c>
      <c r="M15" s="172">
        <v>-260.8</v>
      </c>
      <c r="N15" s="172">
        <v>-72.024982575686565</v>
      </c>
      <c r="O15" s="172">
        <v>-80.561397232350657</v>
      </c>
      <c r="P15" s="172">
        <v>-80.606159372176762</v>
      </c>
      <c r="Q15" s="172">
        <v>-81.841597187711059</v>
      </c>
      <c r="R15" s="174">
        <v>-315</v>
      </c>
      <c r="S15" s="174">
        <v>-84.931852460000002</v>
      </c>
      <c r="T15" s="174">
        <v>-83.358121650000001</v>
      </c>
      <c r="U15" s="174">
        <v>-79.573804019999997</v>
      </c>
      <c r="V15" s="174">
        <v>-83.427491450000005</v>
      </c>
      <c r="W15" s="172">
        <v>-331.26377812999999</v>
      </c>
      <c r="X15" s="172">
        <v>-81.619663489999994</v>
      </c>
      <c r="Y15" s="174">
        <v>-79.104547170000004</v>
      </c>
      <c r="Z15" s="174">
        <v>-83.504519349999995</v>
      </c>
      <c r="AA15" s="174">
        <v>-88.500541220000002</v>
      </c>
      <c r="AB15" s="174">
        <f t="shared" si="4"/>
        <v>-332.72927122999999</v>
      </c>
      <c r="AC15" s="174">
        <v>-91.246415589999998</v>
      </c>
      <c r="AD15" s="174">
        <v>-89.563565134968513</v>
      </c>
      <c r="AE15" s="174">
        <v>-87.820762999999999</v>
      </c>
      <c r="AF15" s="157"/>
      <c r="AG15" s="157"/>
      <c r="AH15" s="157"/>
      <c r="AI15" s="161"/>
      <c r="AJ15" s="175"/>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row>
    <row r="16" spans="1:59" ht="15.75" customHeight="1" x14ac:dyDescent="0.2">
      <c r="A16" s="162"/>
      <c r="B16" s="162"/>
      <c r="C16" s="163" t="s">
        <v>170</v>
      </c>
      <c r="D16" s="164">
        <f t="shared" ref="D16:G16" si="6">D14+D15</f>
        <v>85.682305419999949</v>
      </c>
      <c r="E16" s="164">
        <f t="shared" si="6"/>
        <v>77.97024279499891</v>
      </c>
      <c r="F16" s="164">
        <f t="shared" si="6"/>
        <v>125.83237634500128</v>
      </c>
      <c r="G16" s="164">
        <f t="shared" si="6"/>
        <v>76.484888740000258</v>
      </c>
      <c r="H16" s="164">
        <v>365.96981330000045</v>
      </c>
      <c r="I16" s="164">
        <v>72.945805509999985</v>
      </c>
      <c r="J16" s="164">
        <v>67.460140740000028</v>
      </c>
      <c r="K16" s="164">
        <v>113.14964608000002</v>
      </c>
      <c r="L16" s="164">
        <v>41.970260230000022</v>
      </c>
      <c r="M16" s="164">
        <v>295.52585256000003</v>
      </c>
      <c r="N16" s="164">
        <v>69.297754658166781</v>
      </c>
      <c r="O16" s="164">
        <v>111.52716846935444</v>
      </c>
      <c r="P16" s="164">
        <v>121.92731197872264</v>
      </c>
      <c r="Q16" s="164">
        <v>90.832559681089023</v>
      </c>
      <c r="R16" s="164">
        <f t="shared" ref="R16:R22" si="7">SUM(N16:Q16)</f>
        <v>393.5847947873329</v>
      </c>
      <c r="S16" s="164">
        <v>144.54959657000001</v>
      </c>
      <c r="T16" s="164">
        <v>137.23844793000001</v>
      </c>
      <c r="U16" s="164">
        <v>139.51762181000001</v>
      </c>
      <c r="V16" s="164">
        <v>106.21142159999999</v>
      </c>
      <c r="W16" s="164">
        <v>527.51071859999979</v>
      </c>
      <c r="X16" s="164">
        <v>157.39298274000001</v>
      </c>
      <c r="Y16" s="164">
        <v>122.09610078</v>
      </c>
      <c r="Z16" s="164">
        <v>164.51798897</v>
      </c>
      <c r="AA16" s="164">
        <v>162.21667241</v>
      </c>
      <c r="AB16" s="164">
        <f t="shared" si="4"/>
        <v>606.22374490000004</v>
      </c>
      <c r="AC16" s="164">
        <v>148.28805793999999</v>
      </c>
      <c r="AD16" s="164">
        <v>167.63475042239401</v>
      </c>
      <c r="AE16" s="164">
        <v>180.56977835999999</v>
      </c>
      <c r="AF16" s="157"/>
      <c r="AG16" s="157"/>
      <c r="AH16" s="157"/>
      <c r="AI16" s="161"/>
      <c r="AJ16" s="175"/>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row>
    <row r="17" spans="1:59" ht="15.75" customHeight="1" x14ac:dyDescent="0.2">
      <c r="A17" s="162"/>
      <c r="B17" s="162"/>
      <c r="C17" s="171" t="s">
        <v>171</v>
      </c>
      <c r="D17" s="172">
        <v>4</v>
      </c>
      <c r="E17" s="172">
        <v>3</v>
      </c>
      <c r="F17" s="172">
        <v>3</v>
      </c>
      <c r="G17" s="172">
        <v>2</v>
      </c>
      <c r="H17" s="172">
        <f t="shared" ref="H17:H22" si="8">SUM(D17:G17)</f>
        <v>12</v>
      </c>
      <c r="I17" s="172">
        <v>2</v>
      </c>
      <c r="J17" s="172">
        <v>2</v>
      </c>
      <c r="K17" s="172">
        <v>1</v>
      </c>
      <c r="L17" s="172">
        <v>2</v>
      </c>
      <c r="M17" s="172">
        <f t="shared" ref="M17:M22" si="9">SUM(I17:L17)</f>
        <v>7</v>
      </c>
      <c r="N17" s="172">
        <v>-7.2121834639999882E-2</v>
      </c>
      <c r="O17" s="172">
        <v>1.4841704681640009</v>
      </c>
      <c r="P17" s="172">
        <v>1.0305621553849997</v>
      </c>
      <c r="Q17" s="172">
        <v>1.6756284186560002</v>
      </c>
      <c r="R17" s="172">
        <f t="shared" si="7"/>
        <v>4.1182392075650007</v>
      </c>
      <c r="S17" s="172">
        <v>1.3236463000000001</v>
      </c>
      <c r="T17" s="172">
        <v>1.8181871000000001</v>
      </c>
      <c r="U17" s="172">
        <v>2.3514808399999998</v>
      </c>
      <c r="V17" s="172">
        <v>6.0383827000000005</v>
      </c>
      <c r="W17" s="172">
        <f t="shared" ref="W17:W22" si="10">SUM(S17:V17)</f>
        <v>11.53169694</v>
      </c>
      <c r="X17" s="172">
        <v>3.2200152100000001</v>
      </c>
      <c r="Y17" s="172">
        <v>5.2302679000000003</v>
      </c>
      <c r="Z17" s="172">
        <v>5.1753677199999997</v>
      </c>
      <c r="AA17" s="172">
        <v>5.3216598900000003</v>
      </c>
      <c r="AB17" s="172">
        <f t="shared" si="4"/>
        <v>18.947310720000001</v>
      </c>
      <c r="AC17" s="172">
        <v>5.30297062</v>
      </c>
      <c r="AD17" s="172">
        <v>4.4020068902829994</v>
      </c>
      <c r="AE17" s="172">
        <v>3.7265286299999998</v>
      </c>
      <c r="AF17" s="157"/>
      <c r="AG17" s="157"/>
      <c r="AH17" s="157"/>
      <c r="AI17" s="161"/>
      <c r="AJ17" s="161"/>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row>
    <row r="18" spans="1:59" ht="15.75" customHeight="1" x14ac:dyDescent="0.2">
      <c r="A18" s="162"/>
      <c r="B18" s="162"/>
      <c r="C18" s="171" t="s">
        <v>172</v>
      </c>
      <c r="D18" s="172">
        <v>-10</v>
      </c>
      <c r="E18" s="172">
        <v>-11</v>
      </c>
      <c r="F18" s="172">
        <v>-12</v>
      </c>
      <c r="G18" s="172">
        <v>-12</v>
      </c>
      <c r="H18" s="172">
        <f t="shared" si="8"/>
        <v>-45</v>
      </c>
      <c r="I18" s="172">
        <v>-25</v>
      </c>
      <c r="J18" s="172">
        <v>-26</v>
      </c>
      <c r="K18" s="172">
        <v>-25</v>
      </c>
      <c r="L18" s="172">
        <v>-29</v>
      </c>
      <c r="M18" s="172">
        <f t="shared" si="9"/>
        <v>-105</v>
      </c>
      <c r="N18" s="172">
        <v>-25.810387174999981</v>
      </c>
      <c r="O18" s="172">
        <v>-30.198095345000024</v>
      </c>
      <c r="P18" s="172">
        <v>-28.13108415</v>
      </c>
      <c r="Q18" s="172">
        <v>-34.619108780000005</v>
      </c>
      <c r="R18" s="172">
        <f t="shared" si="7"/>
        <v>-118.75867545</v>
      </c>
      <c r="S18" s="172">
        <v>-39.169882700000002</v>
      </c>
      <c r="T18" s="172">
        <v>-39.046008130000004</v>
      </c>
      <c r="U18" s="172">
        <v>-40.639524059999999</v>
      </c>
      <c r="V18" s="172">
        <v>-43.465870210000006</v>
      </c>
      <c r="W18" s="172">
        <f t="shared" si="10"/>
        <v>-162.32128510000001</v>
      </c>
      <c r="X18" s="172">
        <v>-41.317576510000002</v>
      </c>
      <c r="Y18" s="172">
        <v>-47.735012640000001</v>
      </c>
      <c r="Z18" s="172">
        <v>-40.139892209999999</v>
      </c>
      <c r="AA18" s="172">
        <v>-40.476888809999998</v>
      </c>
      <c r="AB18" s="172">
        <f t="shared" si="4"/>
        <v>-169.66937016999998</v>
      </c>
      <c r="AC18" s="172">
        <v>-43.322391510000003</v>
      </c>
      <c r="AD18" s="172">
        <v>-44.325203309999999</v>
      </c>
      <c r="AE18" s="172">
        <v>-40.572629169999999</v>
      </c>
      <c r="AF18" s="157"/>
      <c r="AG18" s="157"/>
      <c r="AH18" s="157"/>
      <c r="AI18" s="161"/>
      <c r="AJ18" s="161"/>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row>
    <row r="19" spans="1:59" ht="15.75" customHeight="1" x14ac:dyDescent="0.2">
      <c r="A19" s="162"/>
      <c r="B19" s="162"/>
      <c r="C19" s="171" t="s">
        <v>173</v>
      </c>
      <c r="D19" s="172">
        <v>-1</v>
      </c>
      <c r="E19" s="172">
        <v>-31</v>
      </c>
      <c r="F19" s="172">
        <v>-7</v>
      </c>
      <c r="G19" s="172">
        <v>7</v>
      </c>
      <c r="H19" s="172">
        <f t="shared" si="8"/>
        <v>-32</v>
      </c>
      <c r="I19" s="172">
        <v>1</v>
      </c>
      <c r="J19" s="172">
        <v>0</v>
      </c>
      <c r="K19" s="172">
        <v>0</v>
      </c>
      <c r="L19" s="172">
        <v>-1</v>
      </c>
      <c r="M19" s="172">
        <f t="shared" si="9"/>
        <v>0</v>
      </c>
      <c r="N19" s="172">
        <v>19.720661440000001</v>
      </c>
      <c r="O19" s="172">
        <v>3.6470358099999967</v>
      </c>
      <c r="P19" s="172">
        <v>-0.14010606816802082</v>
      </c>
      <c r="Q19" s="172">
        <v>0.48542658999999894</v>
      </c>
      <c r="R19" s="172">
        <f t="shared" si="7"/>
        <v>23.713017771831979</v>
      </c>
      <c r="S19" s="172">
        <v>0.10456691999999999</v>
      </c>
      <c r="T19" s="172">
        <v>4.4268300000000003E-2</v>
      </c>
      <c r="U19" s="172">
        <v>0.10085575999999999</v>
      </c>
      <c r="V19" s="172">
        <v>-0.44036452000000004</v>
      </c>
      <c r="W19" s="172">
        <f t="shared" si="10"/>
        <v>-0.19067354000000006</v>
      </c>
      <c r="X19" s="172">
        <v>-0.11822405</v>
      </c>
      <c r="Y19" s="172">
        <v>0.23689136</v>
      </c>
      <c r="Z19" s="172">
        <v>0.56894732000000003</v>
      </c>
      <c r="AA19" s="172">
        <v>-1.99259209</v>
      </c>
      <c r="AB19" s="172">
        <f t="shared" si="4"/>
        <v>-1.3049774599999999</v>
      </c>
      <c r="AC19" s="172">
        <v>-0.73783949000000004</v>
      </c>
      <c r="AD19" s="172">
        <v>-1.1039971599999998</v>
      </c>
      <c r="AE19" s="172">
        <v>0.35115621000000002</v>
      </c>
      <c r="AF19" s="161"/>
      <c r="AG19" s="157"/>
      <c r="AH19" s="157"/>
      <c r="AI19" s="161"/>
      <c r="AJ19" s="161"/>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row>
    <row r="20" spans="1:59" ht="15.75" customHeight="1" x14ac:dyDescent="0.2">
      <c r="A20" s="162"/>
      <c r="B20" s="162"/>
      <c r="C20" s="171" t="s">
        <v>174</v>
      </c>
      <c r="D20" s="172">
        <v>0</v>
      </c>
      <c r="E20" s="172">
        <v>0</v>
      </c>
      <c r="F20" s="172">
        <v>0</v>
      </c>
      <c r="G20" s="172">
        <v>0</v>
      </c>
      <c r="H20" s="172">
        <f t="shared" si="8"/>
        <v>0</v>
      </c>
      <c r="I20" s="172">
        <v>0</v>
      </c>
      <c r="J20" s="172">
        <v>0</v>
      </c>
      <c r="K20" s="172">
        <v>0</v>
      </c>
      <c r="L20" s="172">
        <v>0</v>
      </c>
      <c r="M20" s="172">
        <f t="shared" si="9"/>
        <v>0</v>
      </c>
      <c r="N20" s="172">
        <v>0</v>
      </c>
      <c r="O20" s="172">
        <v>0</v>
      </c>
      <c r="P20" s="172">
        <v>0</v>
      </c>
      <c r="Q20" s="172">
        <v>0</v>
      </c>
      <c r="R20" s="172">
        <f t="shared" si="7"/>
        <v>0</v>
      </c>
      <c r="S20" s="172">
        <v>0</v>
      </c>
      <c r="T20" s="172">
        <v>0</v>
      </c>
      <c r="U20" s="172">
        <v>0</v>
      </c>
      <c r="V20" s="172">
        <v>0</v>
      </c>
      <c r="W20" s="172">
        <f t="shared" si="10"/>
        <v>0</v>
      </c>
      <c r="X20" s="172">
        <v>0</v>
      </c>
      <c r="Y20" s="172">
        <v>0</v>
      </c>
      <c r="Z20" s="172">
        <v>0</v>
      </c>
      <c r="AA20" s="172">
        <v>0</v>
      </c>
      <c r="AB20" s="172">
        <f t="shared" si="4"/>
        <v>0</v>
      </c>
      <c r="AC20" s="172">
        <v>0</v>
      </c>
      <c r="AD20" s="172">
        <v>0</v>
      </c>
      <c r="AE20" s="172">
        <v>0</v>
      </c>
      <c r="AF20" s="161"/>
      <c r="AG20" s="157"/>
      <c r="AH20" s="157"/>
      <c r="AI20" s="161"/>
      <c r="AJ20" s="161"/>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row>
    <row r="21" spans="1:59" ht="15.75" customHeight="1" x14ac:dyDescent="0.2">
      <c r="A21" s="162"/>
      <c r="B21" s="162"/>
      <c r="C21" s="171" t="s">
        <v>175</v>
      </c>
      <c r="D21" s="172">
        <v>0</v>
      </c>
      <c r="E21" s="172">
        <v>0</v>
      </c>
      <c r="F21" s="172">
        <v>0</v>
      </c>
      <c r="G21" s="172">
        <v>0</v>
      </c>
      <c r="H21" s="172">
        <f t="shared" si="8"/>
        <v>0</v>
      </c>
      <c r="I21" s="172">
        <v>2</v>
      </c>
      <c r="J21" s="172">
        <v>1</v>
      </c>
      <c r="K21" s="172">
        <v>7</v>
      </c>
      <c r="L21" s="172">
        <v>6</v>
      </c>
      <c r="M21" s="172">
        <f t="shared" si="9"/>
        <v>16</v>
      </c>
      <c r="N21" s="172">
        <v>2.1838737655840008</v>
      </c>
      <c r="O21" s="172">
        <v>-0.37438092548799518</v>
      </c>
      <c r="P21" s="172">
        <v>-0.72002586805399538</v>
      </c>
      <c r="Q21" s="172">
        <v>1.9446236199980302</v>
      </c>
      <c r="R21" s="172">
        <f t="shared" si="7"/>
        <v>3.0340905920400405</v>
      </c>
      <c r="S21" s="172">
        <v>0.68001844999999994</v>
      </c>
      <c r="T21" s="172">
        <v>4.0222832999999998</v>
      </c>
      <c r="U21" s="172">
        <v>3.5805908399999997</v>
      </c>
      <c r="V21" s="172">
        <v>3.8089400099999997</v>
      </c>
      <c r="W21" s="172">
        <f t="shared" si="10"/>
        <v>12.0918326</v>
      </c>
      <c r="X21" s="172">
        <v>4.70606714</v>
      </c>
      <c r="Y21" s="172">
        <v>3.5534753299999999</v>
      </c>
      <c r="Z21" s="172">
        <v>4.3747858300000004</v>
      </c>
      <c r="AA21" s="172">
        <v>4.9948013600000003</v>
      </c>
      <c r="AB21" s="172">
        <f t="shared" si="4"/>
        <v>17.62912966</v>
      </c>
      <c r="AC21" s="172">
        <v>6.1597922399999998</v>
      </c>
      <c r="AD21" s="172">
        <v>3.9838875699999998</v>
      </c>
      <c r="AE21" s="172">
        <v>3.0939915099999999</v>
      </c>
      <c r="AF21" s="161"/>
      <c r="AG21" s="157"/>
      <c r="AH21" s="157"/>
      <c r="AI21" s="161"/>
      <c r="AJ21" s="161"/>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row>
    <row r="22" spans="1:59" ht="15.75" customHeight="1" x14ac:dyDescent="0.2">
      <c r="A22" s="162"/>
      <c r="B22" s="162"/>
      <c r="C22" s="171" t="s">
        <v>176</v>
      </c>
      <c r="D22" s="172">
        <v>-3</v>
      </c>
      <c r="E22" s="172">
        <v>-30</v>
      </c>
      <c r="F22" s="172">
        <v>-11</v>
      </c>
      <c r="G22" s="172">
        <v>7</v>
      </c>
      <c r="H22" s="172">
        <f t="shared" si="8"/>
        <v>-37</v>
      </c>
      <c r="I22" s="172">
        <v>-2</v>
      </c>
      <c r="J22" s="172">
        <v>2</v>
      </c>
      <c r="K22" s="172">
        <v>-38</v>
      </c>
      <c r="L22" s="172">
        <v>32</v>
      </c>
      <c r="M22" s="172">
        <f t="shared" si="9"/>
        <v>-6</v>
      </c>
      <c r="N22" s="172">
        <v>-41.606823871239897</v>
      </c>
      <c r="O22" s="172">
        <v>-16.569122635997729</v>
      </c>
      <c r="P22" s="172">
        <v>-3.9743717917964805</v>
      </c>
      <c r="Q22" s="172">
        <v>11.23929131721283</v>
      </c>
      <c r="R22" s="172">
        <f t="shared" si="7"/>
        <v>-50.911026981821273</v>
      </c>
      <c r="S22" s="172">
        <v>-28.386466260000002</v>
      </c>
      <c r="T22" s="172">
        <v>42.529931500000004</v>
      </c>
      <c r="U22" s="172">
        <v>-18.236082789999998</v>
      </c>
      <c r="V22" s="172">
        <v>-10.64767825</v>
      </c>
      <c r="W22" s="172">
        <f t="shared" si="10"/>
        <v>-14.740295799999997</v>
      </c>
      <c r="X22" s="172">
        <v>14.7998771</v>
      </c>
      <c r="Y22" s="172">
        <v>-9.2783003599999994</v>
      </c>
      <c r="Z22" s="172">
        <v>-6.8089372600000004</v>
      </c>
      <c r="AA22" s="172">
        <v>4.9052337699999997</v>
      </c>
      <c r="AB22" s="172">
        <f t="shared" si="4"/>
        <v>3.6178732499999997</v>
      </c>
      <c r="AC22" s="172">
        <v>0.53475251000000001</v>
      </c>
      <c r="AD22" s="172">
        <v>3.15586541505846</v>
      </c>
      <c r="AE22" s="172">
        <v>-0.48220506000000002</v>
      </c>
      <c r="AF22" s="161"/>
      <c r="AG22" s="157"/>
      <c r="AH22" s="157"/>
      <c r="AI22" s="161"/>
      <c r="AJ22" s="161"/>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row>
    <row r="23" spans="1:59" ht="15.75" customHeight="1" x14ac:dyDescent="0.2">
      <c r="A23" s="162"/>
      <c r="B23" s="162"/>
      <c r="C23" s="165" t="s">
        <v>177</v>
      </c>
      <c r="D23" s="166">
        <f t="shared" ref="D23:G23" si="11">SUM(D16:D22)</f>
        <v>75.682305419999949</v>
      </c>
      <c r="E23" s="166">
        <f t="shared" si="11"/>
        <v>8.9702427949989101</v>
      </c>
      <c r="F23" s="166">
        <f t="shared" si="11"/>
        <v>98.832376345001279</v>
      </c>
      <c r="G23" s="166">
        <f t="shared" si="11"/>
        <v>80.484888740000258</v>
      </c>
      <c r="H23" s="166">
        <v>263.96981330000045</v>
      </c>
      <c r="I23" s="166">
        <v>50.945805509999985</v>
      </c>
      <c r="J23" s="166">
        <v>46.460140740000028</v>
      </c>
      <c r="K23" s="166">
        <v>58.149646080000025</v>
      </c>
      <c r="L23" s="166">
        <v>51.970260230000022</v>
      </c>
      <c r="M23" s="166">
        <v>207.52585256000003</v>
      </c>
      <c r="N23" s="166">
        <v>23.712956982870885</v>
      </c>
      <c r="O23" s="166">
        <v>69.516775841032697</v>
      </c>
      <c r="P23" s="166">
        <v>89.992286256089002</v>
      </c>
      <c r="Q23" s="166">
        <v>71.558420846956196</v>
      </c>
      <c r="R23" s="166">
        <v>252.16772325999989</v>
      </c>
      <c r="S23" s="166">
        <v>79.101479280000007</v>
      </c>
      <c r="T23" s="166">
        <v>146.60710999</v>
      </c>
      <c r="U23" s="166">
        <v>86.674942400000006</v>
      </c>
      <c r="V23" s="166">
        <v>61.504831340000003</v>
      </c>
      <c r="W23" s="166">
        <v>373.91071859999983</v>
      </c>
      <c r="X23" s="166">
        <v>138.68314162999999</v>
      </c>
      <c r="Y23" s="166">
        <v>74.103422359999996</v>
      </c>
      <c r="Z23" s="166">
        <v>127.68826036999999</v>
      </c>
      <c r="AA23" s="166">
        <v>134.96888654</v>
      </c>
      <c r="AB23" s="166">
        <f t="shared" si="4"/>
        <v>475.44371089999993</v>
      </c>
      <c r="AC23" s="166">
        <v>116.22534230999999</v>
      </c>
      <c r="AD23" s="166">
        <v>133.74730982773602</v>
      </c>
      <c r="AE23" s="166">
        <v>146.68662049</v>
      </c>
      <c r="AF23" s="161"/>
      <c r="AG23" s="161"/>
      <c r="AH23" s="161"/>
      <c r="AI23" s="161"/>
      <c r="AJ23" s="161"/>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row>
    <row r="24" spans="1:59" ht="15.75" customHeight="1" x14ac:dyDescent="0.2">
      <c r="A24" s="162"/>
      <c r="B24" s="162"/>
      <c r="C24" s="177" t="s">
        <v>178</v>
      </c>
      <c r="D24" s="172">
        <v>-26.6</v>
      </c>
      <c r="E24" s="172">
        <v>-11.4</v>
      </c>
      <c r="F24" s="172">
        <v>-38.799999999999997</v>
      </c>
      <c r="G24" s="172">
        <v>-23.3</v>
      </c>
      <c r="H24" s="172">
        <v>-100.1</v>
      </c>
      <c r="I24" s="172">
        <v>-27.9</v>
      </c>
      <c r="J24" s="172">
        <v>-22.6</v>
      </c>
      <c r="K24" s="172">
        <v>-30.7</v>
      </c>
      <c r="L24" s="172">
        <v>-4.3</v>
      </c>
      <c r="M24" s="172">
        <v>-85.5</v>
      </c>
      <c r="N24" s="172">
        <v>-46.023200517457958</v>
      </c>
      <c r="O24" s="172">
        <v>-33.081379708407603</v>
      </c>
      <c r="P24" s="172">
        <v>-35.412810634023209</v>
      </c>
      <c r="Q24" s="172">
        <v>-18.897532651525875</v>
      </c>
      <c r="R24" s="174">
        <v>-133.6</v>
      </c>
      <c r="S24" s="174">
        <v>-52.400310380000008</v>
      </c>
      <c r="T24" s="174">
        <v>-26.045756340000004</v>
      </c>
      <c r="U24" s="174">
        <v>-52.038980190000004</v>
      </c>
      <c r="V24" s="174">
        <v>-19.64988554</v>
      </c>
      <c r="W24" s="172">
        <v>-150</v>
      </c>
      <c r="X24" s="172">
        <v>4.8021610699999897</v>
      </c>
      <c r="Y24" s="174">
        <v>-57.816059699999997</v>
      </c>
      <c r="Z24" s="174">
        <v>-61.145711200000001</v>
      </c>
      <c r="AA24" s="174">
        <v>-22.376066430000002</v>
      </c>
      <c r="AB24" s="174">
        <f t="shared" si="4"/>
        <v>-136.53567626</v>
      </c>
      <c r="AC24" s="174">
        <v>-30.93748068</v>
      </c>
      <c r="AD24" s="174">
        <v>-22.469134665888369</v>
      </c>
      <c r="AE24" s="174">
        <v>-51.846781300000004</v>
      </c>
      <c r="AF24" s="161"/>
      <c r="AG24" s="161"/>
      <c r="AH24" s="161"/>
      <c r="AI24" s="161"/>
      <c r="AJ24" s="161"/>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row>
    <row r="25" spans="1:59" ht="15.75" customHeight="1" x14ac:dyDescent="0.2">
      <c r="A25" s="162"/>
      <c r="B25" s="162"/>
      <c r="C25" s="178" t="s">
        <v>179</v>
      </c>
      <c r="D25" s="164">
        <f t="shared" ref="D25:M25" si="12">SUM(D23:D24)</f>
        <v>49.082305419999948</v>
      </c>
      <c r="E25" s="164">
        <f t="shared" si="12"/>
        <v>-2.4297572050010903</v>
      </c>
      <c r="F25" s="164">
        <f t="shared" si="12"/>
        <v>60.032376345001282</v>
      </c>
      <c r="G25" s="164">
        <f t="shared" si="12"/>
        <v>57.184888740000261</v>
      </c>
      <c r="H25" s="164">
        <f t="shared" si="12"/>
        <v>163.86981330000046</v>
      </c>
      <c r="I25" s="164">
        <f t="shared" si="12"/>
        <v>23.045805509999987</v>
      </c>
      <c r="J25" s="164">
        <f t="shared" si="12"/>
        <v>23.860140740000027</v>
      </c>
      <c r="K25" s="164">
        <f t="shared" si="12"/>
        <v>27.449646080000026</v>
      </c>
      <c r="L25" s="164">
        <f t="shared" si="12"/>
        <v>47.670260230000025</v>
      </c>
      <c r="M25" s="164">
        <f t="shared" si="12"/>
        <v>122.02585256000003</v>
      </c>
      <c r="N25" s="164">
        <v>-22.310243534587077</v>
      </c>
      <c r="O25" s="164">
        <v>36.435396132625094</v>
      </c>
      <c r="P25" s="164">
        <v>54.579475622065793</v>
      </c>
      <c r="Q25" s="164">
        <v>52.660888195430317</v>
      </c>
      <c r="R25" s="164">
        <f>SUM(R23:R24)</f>
        <v>118.56772325999989</v>
      </c>
      <c r="S25" s="164">
        <v>26.701168899999999</v>
      </c>
      <c r="T25" s="164">
        <v>120.56135365</v>
      </c>
      <c r="U25" s="164">
        <v>34.635962210000002</v>
      </c>
      <c r="V25" s="164">
        <v>41.854945799999996</v>
      </c>
      <c r="W25" s="164">
        <f t="shared" ref="W25:AE25" si="13">SUM(W23:W24)</f>
        <v>223.91071859999983</v>
      </c>
      <c r="X25" s="164">
        <f t="shared" si="13"/>
        <v>143.48530269999998</v>
      </c>
      <c r="Y25" s="164">
        <f t="shared" si="13"/>
        <v>16.287362659999999</v>
      </c>
      <c r="Z25" s="164">
        <f t="shared" si="13"/>
        <v>66.542549170000001</v>
      </c>
      <c r="AA25" s="164">
        <f t="shared" si="13"/>
        <v>112.59282010999999</v>
      </c>
      <c r="AB25" s="164">
        <f t="shared" si="13"/>
        <v>338.90803463999993</v>
      </c>
      <c r="AC25" s="164">
        <f t="shared" si="13"/>
        <v>85.287861629999981</v>
      </c>
      <c r="AD25" s="164">
        <f t="shared" si="13"/>
        <v>111.27817516184766</v>
      </c>
      <c r="AE25" s="164">
        <f t="shared" si="13"/>
        <v>94.839839189999992</v>
      </c>
      <c r="AF25" s="179"/>
      <c r="AG25" s="179"/>
      <c r="AH25" s="179"/>
      <c r="AI25" s="179"/>
      <c r="AJ25" s="179"/>
      <c r="AK25" s="180"/>
      <c r="AL25" s="180"/>
      <c r="AM25" s="147"/>
      <c r="AN25" s="147"/>
      <c r="AO25" s="147"/>
      <c r="AP25" s="147"/>
      <c r="AQ25" s="147"/>
      <c r="AR25" s="147"/>
      <c r="AS25" s="147"/>
      <c r="AT25" s="147"/>
      <c r="AU25" s="147"/>
      <c r="AV25" s="147"/>
      <c r="AW25" s="147"/>
      <c r="AX25" s="147"/>
      <c r="AY25" s="147"/>
      <c r="AZ25" s="147"/>
      <c r="BA25" s="147"/>
      <c r="BB25" s="147"/>
      <c r="BC25" s="147"/>
      <c r="BD25" s="147"/>
      <c r="BE25" s="147"/>
      <c r="BF25" s="147"/>
      <c r="BG25" s="147"/>
    </row>
    <row r="26" spans="1:59" ht="15.75" customHeight="1" x14ac:dyDescent="0.2">
      <c r="A26" s="162"/>
      <c r="B26" s="162"/>
      <c r="C26" s="177" t="s">
        <v>180</v>
      </c>
      <c r="D26" s="172">
        <v>-5.0061236239999998</v>
      </c>
      <c r="E26" s="172">
        <v>-62.86219784</v>
      </c>
      <c r="F26" s="172">
        <v>-18.9013569</v>
      </c>
      <c r="G26" s="172">
        <v>19.465410840000001</v>
      </c>
      <c r="H26" s="172">
        <f>SUM(D26:G26)</f>
        <v>-67.304267523999997</v>
      </c>
      <c r="I26" s="172">
        <v>-12.575855369999999</v>
      </c>
      <c r="J26" s="172">
        <v>5.973561825</v>
      </c>
      <c r="K26" s="172">
        <v>-43.258391019999998</v>
      </c>
      <c r="L26" s="172">
        <v>38.376186730000001</v>
      </c>
      <c r="M26" s="172">
        <f>SUM(I26:L26)</f>
        <v>-11.484497834999999</v>
      </c>
      <c r="N26" s="172">
        <v>-30.2989341230805</v>
      </c>
      <c r="O26" s="172">
        <v>-8.990777367624931</v>
      </c>
      <c r="P26" s="172">
        <v>2.1336384534621935</v>
      </c>
      <c r="Q26" s="172">
        <v>20.248633779757526</v>
      </c>
      <c r="R26" s="174">
        <f>SUM(N26:Q26)</f>
        <v>-16.907439257485706</v>
      </c>
      <c r="S26" s="174">
        <v>-19.509241190000001</v>
      </c>
      <c r="T26" s="174">
        <v>66.293123690000002</v>
      </c>
      <c r="U26" s="174">
        <v>-31.634366059999998</v>
      </c>
      <c r="V26" s="174">
        <v>-14.111370449999999</v>
      </c>
      <c r="W26" s="172">
        <f>SUM(S26:V26)</f>
        <v>1.0381459900000074</v>
      </c>
      <c r="X26" s="172">
        <v>63.477705489999998</v>
      </c>
      <c r="Y26" s="174">
        <v>-49.614617809999999</v>
      </c>
      <c r="Z26" s="174">
        <v>-16.764578230000001</v>
      </c>
      <c r="AA26" s="174">
        <v>25.492572930000001</v>
      </c>
      <c r="AB26" s="174">
        <f t="shared" ref="AB26:AB27" si="14">SUM(X26:AA26)</f>
        <v>22.59108238</v>
      </c>
      <c r="AC26" s="174">
        <v>9.2261911800000007</v>
      </c>
      <c r="AD26" s="174">
        <v>22.409603474365461</v>
      </c>
      <c r="AE26" s="174">
        <v>-15.0181735</v>
      </c>
      <c r="AF26" s="161"/>
      <c r="AG26" s="161"/>
      <c r="AH26" s="161"/>
      <c r="AI26" s="161"/>
      <c r="AJ26" s="161"/>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row>
    <row r="27" spans="1:59" ht="15.75" customHeight="1" x14ac:dyDescent="0.2">
      <c r="A27" s="162"/>
      <c r="B27" s="162"/>
      <c r="C27" s="165" t="s">
        <v>181</v>
      </c>
      <c r="D27" s="166">
        <f t="shared" ref="D27:G27" si="15">D25-D26</f>
        <v>54.088429043999945</v>
      </c>
      <c r="E27" s="166">
        <f t="shared" si="15"/>
        <v>60.432440634998912</v>
      </c>
      <c r="F27" s="166">
        <f t="shared" si="15"/>
        <v>78.933733245001278</v>
      </c>
      <c r="G27" s="166">
        <f t="shared" si="15"/>
        <v>37.719477900000257</v>
      </c>
      <c r="H27" s="166">
        <v>231.17408082400044</v>
      </c>
      <c r="I27" s="166">
        <v>35.621660879999986</v>
      </c>
      <c r="J27" s="166">
        <v>17.886578915000026</v>
      </c>
      <c r="K27" s="166">
        <v>70.708037100000027</v>
      </c>
      <c r="L27" s="166">
        <v>9.2940735000000245</v>
      </c>
      <c r="M27" s="166">
        <v>133.51035039500005</v>
      </c>
      <c r="N27" s="166">
        <v>7.988690588493423</v>
      </c>
      <c r="O27" s="166">
        <v>45.426173500250023</v>
      </c>
      <c r="P27" s="166">
        <v>52.445837168603603</v>
      </c>
      <c r="Q27" s="166">
        <v>32.412254415672791</v>
      </c>
      <c r="R27" s="166">
        <v>141.92115788299989</v>
      </c>
      <c r="S27" s="166">
        <v>46.210410089999996</v>
      </c>
      <c r="T27" s="166">
        <v>54.268229959999999</v>
      </c>
      <c r="U27" s="166">
        <v>66.270328269999993</v>
      </c>
      <c r="V27" s="166">
        <v>55.966316249999991</v>
      </c>
      <c r="W27" s="166">
        <v>222.87257260999982</v>
      </c>
      <c r="X27" s="166">
        <v>80.007597219999994</v>
      </c>
      <c r="Y27" s="166">
        <v>65.901980469999998</v>
      </c>
      <c r="Z27" s="166">
        <v>83.307127390000005</v>
      </c>
      <c r="AA27" s="166">
        <v>87.100247179999997</v>
      </c>
      <c r="AB27" s="166">
        <f t="shared" si="14"/>
        <v>316.31695225999999</v>
      </c>
      <c r="AC27" s="166">
        <v>76.06167044999998</v>
      </c>
      <c r="AD27" s="166">
        <v>88.868571687481534</v>
      </c>
      <c r="AE27" s="166">
        <v>109.85801269</v>
      </c>
      <c r="AF27" s="161"/>
      <c r="AG27" s="161"/>
      <c r="AH27" s="161"/>
      <c r="AI27" s="161"/>
      <c r="AJ27" s="161"/>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row>
    <row r="28" spans="1:59" ht="15.75" customHeight="1" x14ac:dyDescent="0.2">
      <c r="A28" s="45"/>
      <c r="B28" s="45"/>
      <c r="C28" s="177" t="s">
        <v>182</v>
      </c>
      <c r="D28" s="181">
        <v>439.96859999999998</v>
      </c>
      <c r="E28" s="181">
        <v>439.96859999999998</v>
      </c>
      <c r="F28" s="181">
        <v>439.96859999999998</v>
      </c>
      <c r="G28" s="181">
        <v>439.96859999999998</v>
      </c>
      <c r="H28" s="181">
        <v>439.96859999999998</v>
      </c>
      <c r="I28" s="181">
        <v>439.96859999999998</v>
      </c>
      <c r="J28" s="181">
        <v>439.96859999999998</v>
      </c>
      <c r="K28" s="181">
        <v>439.96859999999998</v>
      </c>
      <c r="L28" s="181">
        <v>439.96859999999998</v>
      </c>
      <c r="M28" s="181">
        <v>439.96859999999998</v>
      </c>
      <c r="N28" s="181">
        <v>439.96859999999998</v>
      </c>
      <c r="O28" s="181">
        <v>439.96859999999998</v>
      </c>
      <c r="P28" s="181">
        <v>439.96859999999998</v>
      </c>
      <c r="Q28" s="181">
        <v>439.96859999999998</v>
      </c>
      <c r="R28" s="181">
        <v>439.96859999999998</v>
      </c>
      <c r="S28" s="181">
        <v>439.96859999999998</v>
      </c>
      <c r="T28" s="181">
        <v>439.96859999999998</v>
      </c>
      <c r="U28" s="181">
        <v>439.96859999999998</v>
      </c>
      <c r="V28" s="181">
        <v>439.96859999999998</v>
      </c>
      <c r="W28" s="181">
        <v>439.96859999999998</v>
      </c>
      <c r="X28" s="181">
        <v>439.96859999999998</v>
      </c>
      <c r="Y28" s="181">
        <v>439.96859999999998</v>
      </c>
      <c r="Z28" s="181">
        <v>439.96859999999998</v>
      </c>
      <c r="AA28" s="181">
        <v>439.96859999999998</v>
      </c>
      <c r="AB28" s="181">
        <v>439.96859999999998</v>
      </c>
      <c r="AC28" s="181">
        <v>439.96859999999998</v>
      </c>
      <c r="AD28" s="181">
        <v>439.96859999999998</v>
      </c>
      <c r="AE28" s="181">
        <v>439.96859999999998</v>
      </c>
      <c r="AF28" s="182"/>
      <c r="AG28" s="182"/>
      <c r="AH28" s="182"/>
      <c r="AI28" s="182"/>
      <c r="AJ28" s="182"/>
      <c r="AK28" s="84"/>
      <c r="AL28" s="84"/>
      <c r="AM28" s="84"/>
      <c r="AN28" s="84"/>
      <c r="AO28" s="84"/>
      <c r="AP28" s="84"/>
      <c r="AQ28" s="84"/>
      <c r="AR28" s="84"/>
      <c r="AS28" s="84"/>
      <c r="AT28" s="84"/>
      <c r="AU28" s="84"/>
      <c r="AV28" s="84"/>
      <c r="AW28" s="84"/>
      <c r="AX28" s="84"/>
      <c r="AY28" s="84"/>
      <c r="AZ28" s="84"/>
      <c r="BA28" s="84"/>
      <c r="BB28" s="84"/>
      <c r="BC28" s="84"/>
      <c r="BD28" s="84"/>
      <c r="BE28" s="84"/>
      <c r="BF28" s="84"/>
      <c r="BG28" s="84"/>
    </row>
    <row r="29" spans="1:59" ht="15.75" customHeight="1" x14ac:dyDescent="0.2">
      <c r="A29" s="162"/>
      <c r="B29" s="162"/>
      <c r="C29" s="177" t="s">
        <v>183</v>
      </c>
      <c r="D29" s="183">
        <f t="shared" ref="D29:AE29" si="16">D25/D28</f>
        <v>0.11155865536767839</v>
      </c>
      <c r="E29" s="183">
        <f t="shared" si="16"/>
        <v>-5.5225695765586235E-3</v>
      </c>
      <c r="F29" s="183">
        <f t="shared" si="16"/>
        <v>0.13644695631688553</v>
      </c>
      <c r="G29" s="183">
        <f t="shared" si="16"/>
        <v>0.12997493171103633</v>
      </c>
      <c r="H29" s="183">
        <f t="shared" si="16"/>
        <v>0.37245797381904178</v>
      </c>
      <c r="I29" s="183">
        <f t="shared" si="16"/>
        <v>5.2380568772407821E-2</v>
      </c>
      <c r="J29" s="183">
        <f t="shared" si="16"/>
        <v>5.4231462745295979E-2</v>
      </c>
      <c r="K29" s="183">
        <f t="shared" si="16"/>
        <v>6.2390011650831509E-2</v>
      </c>
      <c r="L29" s="183">
        <f t="shared" si="16"/>
        <v>0.1083492327179713</v>
      </c>
      <c r="M29" s="183">
        <f t="shared" si="16"/>
        <v>0.27735127588650654</v>
      </c>
      <c r="N29" s="183">
        <f t="shared" si="16"/>
        <v>-5.0708717700733819E-2</v>
      </c>
      <c r="O29" s="183">
        <f t="shared" si="16"/>
        <v>8.2813628364899444E-2</v>
      </c>
      <c r="P29" s="183">
        <f t="shared" si="16"/>
        <v>0.12405311565885792</v>
      </c>
      <c r="Q29" s="183">
        <f t="shared" si="16"/>
        <v>0.11969237849117033</v>
      </c>
      <c r="R29" s="183">
        <f t="shared" si="16"/>
        <v>0.26949133019947308</v>
      </c>
      <c r="S29" s="183">
        <f t="shared" si="16"/>
        <v>6.0688805746591919E-2</v>
      </c>
      <c r="T29" s="183">
        <f t="shared" si="16"/>
        <v>0.27402263172871882</v>
      </c>
      <c r="U29" s="183">
        <f t="shared" si="16"/>
        <v>7.8723713942313159E-2</v>
      </c>
      <c r="V29" s="183">
        <f t="shared" si="16"/>
        <v>9.5131665759783768E-2</v>
      </c>
      <c r="W29" s="183">
        <f t="shared" si="16"/>
        <v>0.50892431550797002</v>
      </c>
      <c r="X29" s="183">
        <f t="shared" si="16"/>
        <v>0.32612623423580678</v>
      </c>
      <c r="Y29" s="183">
        <f t="shared" si="16"/>
        <v>3.7019375155408818E-2</v>
      </c>
      <c r="Z29" s="183">
        <f t="shared" si="16"/>
        <v>0.15124385960725381</v>
      </c>
      <c r="AA29" s="183">
        <f t="shared" si="16"/>
        <v>0.25591103571936724</v>
      </c>
      <c r="AB29" s="183">
        <f t="shared" si="16"/>
        <v>0.77030050471783651</v>
      </c>
      <c r="AC29" s="183">
        <f t="shared" si="16"/>
        <v>0.19384988299164982</v>
      </c>
      <c r="AD29" s="183">
        <f t="shared" si="16"/>
        <v>0.25292299305415811</v>
      </c>
      <c r="AE29" s="183">
        <f t="shared" si="16"/>
        <v>0.21556047224733765</v>
      </c>
      <c r="AF29" s="161"/>
      <c r="AG29" s="161"/>
      <c r="AH29" s="161"/>
      <c r="AI29" s="161"/>
      <c r="AJ29" s="161"/>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row>
    <row r="30" spans="1:59" ht="15.75" customHeight="1" x14ac:dyDescent="0.2">
      <c r="A30" s="162"/>
      <c r="B30" s="162"/>
      <c r="C30" s="177" t="s">
        <v>184</v>
      </c>
      <c r="D30" s="140">
        <f t="shared" ref="D30:AE30" si="17">-D24/D23</f>
        <v>0.35146920871903875</v>
      </c>
      <c r="E30" s="140">
        <f t="shared" si="17"/>
        <v>1.2708686108647727</v>
      </c>
      <c r="F30" s="140">
        <f t="shared" si="17"/>
        <v>0.39258390251144065</v>
      </c>
      <c r="G30" s="140">
        <f t="shared" si="17"/>
        <v>0.28949533713426273</v>
      </c>
      <c r="H30" s="140">
        <f t="shared" si="17"/>
        <v>0.3792100268913583</v>
      </c>
      <c r="I30" s="140">
        <f t="shared" si="17"/>
        <v>0.54764076690324581</v>
      </c>
      <c r="J30" s="140">
        <f t="shared" si="17"/>
        <v>0.48643847478796914</v>
      </c>
      <c r="K30" s="140">
        <f t="shared" si="17"/>
        <v>0.52794818317146985</v>
      </c>
      <c r="L30" s="140">
        <f t="shared" si="17"/>
        <v>8.2739628028989723E-2</v>
      </c>
      <c r="M30" s="140">
        <f t="shared" si="17"/>
        <v>0.41199686181402473</v>
      </c>
      <c r="N30" s="140">
        <f t="shared" si="17"/>
        <v>1.9408461184618575</v>
      </c>
      <c r="O30" s="140">
        <f t="shared" si="17"/>
        <v>0.47587620841415834</v>
      </c>
      <c r="P30" s="140">
        <f t="shared" si="17"/>
        <v>0.39350940071963258</v>
      </c>
      <c r="Q30" s="140">
        <f t="shared" si="17"/>
        <v>0.26408537846220093</v>
      </c>
      <c r="R30" s="140">
        <f t="shared" si="17"/>
        <v>0.52980610790640503</v>
      </c>
      <c r="S30" s="140">
        <f t="shared" si="17"/>
        <v>0.66244412692353893</v>
      </c>
      <c r="T30" s="140">
        <f t="shared" si="17"/>
        <v>0.17765684312156874</v>
      </c>
      <c r="U30" s="140">
        <f t="shared" si="17"/>
        <v>0.60039244041078244</v>
      </c>
      <c r="V30" s="140">
        <f t="shared" si="17"/>
        <v>0.31948523574310805</v>
      </c>
      <c r="W30" s="140">
        <f t="shared" si="17"/>
        <v>0.40116528502213433</v>
      </c>
      <c r="X30" s="140">
        <f t="shared" si="17"/>
        <v>-3.4626855243962716E-2</v>
      </c>
      <c r="Y30" s="140">
        <f t="shared" si="17"/>
        <v>0.78020768621353587</v>
      </c>
      <c r="Z30" s="140">
        <f t="shared" si="17"/>
        <v>0.4788671333043395</v>
      </c>
      <c r="AA30" s="140">
        <f t="shared" si="17"/>
        <v>0.16578684912962163</v>
      </c>
      <c r="AB30" s="140">
        <f t="shared" si="17"/>
        <v>0.28717527044693109</v>
      </c>
      <c r="AC30" s="140">
        <f t="shared" si="17"/>
        <v>0.26618532641084897</v>
      </c>
      <c r="AD30" s="140">
        <f t="shared" si="17"/>
        <v>0.16799690920758095</v>
      </c>
      <c r="AE30" s="140">
        <f t="shared" si="17"/>
        <v>0.35345269477753449</v>
      </c>
      <c r="AF30" s="161"/>
      <c r="AG30" s="161"/>
      <c r="AH30" s="161"/>
      <c r="AI30" s="161"/>
      <c r="AJ30" s="161"/>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row>
    <row r="31" spans="1:59" ht="15.75" customHeight="1" x14ac:dyDescent="0.2">
      <c r="A31" s="162"/>
      <c r="B31" s="162"/>
      <c r="C31" s="184" t="s">
        <v>185</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61"/>
      <c r="AG31" s="161"/>
      <c r="AH31" s="161"/>
      <c r="AI31" s="161"/>
      <c r="AJ31" s="161"/>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row>
    <row r="32" spans="1:59" ht="15.75" customHeight="1" x14ac:dyDescent="0.2">
      <c r="A32" s="147"/>
      <c r="B32" s="147"/>
      <c r="C32" s="186"/>
      <c r="D32" s="187"/>
      <c r="E32" s="187"/>
      <c r="F32" s="187"/>
      <c r="G32" s="187"/>
      <c r="H32" s="187"/>
      <c r="I32" s="187"/>
      <c r="J32" s="187"/>
      <c r="K32" s="187"/>
      <c r="L32" s="187"/>
      <c r="M32" s="187"/>
      <c r="N32" s="187"/>
      <c r="O32" s="187"/>
      <c r="P32" s="187"/>
      <c r="Q32" s="187"/>
      <c r="R32" s="188"/>
      <c r="S32" s="187"/>
      <c r="T32" s="187"/>
      <c r="U32" s="187"/>
      <c r="V32" s="187"/>
      <c r="W32" s="187"/>
      <c r="X32" s="187"/>
      <c r="Y32" s="187"/>
      <c r="Z32" s="187"/>
      <c r="AA32" s="187"/>
      <c r="AB32" s="187"/>
      <c r="AC32" s="187"/>
      <c r="AD32" s="187"/>
      <c r="AE32" s="187"/>
      <c r="AF32" s="161"/>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row>
    <row r="33" spans="1:59" ht="15.75" customHeight="1" x14ac:dyDescent="0.2">
      <c r="A33" s="152"/>
      <c r="B33" s="153" t="s">
        <v>186</v>
      </c>
      <c r="C33" s="154"/>
      <c r="D33" s="155"/>
      <c r="E33" s="155"/>
      <c r="F33" s="155"/>
      <c r="G33" s="155"/>
      <c r="H33" s="155"/>
      <c r="I33" s="155"/>
      <c r="J33" s="155"/>
      <c r="K33" s="155"/>
      <c r="L33" s="155"/>
      <c r="M33" s="155"/>
      <c r="N33" s="155"/>
      <c r="O33" s="155"/>
      <c r="P33" s="155"/>
      <c r="Q33" s="155"/>
      <c r="R33" s="156"/>
      <c r="S33" s="155"/>
      <c r="T33" s="155"/>
      <c r="U33" s="155"/>
      <c r="V33" s="155"/>
      <c r="W33" s="155"/>
      <c r="X33" s="155"/>
      <c r="Y33" s="155"/>
      <c r="Z33" s="155"/>
      <c r="AA33" s="155"/>
      <c r="AB33" s="155"/>
      <c r="AC33" s="155"/>
      <c r="AD33" s="155"/>
      <c r="AE33" s="155"/>
      <c r="AF33" s="161"/>
      <c r="AG33" s="157"/>
      <c r="AH33" s="157"/>
      <c r="AI33" s="157"/>
      <c r="AJ33" s="15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row>
    <row r="34" spans="1:59" ht="15.75" customHeight="1" x14ac:dyDescent="0.2">
      <c r="A34" s="152"/>
      <c r="B34" s="153" t="s">
        <v>187</v>
      </c>
      <c r="C34" s="154"/>
      <c r="D34" s="158" t="s">
        <v>98</v>
      </c>
      <c r="E34" s="158" t="s">
        <v>99</v>
      </c>
      <c r="F34" s="158" t="s">
        <v>100</v>
      </c>
      <c r="G34" s="158" t="s">
        <v>101</v>
      </c>
      <c r="H34" s="159">
        <v>2018</v>
      </c>
      <c r="I34" s="158" t="s">
        <v>102</v>
      </c>
      <c r="J34" s="158" t="s">
        <v>103</v>
      </c>
      <c r="K34" s="158" t="s">
        <v>104</v>
      </c>
      <c r="L34" s="158" t="s">
        <v>105</v>
      </c>
      <c r="M34" s="159">
        <v>2019</v>
      </c>
      <c r="N34" s="158" t="s">
        <v>158</v>
      </c>
      <c r="O34" s="158" t="s">
        <v>107</v>
      </c>
      <c r="P34" s="158" t="s">
        <v>108</v>
      </c>
      <c r="Q34" s="158" t="s">
        <v>109</v>
      </c>
      <c r="R34" s="159">
        <v>2020</v>
      </c>
      <c r="S34" s="158" t="s">
        <v>110</v>
      </c>
      <c r="T34" s="158" t="s">
        <v>111</v>
      </c>
      <c r="U34" s="158" t="s">
        <v>112</v>
      </c>
      <c r="V34" s="158" t="s">
        <v>113</v>
      </c>
      <c r="W34" s="159">
        <v>2021</v>
      </c>
      <c r="X34" s="158" t="s">
        <v>114</v>
      </c>
      <c r="Y34" s="158" t="s">
        <v>115</v>
      </c>
      <c r="Z34" s="158" t="str">
        <f>$Z$4</f>
        <v>3Q22</v>
      </c>
      <c r="AA34" s="158" t="str">
        <f>$AA$4</f>
        <v>4Q22</v>
      </c>
      <c r="AB34" s="160">
        <v>2022</v>
      </c>
      <c r="AC34" s="158" t="str">
        <f>$AC$4</f>
        <v>1Q23</v>
      </c>
      <c r="AD34" s="158" t="str">
        <f t="shared" ref="AD34:AE34" si="18">AD$4</f>
        <v>2Q23</v>
      </c>
      <c r="AE34" s="158" t="str">
        <f t="shared" si="18"/>
        <v>3Q23</v>
      </c>
      <c r="AF34" s="161"/>
      <c r="AG34" s="161"/>
      <c r="AH34" s="161"/>
      <c r="AI34" s="161"/>
      <c r="AJ34" s="161"/>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row>
    <row r="35" spans="1:59" ht="15.75" customHeight="1" x14ac:dyDescent="0.2">
      <c r="A35" s="189"/>
      <c r="B35" s="189"/>
      <c r="C35" s="190" t="s">
        <v>188</v>
      </c>
      <c r="D35" s="187" t="s">
        <v>146</v>
      </c>
      <c r="E35" s="187" t="s">
        <v>146</v>
      </c>
      <c r="F35" s="187" t="s">
        <v>146</v>
      </c>
      <c r="G35" s="187" t="s">
        <v>146</v>
      </c>
      <c r="H35" s="187" t="s">
        <v>146</v>
      </c>
      <c r="I35" s="191">
        <v>-2.178385067E-2</v>
      </c>
      <c r="J35" s="191">
        <v>-6.996439317E-2</v>
      </c>
      <c r="K35" s="191">
        <v>-6.643159639E-2</v>
      </c>
      <c r="L35" s="191">
        <v>-1.8247171829999999E-2</v>
      </c>
      <c r="M35" s="191">
        <v>-4.4855627289999998E-2</v>
      </c>
      <c r="N35" s="191">
        <v>7.2703752859999998E-2</v>
      </c>
      <c r="O35" s="191">
        <v>0.15602274099999999</v>
      </c>
      <c r="P35" s="191">
        <v>0.125196276</v>
      </c>
      <c r="Q35" s="191">
        <v>0.17516885660000001</v>
      </c>
      <c r="R35" s="191">
        <v>0.13317528410000001</v>
      </c>
      <c r="S35" s="191">
        <v>0.24778310179999999</v>
      </c>
      <c r="T35" s="191">
        <v>0.14008134850000001</v>
      </c>
      <c r="U35" s="191">
        <v>0.14727976810000001</v>
      </c>
      <c r="V35" s="191">
        <v>0.1843604509</v>
      </c>
      <c r="W35" s="191">
        <v>0.177964072</v>
      </c>
      <c r="X35" s="191">
        <v>4.3645768629999998E-2</v>
      </c>
      <c r="Y35" s="191">
        <v>5.798557352E-2</v>
      </c>
      <c r="Z35" s="191">
        <v>0.1381640794</v>
      </c>
      <c r="AA35" s="191">
        <v>1.094225349E-2</v>
      </c>
      <c r="AB35" s="191">
        <v>6.226971999E-2</v>
      </c>
      <c r="AC35" s="191">
        <v>7.7512574099999995E-2</v>
      </c>
      <c r="AD35" s="191">
        <v>0.1000131657</v>
      </c>
      <c r="AE35" s="191">
        <v>-7.9584128920000003E-4</v>
      </c>
      <c r="AG35" s="192"/>
      <c r="AH35" s="192"/>
      <c r="AI35" s="192"/>
      <c r="AJ35" s="192"/>
      <c r="AK35" s="193"/>
      <c r="AL35" s="193"/>
      <c r="AM35" s="193"/>
      <c r="AN35" s="147"/>
      <c r="AO35" s="193"/>
      <c r="AP35" s="193"/>
      <c r="AQ35" s="193"/>
      <c r="AR35" s="193"/>
      <c r="AS35" s="193"/>
      <c r="AT35" s="193"/>
      <c r="AU35" s="193"/>
      <c r="AV35" s="193"/>
      <c r="AW35" s="193"/>
      <c r="AX35" s="193"/>
      <c r="AY35" s="193"/>
      <c r="AZ35" s="193"/>
      <c r="BA35" s="193"/>
      <c r="BB35" s="193"/>
      <c r="BC35" s="193"/>
      <c r="BD35" s="193"/>
      <c r="BE35" s="193"/>
      <c r="BF35" s="193"/>
      <c r="BG35" s="193"/>
    </row>
    <row r="36" spans="1:59" ht="15.75" customHeight="1" x14ac:dyDescent="0.2">
      <c r="A36" s="189"/>
      <c r="B36" s="189"/>
      <c r="C36" s="190" t="s">
        <v>189</v>
      </c>
      <c r="D36" s="187" t="s">
        <v>146</v>
      </c>
      <c r="E36" s="187" t="s">
        <v>146</v>
      </c>
      <c r="F36" s="187" t="s">
        <v>146</v>
      </c>
      <c r="G36" s="187" t="s">
        <v>146</v>
      </c>
      <c r="H36" s="187" t="s">
        <v>146</v>
      </c>
      <c r="I36" s="191">
        <v>2.612339617E-2</v>
      </c>
      <c r="J36" s="191">
        <v>1.7700345110000001E-2</v>
      </c>
      <c r="K36" s="191">
        <v>4.0108494320000004E-3</v>
      </c>
      <c r="L36" s="191">
        <v>-0.16090046089999999</v>
      </c>
      <c r="M36" s="191">
        <v>-2.530610485E-2</v>
      </c>
      <c r="N36" s="191">
        <v>3.8787904589999998E-2</v>
      </c>
      <c r="O36" s="191">
        <v>0.45897281150000002</v>
      </c>
      <c r="P36" s="191">
        <v>0.12800819029999999</v>
      </c>
      <c r="Q36" s="191">
        <v>0.58314609780000004</v>
      </c>
      <c r="R36" s="191">
        <v>0.27374798039999998</v>
      </c>
      <c r="S36" s="191">
        <v>0.62381123890000001</v>
      </c>
      <c r="T36" s="191">
        <v>0.14841072799999999</v>
      </c>
      <c r="U36" s="191">
        <v>8.1754163239999997E-2</v>
      </c>
      <c r="V36" s="191">
        <v>9.8247221750000002E-2</v>
      </c>
      <c r="W36" s="191">
        <v>0.211946675</v>
      </c>
      <c r="X36" s="191">
        <v>4.1533628269999998E-2</v>
      </c>
      <c r="Y36" s="191">
        <v>-8.7924856070000001E-2</v>
      </c>
      <c r="Z36" s="191">
        <v>0.13205027250000001</v>
      </c>
      <c r="AA36" s="191">
        <v>0.32207683329999998</v>
      </c>
      <c r="AB36" s="191">
        <v>9.3320771689999998E-2</v>
      </c>
      <c r="AC36" s="191">
        <v>2.1832623010000001E-3</v>
      </c>
      <c r="AD36" s="191">
        <v>0.27831753120000002</v>
      </c>
      <c r="AE36" s="191">
        <v>8.212171217E-2</v>
      </c>
      <c r="AF36" s="161"/>
      <c r="AG36" s="192"/>
      <c r="AH36" s="192"/>
      <c r="AI36" s="192"/>
      <c r="AJ36" s="192"/>
      <c r="AK36" s="193"/>
      <c r="AL36" s="193"/>
      <c r="AM36" s="193"/>
      <c r="AN36" s="147"/>
      <c r="AO36" s="193"/>
      <c r="AP36" s="193"/>
      <c r="AQ36" s="193"/>
      <c r="AR36" s="193"/>
      <c r="AS36" s="193"/>
      <c r="AT36" s="193"/>
      <c r="AU36" s="193"/>
      <c r="AV36" s="193"/>
      <c r="AW36" s="193"/>
      <c r="AX36" s="193"/>
      <c r="AY36" s="193"/>
      <c r="AZ36" s="193"/>
      <c r="BA36" s="193"/>
      <c r="BB36" s="193"/>
      <c r="BC36" s="193"/>
      <c r="BD36" s="193"/>
      <c r="BE36" s="193"/>
      <c r="BF36" s="193"/>
      <c r="BG36" s="193"/>
    </row>
    <row r="37" spans="1:59" ht="15.75" customHeight="1" x14ac:dyDescent="0.2">
      <c r="A37" s="189"/>
      <c r="B37" s="189"/>
      <c r="C37" s="190" t="s">
        <v>190</v>
      </c>
      <c r="D37" s="187" t="s">
        <v>146</v>
      </c>
      <c r="E37" s="187" t="s">
        <v>146</v>
      </c>
      <c r="F37" s="187" t="s">
        <v>146</v>
      </c>
      <c r="G37" s="187" t="s">
        <v>146</v>
      </c>
      <c r="H37" s="187" t="s">
        <v>146</v>
      </c>
      <c r="I37" s="140">
        <f t="shared" ref="I37:AE37" si="19">I16/D16-1</f>
        <v>-0.14864796001423897</v>
      </c>
      <c r="J37" s="140">
        <f t="shared" si="19"/>
        <v>-0.1347963232926217</v>
      </c>
      <c r="K37" s="140">
        <f t="shared" si="19"/>
        <v>-0.10079067592451996</v>
      </c>
      <c r="L37" s="140">
        <f t="shared" si="19"/>
        <v>-0.45126075331465687</v>
      </c>
      <c r="M37" s="140">
        <f t="shared" si="19"/>
        <v>-0.19248571379370738</v>
      </c>
      <c r="N37" s="140">
        <f t="shared" si="19"/>
        <v>-5.0010426594481849E-2</v>
      </c>
      <c r="O37" s="140">
        <f t="shared" si="19"/>
        <v>0.65323059285029283</v>
      </c>
      <c r="P37" s="140">
        <f t="shared" si="19"/>
        <v>7.757572562371573E-2</v>
      </c>
      <c r="Q37" s="140">
        <f t="shared" si="19"/>
        <v>1.1642124490846641</v>
      </c>
      <c r="R37" s="194">
        <f t="shared" si="19"/>
        <v>0.33181172265605485</v>
      </c>
      <c r="S37" s="194">
        <f t="shared" si="19"/>
        <v>1.0859203488343434</v>
      </c>
      <c r="T37" s="194">
        <f t="shared" si="19"/>
        <v>0.23053826088761986</v>
      </c>
      <c r="U37" s="194">
        <f t="shared" si="19"/>
        <v>0.14426882333260194</v>
      </c>
      <c r="V37" s="194">
        <f t="shared" si="19"/>
        <v>0.16931001364384968</v>
      </c>
      <c r="W37" s="194">
        <f t="shared" si="19"/>
        <v>0.34027209787164558</v>
      </c>
      <c r="X37" s="194">
        <f t="shared" si="19"/>
        <v>8.8851068939375555E-2</v>
      </c>
      <c r="Y37" s="194">
        <f t="shared" si="19"/>
        <v>-0.11033604196488389</v>
      </c>
      <c r="Z37" s="194">
        <f t="shared" si="19"/>
        <v>0.17919146582104428</v>
      </c>
      <c r="AA37" s="194">
        <f t="shared" si="19"/>
        <v>0.52729970060018494</v>
      </c>
      <c r="AB37" s="194">
        <f t="shared" si="19"/>
        <v>0.14921597519175078</v>
      </c>
      <c r="AC37" s="194">
        <f t="shared" si="19"/>
        <v>-5.7848352839469319E-2</v>
      </c>
      <c r="AD37" s="194">
        <f t="shared" si="19"/>
        <v>0.37297382431932236</v>
      </c>
      <c r="AE37" s="194">
        <f t="shared" si="19"/>
        <v>9.7568597151567626E-2</v>
      </c>
      <c r="AF37" s="161"/>
      <c r="AG37" s="192"/>
      <c r="AH37" s="192"/>
      <c r="AI37" s="192"/>
      <c r="AJ37" s="192"/>
      <c r="AK37" s="193"/>
      <c r="AL37" s="193"/>
      <c r="AM37" s="193"/>
      <c r="AN37" s="147"/>
      <c r="AO37" s="193"/>
      <c r="AP37" s="193"/>
      <c r="AQ37" s="193"/>
      <c r="AR37" s="193"/>
      <c r="AS37" s="193"/>
      <c r="AT37" s="193"/>
      <c r="AU37" s="193"/>
      <c r="AV37" s="193"/>
      <c r="AW37" s="193"/>
      <c r="AX37" s="193"/>
      <c r="AY37" s="193"/>
      <c r="AZ37" s="193"/>
      <c r="BA37" s="193"/>
      <c r="BB37" s="193"/>
      <c r="BC37" s="193"/>
      <c r="BD37" s="193"/>
      <c r="BE37" s="193"/>
      <c r="BF37" s="193"/>
      <c r="BG37" s="193"/>
    </row>
    <row r="38" spans="1:59" ht="15.75" customHeight="1" x14ac:dyDescent="0.2">
      <c r="A38" s="189"/>
      <c r="B38" s="189"/>
      <c r="C38" s="190" t="s">
        <v>177</v>
      </c>
      <c r="D38" s="187" t="s">
        <v>146</v>
      </c>
      <c r="E38" s="187" t="s">
        <v>146</v>
      </c>
      <c r="F38" s="187" t="s">
        <v>146</v>
      </c>
      <c r="G38" s="187" t="s">
        <v>146</v>
      </c>
      <c r="H38" s="187" t="s">
        <v>146</v>
      </c>
      <c r="I38" s="191">
        <v>-0.32684654320000001</v>
      </c>
      <c r="J38" s="191">
        <v>4.1793626770000003</v>
      </c>
      <c r="K38" s="191">
        <v>-0.4116336343</v>
      </c>
      <c r="L38" s="191">
        <v>-0.35428549329999998</v>
      </c>
      <c r="M38" s="191">
        <v>-0.21382733139999999</v>
      </c>
      <c r="N38" s="191">
        <v>-0.53454544989999997</v>
      </c>
      <c r="O38" s="191">
        <v>0.49626700940000001</v>
      </c>
      <c r="P38" s="191">
        <v>0.5475981768</v>
      </c>
      <c r="Q38" s="191">
        <v>0.37691095889999998</v>
      </c>
      <c r="R38" s="191">
        <v>0.21511474429999999</v>
      </c>
      <c r="S38" s="191">
        <v>2.3357914549999998</v>
      </c>
      <c r="T38" s="191">
        <v>1.1089457650000001</v>
      </c>
      <c r="U38" s="191">
        <v>-3.6862535600000003E-2</v>
      </c>
      <c r="V38" s="191">
        <v>-0.14049484870000001</v>
      </c>
      <c r="W38" s="191">
        <v>0.48278579729999999</v>
      </c>
      <c r="X38" s="191">
        <v>0.75323069669999998</v>
      </c>
      <c r="Y38" s="191">
        <v>-0.49454414340000002</v>
      </c>
      <c r="Z38" s="191">
        <v>0.47318540790000002</v>
      </c>
      <c r="AA38" s="191">
        <v>1.1944436490000001</v>
      </c>
      <c r="AB38" s="191">
        <v>0.27154341199999998</v>
      </c>
      <c r="AC38" s="191">
        <v>-0.161936044</v>
      </c>
      <c r="AD38" s="191">
        <v>0.80487358840000001</v>
      </c>
      <c r="AE38" s="191">
        <v>0.14878705419999999</v>
      </c>
      <c r="AF38" s="161"/>
      <c r="AG38" s="192"/>
      <c r="AH38" s="192"/>
      <c r="AI38" s="192"/>
      <c r="AJ38" s="192"/>
      <c r="AK38" s="193"/>
      <c r="AL38" s="193"/>
      <c r="AM38" s="193"/>
      <c r="AN38" s="147"/>
      <c r="AO38" s="193"/>
      <c r="AP38" s="193"/>
      <c r="AQ38" s="193"/>
      <c r="AR38" s="193"/>
      <c r="AS38" s="193"/>
      <c r="AT38" s="193"/>
      <c r="AU38" s="193"/>
      <c r="AV38" s="193"/>
      <c r="AW38" s="193"/>
      <c r="AX38" s="193"/>
      <c r="AY38" s="193"/>
      <c r="AZ38" s="193"/>
      <c r="BA38" s="193"/>
      <c r="BB38" s="193"/>
      <c r="BC38" s="193"/>
      <c r="BD38" s="193"/>
      <c r="BE38" s="193"/>
      <c r="BF38" s="193"/>
      <c r="BG38" s="193"/>
    </row>
    <row r="39" spans="1:59" ht="15.75" customHeight="1" x14ac:dyDescent="0.2">
      <c r="A39" s="189"/>
      <c r="B39" s="189"/>
      <c r="C39" s="190" t="s">
        <v>179</v>
      </c>
      <c r="D39" s="187" t="s">
        <v>146</v>
      </c>
      <c r="E39" s="187" t="s">
        <v>146</v>
      </c>
      <c r="F39" s="187" t="s">
        <v>146</v>
      </c>
      <c r="G39" s="187" t="s">
        <v>146</v>
      </c>
      <c r="H39" s="187" t="s">
        <v>146</v>
      </c>
      <c r="I39" s="191">
        <v>-0.53046611580000003</v>
      </c>
      <c r="J39" s="191" t="s">
        <v>347</v>
      </c>
      <c r="K39" s="191">
        <v>-0.54275263200000001</v>
      </c>
      <c r="L39" s="191">
        <v>-0.16638361500000001</v>
      </c>
      <c r="M39" s="191">
        <v>-0.25534880339999999</v>
      </c>
      <c r="N39" s="191" t="s">
        <v>347</v>
      </c>
      <c r="O39" s="191">
        <v>0.52704028570000006</v>
      </c>
      <c r="P39" s="191">
        <v>0.9883489741</v>
      </c>
      <c r="Q39" s="191">
        <v>0.1046905962</v>
      </c>
      <c r="R39" s="191">
        <v>-2.8339316850000001E-2</v>
      </c>
      <c r="S39" s="191" t="s">
        <v>347</v>
      </c>
      <c r="T39" s="191">
        <v>2.3089074479999998</v>
      </c>
      <c r="U39" s="191">
        <v>-0.36540317010000001</v>
      </c>
      <c r="V39" s="191">
        <v>-0.2051986354</v>
      </c>
      <c r="W39" s="191">
        <v>0.88846266460000001</v>
      </c>
      <c r="X39" s="191">
        <v>4.3737461169999996</v>
      </c>
      <c r="Y39" s="191">
        <v>-0.86490394999999998</v>
      </c>
      <c r="Z39" s="191">
        <v>0.92119822650000005</v>
      </c>
      <c r="AA39" s="191">
        <v>1.690072056</v>
      </c>
      <c r="AB39" s="191">
        <v>0.51358557890000001</v>
      </c>
      <c r="AC39" s="191">
        <v>-0.40559862209999997</v>
      </c>
      <c r="AD39" s="191">
        <v>5.8321788789999998</v>
      </c>
      <c r="AE39" s="191">
        <v>0.42525106680000002</v>
      </c>
      <c r="AF39" s="161"/>
      <c r="AG39" s="192"/>
      <c r="AH39" s="192"/>
      <c r="AI39" s="192"/>
      <c r="AJ39" s="192"/>
      <c r="AK39" s="193"/>
      <c r="AL39" s="193"/>
      <c r="AM39" s="193"/>
      <c r="AN39" s="147"/>
      <c r="AO39" s="193"/>
      <c r="AP39" s="193"/>
      <c r="AQ39" s="193"/>
      <c r="AR39" s="193"/>
      <c r="AS39" s="193"/>
      <c r="AT39" s="193"/>
      <c r="AU39" s="193"/>
      <c r="AV39" s="193"/>
      <c r="AW39" s="193"/>
      <c r="AX39" s="193"/>
      <c r="AY39" s="193"/>
      <c r="AZ39" s="193"/>
      <c r="BA39" s="193"/>
      <c r="BB39" s="193"/>
      <c r="BC39" s="193"/>
      <c r="BD39" s="193"/>
      <c r="BE39" s="193"/>
      <c r="BF39" s="193"/>
      <c r="BG39" s="193"/>
    </row>
    <row r="40" spans="1:59" ht="15.75" customHeight="1" x14ac:dyDescent="0.2">
      <c r="A40" s="195"/>
      <c r="B40" s="195"/>
      <c r="C40" s="196" t="s">
        <v>191</v>
      </c>
      <c r="D40" s="140">
        <f t="shared" ref="D40:AE40" si="20">D16/D5</f>
        <v>0.22123991780899774</v>
      </c>
      <c r="E40" s="140">
        <f t="shared" si="20"/>
        <v>0.18739682576486361</v>
      </c>
      <c r="F40" s="140">
        <f t="shared" si="20"/>
        <v>0.27880201585364273</v>
      </c>
      <c r="G40" s="140">
        <f t="shared" si="20"/>
        <v>0.1809073379324021</v>
      </c>
      <c r="H40" s="140">
        <f t="shared" si="20"/>
        <v>0.21816774906968178</v>
      </c>
      <c r="I40" s="140">
        <f t="shared" si="20"/>
        <v>0.19254748092512405</v>
      </c>
      <c r="J40" s="140">
        <f t="shared" si="20"/>
        <v>0.17433356472062778</v>
      </c>
      <c r="K40" s="140">
        <f t="shared" si="20"/>
        <v>0.26854097809902217</v>
      </c>
      <c r="L40" s="140">
        <f t="shared" si="20"/>
        <v>0.10111603805761302</v>
      </c>
      <c r="M40" s="140">
        <f t="shared" si="20"/>
        <v>0.18444706287057816</v>
      </c>
      <c r="N40" s="140">
        <f t="shared" si="20"/>
        <v>0.17052061091155796</v>
      </c>
      <c r="O40" s="140">
        <f t="shared" si="20"/>
        <v>0.24931480352966312</v>
      </c>
      <c r="P40" s="140">
        <f t="shared" si="20"/>
        <v>0.25717578836578764</v>
      </c>
      <c r="Q40" s="140">
        <f t="shared" si="20"/>
        <v>0.1862171441434384</v>
      </c>
      <c r="R40" s="140">
        <f t="shared" si="20"/>
        <v>0.21677913733813908</v>
      </c>
      <c r="S40" s="140">
        <f t="shared" si="20"/>
        <v>0.28505948804962777</v>
      </c>
      <c r="T40" s="140">
        <f t="shared" si="20"/>
        <v>0.26909606507567219</v>
      </c>
      <c r="U40" s="140">
        <f t="shared" si="20"/>
        <v>0.256500850915236</v>
      </c>
      <c r="V40" s="140">
        <f t="shared" si="20"/>
        <v>0.18385076197829145</v>
      </c>
      <c r="W40" s="140">
        <f t="shared" si="20"/>
        <v>0.24664846413359209</v>
      </c>
      <c r="X40" s="140">
        <f t="shared" si="20"/>
        <v>0.29740678073198179</v>
      </c>
      <c r="Y40" s="140">
        <f t="shared" si="20"/>
        <v>0.22628387034709585</v>
      </c>
      <c r="Z40" s="140">
        <f t="shared" si="20"/>
        <v>0.2657469338905773</v>
      </c>
      <c r="AA40" s="140">
        <f t="shared" si="20"/>
        <v>0.27775593784504415</v>
      </c>
      <c r="AB40" s="140">
        <f t="shared" si="20"/>
        <v>0.26683651986257484</v>
      </c>
      <c r="AC40" s="140">
        <f t="shared" si="20"/>
        <v>0.26004549281225919</v>
      </c>
      <c r="AD40" s="140">
        <f t="shared" si="20"/>
        <v>0.28243464764201692</v>
      </c>
      <c r="AE40" s="140">
        <f t="shared" si="20"/>
        <v>0.29190780170884645</v>
      </c>
      <c r="AF40" s="161"/>
      <c r="AG40" s="192"/>
      <c r="AH40" s="192"/>
      <c r="AI40" s="192"/>
      <c r="AJ40" s="192"/>
      <c r="AK40" s="193"/>
      <c r="AL40" s="193"/>
      <c r="AM40" s="193"/>
      <c r="AN40" s="84"/>
      <c r="AO40" s="193"/>
      <c r="AP40" s="193"/>
      <c r="AQ40" s="193"/>
      <c r="AR40" s="193"/>
      <c r="AS40" s="193"/>
      <c r="AT40" s="193"/>
      <c r="AU40" s="193"/>
      <c r="AV40" s="193"/>
      <c r="AW40" s="193"/>
      <c r="AX40" s="193"/>
      <c r="AY40" s="193"/>
      <c r="AZ40" s="193"/>
      <c r="BA40" s="193"/>
      <c r="BB40" s="193"/>
      <c r="BC40" s="193"/>
      <c r="BD40" s="193"/>
      <c r="BE40" s="193"/>
      <c r="BF40" s="193"/>
      <c r="BG40" s="193"/>
    </row>
    <row r="41" spans="1:59" ht="15.75" customHeight="1" x14ac:dyDescent="0.2">
      <c r="A41" s="195"/>
      <c r="B41" s="195"/>
      <c r="C41" s="196" t="s">
        <v>192</v>
      </c>
      <c r="D41" s="140">
        <f t="shared" ref="D41:AE41" si="21">D14/D5</f>
        <v>0.34234020910461449</v>
      </c>
      <c r="E41" s="140">
        <f t="shared" si="21"/>
        <v>0.31093365852347354</v>
      </c>
      <c r="F41" s="140">
        <f t="shared" si="21"/>
        <v>0.3962321023659528</v>
      </c>
      <c r="G41" s="140">
        <f t="shared" si="21"/>
        <v>0.30744923057062473</v>
      </c>
      <c r="H41" s="140">
        <f t="shared" si="21"/>
        <v>0.34025638421305138</v>
      </c>
      <c r="I41" s="140">
        <f t="shared" si="21"/>
        <v>0.35910600970454437</v>
      </c>
      <c r="J41" s="140">
        <f t="shared" si="21"/>
        <v>0.34024212542465188</v>
      </c>
      <c r="K41" s="140">
        <f t="shared" si="21"/>
        <v>0.42612981344692913</v>
      </c>
      <c r="L41" s="140">
        <f t="shared" si="21"/>
        <v>0.26277541582854347</v>
      </c>
      <c r="M41" s="140">
        <f t="shared" si="21"/>
        <v>0.34722061915997376</v>
      </c>
      <c r="N41" s="140">
        <f t="shared" si="21"/>
        <v>0.3477520968418597</v>
      </c>
      <c r="O41" s="140">
        <f t="shared" si="21"/>
        <v>0.42940678648516756</v>
      </c>
      <c r="P41" s="140">
        <f t="shared" si="21"/>
        <v>0.42719473036703043</v>
      </c>
      <c r="Q41" s="140">
        <f t="shared" si="21"/>
        <v>0.35400178605974658</v>
      </c>
      <c r="R41" s="194">
        <f t="shared" si="21"/>
        <v>0.3902940424319839</v>
      </c>
      <c r="S41" s="140">
        <f t="shared" si="21"/>
        <v>0.45254961570024216</v>
      </c>
      <c r="T41" s="140">
        <f t="shared" si="21"/>
        <v>0.43254401179731239</v>
      </c>
      <c r="U41" s="140">
        <f t="shared" si="21"/>
        <v>0.40279597963731456</v>
      </c>
      <c r="V41" s="140">
        <f t="shared" si="21"/>
        <v>0.32826280017494336</v>
      </c>
      <c r="W41" s="140">
        <f t="shared" si="21"/>
        <v>0.40155347538664216</v>
      </c>
      <c r="X41" s="140">
        <f t="shared" si="21"/>
        <v>0.45163374142874663</v>
      </c>
      <c r="Y41" s="194">
        <f t="shared" si="21"/>
        <v>0.37289037931065894</v>
      </c>
      <c r="Z41" s="194">
        <f t="shared" si="21"/>
        <v>0.40063230492021856</v>
      </c>
      <c r="AA41" s="194">
        <f t="shared" si="21"/>
        <v>0.42929122989568608</v>
      </c>
      <c r="AB41" s="140">
        <f t="shared" si="21"/>
        <v>0.41329122662446416</v>
      </c>
      <c r="AC41" s="194">
        <f t="shared" si="21"/>
        <v>0.42005985566172493</v>
      </c>
      <c r="AD41" s="194">
        <f t="shared" si="21"/>
        <v>0.43333327633755364</v>
      </c>
      <c r="AE41" s="194">
        <f t="shared" si="21"/>
        <v>0.43387821394812082</v>
      </c>
      <c r="AF41" s="161"/>
      <c r="AG41" s="192"/>
      <c r="AH41" s="192"/>
      <c r="AI41" s="192"/>
      <c r="AJ41" s="192"/>
      <c r="AK41" s="193"/>
      <c r="AL41" s="193"/>
      <c r="AM41" s="193"/>
      <c r="AN41" s="84"/>
      <c r="AO41" s="193"/>
      <c r="AP41" s="193"/>
      <c r="AQ41" s="193"/>
      <c r="AR41" s="193"/>
      <c r="AS41" s="193"/>
      <c r="AT41" s="193"/>
      <c r="AU41" s="193"/>
      <c r="AV41" s="193"/>
      <c r="AW41" s="193"/>
      <c r="AX41" s="193"/>
      <c r="AY41" s="193"/>
      <c r="AZ41" s="193"/>
      <c r="BA41" s="193"/>
      <c r="BB41" s="193"/>
      <c r="BC41" s="193"/>
      <c r="BD41" s="193"/>
      <c r="BE41" s="193"/>
      <c r="BF41" s="193"/>
      <c r="BG41" s="193"/>
    </row>
    <row r="42" spans="1:59" ht="15.75" customHeight="1" x14ac:dyDescent="0.2">
      <c r="A42" s="147"/>
      <c r="B42" s="147"/>
      <c r="C42" s="55" t="s">
        <v>193</v>
      </c>
      <c r="D42" s="197"/>
      <c r="E42" s="197"/>
      <c r="F42" s="197"/>
      <c r="G42" s="198"/>
      <c r="H42" s="197"/>
      <c r="I42" s="197"/>
      <c r="J42" s="197"/>
      <c r="K42" s="197"/>
      <c r="L42" s="197"/>
      <c r="M42" s="197"/>
      <c r="N42" s="197"/>
      <c r="O42" s="197"/>
      <c r="P42" s="197"/>
      <c r="Q42" s="197"/>
      <c r="R42" s="197"/>
      <c r="S42" s="197"/>
      <c r="T42" s="197"/>
      <c r="U42" s="197"/>
      <c r="V42" s="198"/>
      <c r="W42" s="199"/>
      <c r="X42" s="199"/>
      <c r="Y42" s="199"/>
      <c r="Z42" s="199"/>
      <c r="AA42" s="199"/>
      <c r="AB42" s="199"/>
      <c r="AC42" s="199"/>
      <c r="AD42" s="199"/>
      <c r="AE42" s="199"/>
      <c r="AF42" s="182"/>
      <c r="AG42" s="182"/>
      <c r="AH42" s="161"/>
      <c r="AI42" s="161"/>
      <c r="AJ42" s="161"/>
      <c r="AK42" s="161"/>
      <c r="AL42" s="161"/>
      <c r="AM42" s="161"/>
      <c r="AN42" s="84"/>
      <c r="AO42" s="161"/>
      <c r="AP42" s="193"/>
      <c r="AQ42" s="193"/>
      <c r="AR42" s="193"/>
      <c r="AS42" s="193"/>
      <c r="AT42" s="161"/>
      <c r="AU42" s="161"/>
      <c r="AV42" s="161"/>
      <c r="AW42" s="161"/>
      <c r="AX42" s="161"/>
      <c r="AY42" s="161"/>
      <c r="AZ42" s="161"/>
      <c r="BA42" s="161"/>
      <c r="BB42" s="147"/>
      <c r="BC42" s="147"/>
      <c r="BD42" s="147"/>
      <c r="BE42" s="147"/>
      <c r="BF42" s="147"/>
      <c r="BG42" s="147"/>
    </row>
    <row r="43" spans="1:59" ht="15.75" customHeight="1" x14ac:dyDescent="0.2">
      <c r="A43" s="147"/>
      <c r="B43" s="147"/>
      <c r="C43" s="55"/>
      <c r="D43" s="197"/>
      <c r="E43" s="197"/>
      <c r="F43" s="197"/>
      <c r="G43" s="198"/>
      <c r="H43" s="197"/>
      <c r="I43" s="197"/>
      <c r="J43" s="197"/>
      <c r="K43" s="197"/>
      <c r="L43" s="197"/>
      <c r="M43" s="197"/>
      <c r="N43" s="197"/>
      <c r="O43" s="197"/>
      <c r="P43" s="197"/>
      <c r="Q43" s="197"/>
      <c r="R43" s="197"/>
      <c r="S43" s="197"/>
      <c r="T43" s="197"/>
      <c r="U43" s="197"/>
      <c r="V43" s="198"/>
      <c r="W43" s="199"/>
      <c r="X43" s="199"/>
      <c r="Y43" s="199"/>
      <c r="Z43" s="199"/>
      <c r="AA43" s="199"/>
      <c r="AB43" s="199"/>
      <c r="AC43" s="199"/>
      <c r="AD43" s="199"/>
      <c r="AE43" s="199"/>
      <c r="AF43" s="182"/>
      <c r="AG43" s="182"/>
      <c r="AH43" s="161"/>
      <c r="AI43" s="161"/>
      <c r="AJ43" s="161"/>
      <c r="AK43" s="161"/>
      <c r="AL43" s="161"/>
      <c r="AM43" s="161"/>
      <c r="AN43" s="147"/>
      <c r="AO43" s="161"/>
      <c r="AP43" s="193"/>
      <c r="AQ43" s="193"/>
      <c r="AR43" s="193"/>
      <c r="AS43" s="193"/>
      <c r="AT43" s="147"/>
      <c r="AU43" s="147"/>
      <c r="AV43" s="147"/>
      <c r="AW43" s="147"/>
      <c r="AX43" s="147"/>
      <c r="AY43" s="147"/>
      <c r="AZ43" s="147"/>
      <c r="BA43" s="147"/>
      <c r="BB43" s="147"/>
      <c r="BC43" s="147"/>
      <c r="BD43" s="147"/>
      <c r="BE43" s="147"/>
      <c r="BF43" s="147"/>
      <c r="BG43" s="147"/>
    </row>
    <row r="44" spans="1:59" ht="15.75" customHeight="1" x14ac:dyDescent="0.2">
      <c r="A44" s="152"/>
      <c r="B44" s="154" t="s">
        <v>194</v>
      </c>
      <c r="C44" s="154"/>
      <c r="D44" s="158" t="s">
        <v>98</v>
      </c>
      <c r="E44" s="158" t="s">
        <v>99</v>
      </c>
      <c r="F44" s="158" t="s">
        <v>100</v>
      </c>
      <c r="G44" s="158" t="s">
        <v>101</v>
      </c>
      <c r="H44" s="159">
        <v>2018</v>
      </c>
      <c r="I44" s="158" t="s">
        <v>102</v>
      </c>
      <c r="J44" s="158" t="s">
        <v>103</v>
      </c>
      <c r="K44" s="158" t="s">
        <v>104</v>
      </c>
      <c r="L44" s="158" t="s">
        <v>105</v>
      </c>
      <c r="M44" s="159">
        <v>2019</v>
      </c>
      <c r="N44" s="158" t="s">
        <v>158</v>
      </c>
      <c r="O44" s="158" t="s">
        <v>107</v>
      </c>
      <c r="P44" s="158" t="s">
        <v>108</v>
      </c>
      <c r="Q44" s="158" t="s">
        <v>109</v>
      </c>
      <c r="R44" s="159">
        <v>2020</v>
      </c>
      <c r="S44" s="158" t="s">
        <v>110</v>
      </c>
      <c r="T44" s="158" t="s">
        <v>111</v>
      </c>
      <c r="U44" s="158" t="s">
        <v>112</v>
      </c>
      <c r="V44" s="158" t="s">
        <v>113</v>
      </c>
      <c r="W44" s="159">
        <v>2021</v>
      </c>
      <c r="X44" s="158" t="s">
        <v>114</v>
      </c>
      <c r="Y44" s="158" t="s">
        <v>115</v>
      </c>
      <c r="Z44" s="158" t="str">
        <f>$Z$4</f>
        <v>3Q22</v>
      </c>
      <c r="AA44" s="158" t="str">
        <f>$AA$4</f>
        <v>4Q22</v>
      </c>
      <c r="AB44" s="160">
        <v>2022</v>
      </c>
      <c r="AC44" s="158" t="str">
        <f>$AC$4</f>
        <v>1Q23</v>
      </c>
      <c r="AD44" s="158" t="str">
        <f t="shared" ref="AD44:AE44" si="22">AD$4</f>
        <v>2Q23</v>
      </c>
      <c r="AE44" s="158" t="str">
        <f t="shared" si="22"/>
        <v>3Q23</v>
      </c>
      <c r="AF44" s="161"/>
      <c r="AG44" s="182"/>
      <c r="AH44" s="161"/>
      <c r="AI44" s="161"/>
      <c r="AJ44" s="161"/>
      <c r="AK44" s="161"/>
      <c r="AL44" s="161"/>
      <c r="AM44" s="161"/>
      <c r="AN44" s="147"/>
      <c r="AO44" s="161"/>
      <c r="AP44" s="193"/>
      <c r="AQ44" s="193"/>
      <c r="AR44" s="193"/>
      <c r="AS44" s="193"/>
      <c r="AV44" s="147"/>
      <c r="AW44" s="147"/>
      <c r="AX44" s="147"/>
      <c r="AY44" s="147"/>
      <c r="AZ44" s="147"/>
      <c r="BA44" s="147"/>
      <c r="BB44" s="147"/>
      <c r="BC44" s="147"/>
      <c r="BD44" s="147"/>
      <c r="BE44" s="147"/>
      <c r="BF44" s="147"/>
      <c r="BG44" s="147"/>
    </row>
    <row r="45" spans="1:59" ht="15.75" customHeight="1" x14ac:dyDescent="0.2">
      <c r="A45" s="147"/>
      <c r="B45" s="147"/>
      <c r="C45" s="162" t="s">
        <v>195</v>
      </c>
      <c r="D45" s="200">
        <f t="shared" ref="D45:AE45" si="23">SUM(D46:D47)</f>
        <v>1136.2459466999999</v>
      </c>
      <c r="E45" s="200">
        <f t="shared" si="23"/>
        <v>1246.6628314</v>
      </c>
      <c r="F45" s="200">
        <f t="shared" si="23"/>
        <v>1256.2172191</v>
      </c>
      <c r="G45" s="200">
        <f t="shared" si="23"/>
        <v>1191.1606913000001</v>
      </c>
      <c r="H45" s="200">
        <f t="shared" si="23"/>
        <v>1191.1606913000001</v>
      </c>
      <c r="I45" s="200">
        <f t="shared" si="23"/>
        <v>1179.6094519999999</v>
      </c>
      <c r="J45" s="200">
        <f t="shared" si="23"/>
        <v>1264.80663</v>
      </c>
      <c r="K45" s="200">
        <f t="shared" si="23"/>
        <v>1304.4580539999999</v>
      </c>
      <c r="L45" s="200">
        <f t="shared" si="23"/>
        <v>1350.0436179999999</v>
      </c>
      <c r="M45" s="200">
        <f t="shared" si="23"/>
        <v>1350.0436179999999</v>
      </c>
      <c r="N45" s="200">
        <f t="shared" si="23"/>
        <v>1686</v>
      </c>
      <c r="O45" s="200">
        <f t="shared" si="23"/>
        <v>1818</v>
      </c>
      <c r="P45" s="200">
        <f t="shared" si="23"/>
        <v>1871</v>
      </c>
      <c r="Q45" s="200">
        <f t="shared" si="23"/>
        <v>1781</v>
      </c>
      <c r="R45" s="200">
        <f t="shared" si="23"/>
        <v>1781</v>
      </c>
      <c r="S45" s="200">
        <f t="shared" si="23"/>
        <v>1757.8000000000002</v>
      </c>
      <c r="T45" s="200">
        <f t="shared" si="23"/>
        <v>1570.2</v>
      </c>
      <c r="U45" s="200">
        <f t="shared" si="23"/>
        <v>1630.4</v>
      </c>
      <c r="V45" s="200">
        <f t="shared" si="23"/>
        <v>1683</v>
      </c>
      <c r="W45" s="200">
        <f t="shared" si="23"/>
        <v>1683</v>
      </c>
      <c r="X45" s="200">
        <f t="shared" si="23"/>
        <v>1498.9</v>
      </c>
      <c r="Y45" s="200">
        <f t="shared" si="23"/>
        <v>1605.8000000000002</v>
      </c>
      <c r="Z45" s="200">
        <f t="shared" si="23"/>
        <v>1764.1999999999998</v>
      </c>
      <c r="AA45" s="200">
        <f t="shared" si="23"/>
        <v>1679.4972819999998</v>
      </c>
      <c r="AB45" s="200">
        <f t="shared" si="23"/>
        <v>1679.4972819999998</v>
      </c>
      <c r="AC45" s="200">
        <f t="shared" si="23"/>
        <v>1651.3540386862001</v>
      </c>
      <c r="AD45" s="200">
        <f t="shared" si="23"/>
        <v>1562.8237581471199</v>
      </c>
      <c r="AE45" s="200">
        <f t="shared" si="23"/>
        <v>1575.92903983</v>
      </c>
      <c r="AF45" s="84"/>
      <c r="AG45" s="182"/>
      <c r="AH45" s="161"/>
      <c r="AI45" s="161"/>
      <c r="AJ45" s="161"/>
      <c r="AK45" s="161"/>
      <c r="AL45" s="161"/>
      <c r="AM45" s="161"/>
      <c r="AN45" s="147"/>
      <c r="AO45" s="161"/>
      <c r="AP45" s="193"/>
      <c r="AQ45" s="193"/>
      <c r="AR45" s="193"/>
      <c r="AS45" s="193"/>
      <c r="AV45" s="84"/>
      <c r="AW45" s="84"/>
      <c r="AX45" s="84"/>
      <c r="AY45" s="84"/>
      <c r="AZ45" s="84"/>
      <c r="BA45" s="84"/>
      <c r="BB45" s="84"/>
      <c r="BC45" s="84"/>
      <c r="BD45" s="84"/>
      <c r="BE45" s="84"/>
      <c r="BF45" s="84"/>
      <c r="BG45" s="84"/>
    </row>
    <row r="46" spans="1:59" ht="15.75" customHeight="1" x14ac:dyDescent="0.2">
      <c r="A46" s="147"/>
      <c r="B46" s="147"/>
      <c r="C46" s="189" t="s">
        <v>196</v>
      </c>
      <c r="D46" s="201">
        <v>73.970867999999996</v>
      </c>
      <c r="E46" s="201">
        <v>69.053538400000008</v>
      </c>
      <c r="F46" s="201">
        <v>64.910767300000003</v>
      </c>
      <c r="G46" s="201">
        <v>61.116377100000001</v>
      </c>
      <c r="H46" s="201">
        <v>61.116377100000001</v>
      </c>
      <c r="I46" s="201">
        <v>141.366906</v>
      </c>
      <c r="J46" s="201">
        <v>265.80662999999998</v>
      </c>
      <c r="K46" s="201">
        <v>241.458054</v>
      </c>
      <c r="L46" s="201">
        <v>431.04361799999998</v>
      </c>
      <c r="M46" s="201">
        <v>431.04361799999998</v>
      </c>
      <c r="N46" s="201">
        <v>522</v>
      </c>
      <c r="O46" s="201">
        <v>592</v>
      </c>
      <c r="P46" s="201">
        <v>606</v>
      </c>
      <c r="Q46" s="201">
        <v>626</v>
      </c>
      <c r="R46" s="201">
        <v>626</v>
      </c>
      <c r="S46" s="201">
        <v>493.1</v>
      </c>
      <c r="T46" s="201">
        <v>465.7</v>
      </c>
      <c r="U46" s="201">
        <v>467.9</v>
      </c>
      <c r="V46" s="201">
        <v>468.1</v>
      </c>
      <c r="W46" s="201">
        <v>468.1</v>
      </c>
      <c r="X46" s="201">
        <v>472.1</v>
      </c>
      <c r="Y46" s="201">
        <v>476.4</v>
      </c>
      <c r="Z46" s="201">
        <v>492.4</v>
      </c>
      <c r="AA46" s="201">
        <v>442.39728200000002</v>
      </c>
      <c r="AB46" s="201">
        <v>442.39728200000002</v>
      </c>
      <c r="AC46" s="201">
        <v>445.27603868620008</v>
      </c>
      <c r="AD46" s="201">
        <v>478.81575814711982</v>
      </c>
      <c r="AE46" s="201">
        <v>478.36203983000001</v>
      </c>
      <c r="AF46" s="84"/>
      <c r="AG46" s="182"/>
      <c r="AH46" s="161"/>
      <c r="AI46" s="161"/>
      <c r="AJ46" s="161"/>
      <c r="AK46" s="161"/>
      <c r="AL46" s="161"/>
      <c r="AM46" s="161"/>
      <c r="AN46" s="176"/>
      <c r="AO46" s="161"/>
      <c r="AP46" s="193"/>
      <c r="AQ46" s="193"/>
      <c r="AR46" s="193"/>
      <c r="AS46" s="193"/>
      <c r="AV46" s="84"/>
      <c r="AW46" s="84"/>
      <c r="AX46" s="84"/>
      <c r="AY46" s="84"/>
      <c r="AZ46" s="84"/>
      <c r="BA46" s="84"/>
      <c r="BB46" s="84"/>
      <c r="BC46" s="84"/>
      <c r="BD46" s="84"/>
      <c r="BE46" s="84"/>
      <c r="BF46" s="84"/>
      <c r="BG46" s="84"/>
    </row>
    <row r="47" spans="1:59" ht="15.75" customHeight="1" x14ac:dyDescent="0.2">
      <c r="A47" s="147"/>
      <c r="B47" s="147"/>
      <c r="C47" s="189" t="s">
        <v>197</v>
      </c>
      <c r="D47" s="201">
        <v>1062.2750787</v>
      </c>
      <c r="E47" s="201">
        <v>1177.609293</v>
      </c>
      <c r="F47" s="201">
        <v>1191.3064517999999</v>
      </c>
      <c r="G47" s="201">
        <v>1130.0443142000001</v>
      </c>
      <c r="H47" s="201">
        <v>1130.0443142000001</v>
      </c>
      <c r="I47" s="201">
        <v>1038.2425459999999</v>
      </c>
      <c r="J47" s="201">
        <v>999</v>
      </c>
      <c r="K47" s="201">
        <v>1063</v>
      </c>
      <c r="L47" s="201">
        <v>919</v>
      </c>
      <c r="M47" s="201">
        <v>919</v>
      </c>
      <c r="N47" s="201">
        <v>1164</v>
      </c>
      <c r="O47" s="201">
        <v>1226</v>
      </c>
      <c r="P47" s="201">
        <v>1265</v>
      </c>
      <c r="Q47" s="201">
        <v>1155</v>
      </c>
      <c r="R47" s="201">
        <v>1155</v>
      </c>
      <c r="S47" s="201">
        <v>1264.7</v>
      </c>
      <c r="T47" s="201">
        <v>1104.5</v>
      </c>
      <c r="U47" s="201">
        <v>1162.5</v>
      </c>
      <c r="V47" s="201">
        <v>1214.9000000000001</v>
      </c>
      <c r="W47" s="201">
        <v>1214.9000000000001</v>
      </c>
      <c r="X47" s="201">
        <v>1026.8</v>
      </c>
      <c r="Y47" s="201">
        <v>1129.4000000000001</v>
      </c>
      <c r="Z47" s="201">
        <v>1271.8</v>
      </c>
      <c r="AA47" s="201">
        <v>1237.0999999999999</v>
      </c>
      <c r="AB47" s="201">
        <v>1237.0999999999999</v>
      </c>
      <c r="AC47" s="201">
        <v>1206.078</v>
      </c>
      <c r="AD47" s="201">
        <v>1084.008</v>
      </c>
      <c r="AE47" s="201">
        <v>1097.567</v>
      </c>
      <c r="AF47" s="84"/>
      <c r="AG47" s="182"/>
      <c r="AH47" s="161"/>
      <c r="AI47" s="161"/>
      <c r="AJ47" s="161"/>
      <c r="AK47" s="161"/>
      <c r="AL47" s="161"/>
      <c r="AM47" s="161"/>
      <c r="AN47" s="176"/>
      <c r="AO47" s="161"/>
      <c r="AP47" s="193"/>
      <c r="AQ47" s="193"/>
      <c r="AR47" s="193"/>
      <c r="AS47" s="193"/>
      <c r="AV47" s="84"/>
      <c r="AW47" s="84"/>
      <c r="AX47" s="84"/>
      <c r="AY47" s="84"/>
      <c r="AZ47" s="84"/>
      <c r="BA47" s="84"/>
      <c r="BB47" s="84"/>
      <c r="BC47" s="84"/>
      <c r="BD47" s="84"/>
      <c r="BE47" s="84"/>
      <c r="BF47" s="84"/>
      <c r="BG47" s="84"/>
    </row>
    <row r="48" spans="1:59" ht="15.75" customHeight="1" x14ac:dyDescent="0.2">
      <c r="A48" s="147"/>
      <c r="B48" s="147"/>
      <c r="C48" s="147"/>
      <c r="D48" s="202"/>
      <c r="E48" s="202"/>
      <c r="F48" s="202"/>
      <c r="G48" s="202"/>
      <c r="H48" s="200"/>
      <c r="I48" s="202"/>
      <c r="J48" s="202"/>
      <c r="K48" s="202"/>
      <c r="L48" s="202"/>
      <c r="M48" s="200"/>
      <c r="N48" s="202"/>
      <c r="O48" s="202"/>
      <c r="P48" s="202"/>
      <c r="Q48" s="202"/>
      <c r="R48" s="200"/>
      <c r="S48" s="202"/>
      <c r="T48" s="202"/>
      <c r="U48" s="202"/>
      <c r="V48" s="202"/>
      <c r="W48" s="200"/>
      <c r="X48" s="202"/>
      <c r="Y48" s="202"/>
      <c r="Z48" s="202"/>
      <c r="AA48" s="202"/>
      <c r="AB48" s="200"/>
      <c r="AC48" s="202"/>
      <c r="AD48" s="202"/>
      <c r="AE48" s="202"/>
      <c r="AF48" s="84"/>
      <c r="AG48" s="182"/>
      <c r="AH48" s="161"/>
      <c r="AI48" s="161"/>
      <c r="AJ48" s="161"/>
      <c r="AK48" s="161"/>
      <c r="AL48" s="161"/>
      <c r="AM48" s="161"/>
      <c r="AN48" s="176"/>
      <c r="AO48" s="161"/>
      <c r="AP48" s="193"/>
      <c r="AQ48" s="193"/>
      <c r="AR48" s="193"/>
      <c r="AS48" s="193"/>
      <c r="AV48" s="84"/>
      <c r="AW48" s="84"/>
      <c r="AX48" s="84"/>
      <c r="AY48" s="84"/>
      <c r="AZ48" s="84"/>
      <c r="BA48" s="84"/>
      <c r="BB48" s="84"/>
      <c r="BC48" s="84"/>
      <c r="BD48" s="84"/>
      <c r="BE48" s="84"/>
      <c r="BF48" s="84"/>
      <c r="BG48" s="84"/>
    </row>
    <row r="49" spans="1:59" ht="15.75" customHeight="1" x14ac:dyDescent="0.2">
      <c r="A49" s="147"/>
      <c r="B49" s="147"/>
      <c r="C49" s="189" t="s">
        <v>198</v>
      </c>
      <c r="D49" s="201">
        <v>180.5</v>
      </c>
      <c r="E49" s="201">
        <v>205.2</v>
      </c>
      <c r="F49" s="201">
        <v>211.2</v>
      </c>
      <c r="G49" s="201">
        <v>233.5</v>
      </c>
      <c r="H49" s="201">
        <v>233.5</v>
      </c>
      <c r="I49" s="201">
        <v>194.7</v>
      </c>
      <c r="J49" s="201">
        <v>170</v>
      </c>
      <c r="K49" s="201">
        <v>183</v>
      </c>
      <c r="L49" s="201">
        <v>148</v>
      </c>
      <c r="M49" s="201">
        <v>148</v>
      </c>
      <c r="N49" s="201">
        <v>251</v>
      </c>
      <c r="O49" s="201">
        <v>268</v>
      </c>
      <c r="P49" s="201">
        <v>284</v>
      </c>
      <c r="Q49" s="201">
        <v>305</v>
      </c>
      <c r="R49" s="201">
        <v>305</v>
      </c>
      <c r="S49" s="201">
        <v>220.89054467</v>
      </c>
      <c r="T49" s="201">
        <v>222.66996149000002</v>
      </c>
      <c r="U49" s="201">
        <v>237.18343493999998</v>
      </c>
      <c r="V49" s="201">
        <v>252.72311392</v>
      </c>
      <c r="W49" s="201">
        <v>252.72311392</v>
      </c>
      <c r="X49" s="201">
        <v>237.10433750000001</v>
      </c>
      <c r="Y49" s="201">
        <v>303.06764039999996</v>
      </c>
      <c r="Z49" s="201">
        <v>327.9561673</v>
      </c>
      <c r="AA49" s="201">
        <v>312.43879613999997</v>
      </c>
      <c r="AB49" s="201">
        <v>312.43879613999997</v>
      </c>
      <c r="AC49" s="201">
        <v>318.09674356235996</v>
      </c>
      <c r="AD49" s="201">
        <v>248.79264437735998</v>
      </c>
      <c r="AE49" s="201">
        <v>313.78309488000002</v>
      </c>
      <c r="AF49" s="84"/>
      <c r="AG49" s="182"/>
      <c r="AH49" s="161"/>
      <c r="AI49" s="161"/>
      <c r="AJ49" s="161"/>
      <c r="AK49" s="161"/>
      <c r="AL49" s="161"/>
      <c r="AM49" s="161"/>
      <c r="AN49" s="176"/>
      <c r="AO49" s="161"/>
      <c r="AP49" s="193"/>
      <c r="AQ49" s="193"/>
      <c r="AR49" s="193"/>
      <c r="AS49" s="193"/>
      <c r="AV49" s="84"/>
      <c r="AW49" s="84"/>
      <c r="AX49" s="84"/>
      <c r="AY49" s="84"/>
      <c r="AZ49" s="84"/>
      <c r="BA49" s="84"/>
      <c r="BB49" s="84"/>
      <c r="BC49" s="84"/>
      <c r="BD49" s="84"/>
      <c r="BE49" s="84"/>
      <c r="BF49" s="84"/>
      <c r="BG49" s="84"/>
    </row>
    <row r="50" spans="1:59" ht="15.75" customHeight="1" x14ac:dyDescent="0.2">
      <c r="A50" s="147"/>
      <c r="B50" s="147"/>
      <c r="C50" s="189" t="s">
        <v>199</v>
      </c>
      <c r="D50" s="201">
        <v>955.8</v>
      </c>
      <c r="E50" s="201">
        <v>1041.5</v>
      </c>
      <c r="F50" s="201">
        <v>1045</v>
      </c>
      <c r="G50" s="201">
        <v>957.7</v>
      </c>
      <c r="H50" s="201">
        <v>957.7</v>
      </c>
      <c r="I50" s="201">
        <v>984.9</v>
      </c>
      <c r="J50" s="201">
        <v>1095</v>
      </c>
      <c r="K50" s="201">
        <v>1121</v>
      </c>
      <c r="L50" s="201">
        <v>1203</v>
      </c>
      <c r="M50" s="201">
        <v>1203</v>
      </c>
      <c r="N50" s="201">
        <v>1435</v>
      </c>
      <c r="O50" s="201">
        <v>1550</v>
      </c>
      <c r="P50" s="201">
        <v>1587</v>
      </c>
      <c r="Q50" s="201">
        <v>1476</v>
      </c>
      <c r="R50" s="201">
        <v>1476</v>
      </c>
      <c r="S50" s="201">
        <v>1536.8889125599999</v>
      </c>
      <c r="T50" s="201">
        <v>1347.52607579</v>
      </c>
      <c r="U50" s="201">
        <v>1393.18894383</v>
      </c>
      <c r="V50" s="201">
        <v>1430.3470344100001</v>
      </c>
      <c r="W50" s="201">
        <v>1430.3470344100001</v>
      </c>
      <c r="X50" s="201">
        <v>1261.7615661099999</v>
      </c>
      <c r="Y50" s="201">
        <v>1302.7083701500001</v>
      </c>
      <c r="Z50" s="201">
        <v>1436.2417273499998</v>
      </c>
      <c r="AA50" s="201">
        <v>1367.092081</v>
      </c>
      <c r="AB50" s="201">
        <v>1367.092081</v>
      </c>
      <c r="AC50" s="201">
        <v>1333.2572951238401</v>
      </c>
      <c r="AD50" s="201">
        <v>1314.0311137697599</v>
      </c>
      <c r="AE50" s="201">
        <v>1262.1459449500001</v>
      </c>
      <c r="AF50" s="84"/>
      <c r="AG50" s="182"/>
      <c r="AH50" s="161"/>
      <c r="AI50" s="161"/>
      <c r="AJ50" s="161"/>
      <c r="AK50" s="161"/>
      <c r="AL50" s="161"/>
      <c r="AM50" s="161"/>
      <c r="AN50" s="147"/>
      <c r="AO50" s="161"/>
      <c r="AP50" s="193"/>
      <c r="AQ50" s="193"/>
      <c r="AR50" s="193"/>
      <c r="AS50" s="193"/>
      <c r="AV50" s="84"/>
      <c r="AW50" s="84"/>
      <c r="AX50" s="84"/>
      <c r="AY50" s="84"/>
      <c r="AZ50" s="84"/>
      <c r="BA50" s="84"/>
      <c r="BB50" s="84"/>
      <c r="BC50" s="84"/>
      <c r="BD50" s="84"/>
      <c r="BE50" s="84"/>
      <c r="BF50" s="84"/>
      <c r="BG50" s="84"/>
    </row>
    <row r="51" spans="1:59" ht="15.75" customHeight="1" x14ac:dyDescent="0.2">
      <c r="A51" s="147"/>
      <c r="B51" s="147"/>
      <c r="C51" s="147"/>
      <c r="D51" s="202"/>
      <c r="E51" s="202"/>
      <c r="F51" s="202"/>
      <c r="G51" s="202"/>
      <c r="H51" s="200"/>
      <c r="I51" s="202"/>
      <c r="J51" s="202"/>
      <c r="K51" s="202"/>
      <c r="L51" s="202"/>
      <c r="M51" s="200"/>
      <c r="N51" s="202"/>
      <c r="O51" s="202"/>
      <c r="P51" s="202"/>
      <c r="Q51" s="202"/>
      <c r="R51" s="200"/>
      <c r="S51" s="202"/>
      <c r="T51" s="202"/>
      <c r="U51" s="202"/>
      <c r="V51" s="202"/>
      <c r="W51" s="200"/>
      <c r="X51" s="202"/>
      <c r="Y51" s="202"/>
      <c r="Z51" s="202"/>
      <c r="AA51" s="202"/>
      <c r="AB51" s="200"/>
      <c r="AC51" s="202"/>
      <c r="AD51" s="202"/>
      <c r="AE51" s="202"/>
      <c r="AF51" s="84"/>
      <c r="AG51" s="182"/>
      <c r="AH51" s="161"/>
      <c r="AI51" s="161"/>
      <c r="AJ51" s="161"/>
      <c r="AK51" s="161"/>
      <c r="AL51" s="161"/>
      <c r="AM51" s="161"/>
      <c r="AN51" s="147"/>
      <c r="AO51" s="161"/>
      <c r="AP51" s="193"/>
      <c r="AQ51" s="193"/>
      <c r="AR51" s="193"/>
      <c r="AS51" s="193"/>
      <c r="AV51" s="84"/>
      <c r="AW51" s="84"/>
      <c r="AX51" s="84"/>
      <c r="AY51" s="84"/>
      <c r="AZ51" s="84"/>
      <c r="BA51" s="84"/>
      <c r="BB51" s="84"/>
      <c r="BC51" s="84"/>
      <c r="BD51" s="84"/>
      <c r="BE51" s="84"/>
      <c r="BF51" s="84"/>
      <c r="BG51" s="84"/>
    </row>
    <row r="52" spans="1:59" ht="15.75" customHeight="1" x14ac:dyDescent="0.2">
      <c r="A52" s="147"/>
      <c r="B52" s="147"/>
      <c r="C52" s="189" t="s">
        <v>200</v>
      </c>
      <c r="D52" s="201">
        <v>819.96629399999995</v>
      </c>
      <c r="E52" s="201">
        <v>931.15575899999999</v>
      </c>
      <c r="F52" s="201">
        <v>968.05886699999996</v>
      </c>
      <c r="G52" s="201">
        <v>923.73347100000001</v>
      </c>
      <c r="H52" s="201">
        <v>923.73347100000001</v>
      </c>
      <c r="I52" s="201">
        <v>917.16132800000003</v>
      </c>
      <c r="J52" s="201">
        <v>917</v>
      </c>
      <c r="K52" s="201">
        <v>972</v>
      </c>
      <c r="L52" s="201">
        <v>924</v>
      </c>
      <c r="M52" s="201">
        <v>924</v>
      </c>
      <c r="N52" s="201">
        <v>1168</v>
      </c>
      <c r="O52" s="201">
        <v>1230</v>
      </c>
      <c r="P52" s="201">
        <v>1269</v>
      </c>
      <c r="Q52" s="201">
        <v>1159</v>
      </c>
      <c r="R52" s="201">
        <v>1159</v>
      </c>
      <c r="S52" s="201">
        <v>1268.7</v>
      </c>
      <c r="T52" s="201">
        <v>1108.4000000000001</v>
      </c>
      <c r="U52" s="201">
        <v>1166.2</v>
      </c>
      <c r="V52" s="201">
        <v>1162.7</v>
      </c>
      <c r="W52" s="201">
        <v>1162.7</v>
      </c>
      <c r="X52" s="201">
        <v>982.4</v>
      </c>
      <c r="Y52" s="201">
        <v>1080.233418</v>
      </c>
      <c r="Z52" s="201">
        <v>1165.7180619999999</v>
      </c>
      <c r="AA52" s="201">
        <v>1134.2203529999999</v>
      </c>
      <c r="AB52" s="201">
        <v>1134.2203529999999</v>
      </c>
      <c r="AC52" s="201">
        <v>1104.684</v>
      </c>
      <c r="AD52" s="201">
        <v>1035.732</v>
      </c>
      <c r="AE52" s="201">
        <v>1049.3009999999999</v>
      </c>
      <c r="AF52" s="84"/>
      <c r="AG52" s="182"/>
      <c r="AH52" s="161"/>
      <c r="AI52" s="161"/>
      <c r="AJ52" s="161"/>
      <c r="AK52" s="161"/>
      <c r="AL52" s="161"/>
      <c r="AM52" s="161"/>
      <c r="AN52" s="147"/>
      <c r="AO52" s="161"/>
      <c r="AP52" s="193"/>
      <c r="AQ52" s="193"/>
      <c r="AR52" s="193"/>
      <c r="AS52" s="193"/>
      <c r="AV52" s="84"/>
      <c r="AW52" s="84"/>
      <c r="AX52" s="84"/>
      <c r="AY52" s="84"/>
      <c r="AZ52" s="84"/>
      <c r="BA52" s="84"/>
      <c r="BB52" s="84"/>
      <c r="BC52" s="84"/>
      <c r="BD52" s="84"/>
      <c r="BE52" s="84"/>
      <c r="BF52" s="84"/>
      <c r="BG52" s="84"/>
    </row>
    <row r="53" spans="1:59" ht="15.75" customHeight="1" x14ac:dyDescent="0.2">
      <c r="A53" s="147"/>
      <c r="B53" s="147"/>
      <c r="C53" s="189" t="s">
        <v>201</v>
      </c>
      <c r="D53" s="201">
        <v>316.33370600000001</v>
      </c>
      <c r="E53" s="201">
        <v>315.54424100000006</v>
      </c>
      <c r="F53" s="201">
        <v>288.14113300000008</v>
      </c>
      <c r="G53" s="201">
        <v>267.46652900000004</v>
      </c>
      <c r="H53" s="201">
        <v>267.46652900000004</v>
      </c>
      <c r="I53" s="201">
        <v>262.43867199999988</v>
      </c>
      <c r="J53" s="201">
        <v>348</v>
      </c>
      <c r="K53" s="201">
        <v>332</v>
      </c>
      <c r="L53" s="201">
        <v>427</v>
      </c>
      <c r="M53" s="201">
        <v>427</v>
      </c>
      <c r="N53" s="201">
        <v>518</v>
      </c>
      <c r="O53" s="201">
        <v>589</v>
      </c>
      <c r="P53" s="201">
        <v>601</v>
      </c>
      <c r="Q53" s="201">
        <v>622</v>
      </c>
      <c r="R53" s="201">
        <v>622</v>
      </c>
      <c r="S53" s="201">
        <v>489.07945722999989</v>
      </c>
      <c r="T53" s="201">
        <v>461.79603728000006</v>
      </c>
      <c r="U53" s="201">
        <v>464.17237877000002</v>
      </c>
      <c r="V53" s="201">
        <v>520.37014833000012</v>
      </c>
      <c r="W53" s="201">
        <v>520.37014833000012</v>
      </c>
      <c r="X53" s="201">
        <v>516.46590360999983</v>
      </c>
      <c r="Y53" s="201">
        <v>525.54259255000011</v>
      </c>
      <c r="Z53" s="201">
        <v>598.47983264999993</v>
      </c>
      <c r="AA53" s="201">
        <v>545.3105241400001</v>
      </c>
      <c r="AB53" s="201">
        <v>545.3105241400001</v>
      </c>
      <c r="AC53" s="201">
        <v>546.67003867999995</v>
      </c>
      <c r="AD53" s="201">
        <v>527.0920000000001</v>
      </c>
      <c r="AE53" s="201">
        <v>526.62803983000003</v>
      </c>
      <c r="AF53" s="84"/>
      <c r="AG53" s="182"/>
      <c r="AH53" s="161"/>
      <c r="AI53" s="161"/>
      <c r="AJ53" s="161"/>
      <c r="AK53" s="161"/>
      <c r="AL53" s="161"/>
      <c r="AM53" s="161"/>
      <c r="AN53" s="147"/>
      <c r="AO53" s="161"/>
      <c r="AP53" s="193"/>
      <c r="AQ53" s="193"/>
      <c r="AR53" s="193"/>
      <c r="AS53" s="193"/>
      <c r="AV53" s="84"/>
      <c r="AW53" s="84"/>
      <c r="AX53" s="84"/>
      <c r="AY53" s="84"/>
      <c r="AZ53" s="84"/>
      <c r="BA53" s="84"/>
      <c r="BB53" s="84"/>
      <c r="BC53" s="84"/>
      <c r="BD53" s="84"/>
      <c r="BE53" s="84"/>
      <c r="BF53" s="84"/>
      <c r="BG53" s="84"/>
    </row>
    <row r="54" spans="1:59" ht="15.75" customHeight="1"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182"/>
      <c r="AH54" s="161"/>
      <c r="AI54" s="161"/>
      <c r="AJ54" s="161"/>
      <c r="AK54" s="161"/>
      <c r="AL54" s="161"/>
      <c r="AM54" s="161"/>
      <c r="AN54" s="147"/>
      <c r="AO54" s="161"/>
      <c r="AP54" s="193"/>
      <c r="AQ54" s="193"/>
      <c r="AR54" s="193"/>
      <c r="AS54" s="193"/>
      <c r="AV54" s="84"/>
      <c r="AW54" s="84"/>
      <c r="AX54" s="84"/>
      <c r="AY54" s="84"/>
      <c r="AZ54" s="84"/>
      <c r="BA54" s="84"/>
      <c r="BB54" s="84"/>
      <c r="BC54" s="84"/>
      <c r="BD54" s="84"/>
      <c r="BE54" s="84"/>
      <c r="BF54" s="84"/>
      <c r="BG54" s="84"/>
    </row>
    <row r="55" spans="1:59" ht="15.75" customHeight="1" x14ac:dyDescent="0.2">
      <c r="A55" s="147"/>
      <c r="B55" s="147"/>
      <c r="C55" s="189" t="s">
        <v>202</v>
      </c>
      <c r="D55" s="201">
        <v>399.06299999999987</v>
      </c>
      <c r="E55" s="201">
        <v>259.63200000000006</v>
      </c>
      <c r="F55" s="201">
        <v>290.84400000000005</v>
      </c>
      <c r="G55" s="201">
        <v>267.49</v>
      </c>
      <c r="H55" s="201">
        <v>267.49</v>
      </c>
      <c r="I55" s="201">
        <v>266.92100000000005</v>
      </c>
      <c r="J55" s="201">
        <v>209</v>
      </c>
      <c r="K55" s="201">
        <v>226</v>
      </c>
      <c r="L55" s="201">
        <v>313</v>
      </c>
      <c r="M55" s="201">
        <v>313</v>
      </c>
      <c r="N55" s="201">
        <v>348</v>
      </c>
      <c r="O55" s="201">
        <v>391</v>
      </c>
      <c r="P55" s="201">
        <v>413</v>
      </c>
      <c r="Q55" s="201">
        <v>303</v>
      </c>
      <c r="R55" s="201">
        <v>303</v>
      </c>
      <c r="S55" s="201">
        <v>193.54799711999999</v>
      </c>
      <c r="T55" s="201">
        <v>201.99941212999988</v>
      </c>
      <c r="U55" s="201">
        <v>208.1995212700001</v>
      </c>
      <c r="V55" s="201">
        <v>373.69484399000021</v>
      </c>
      <c r="W55" s="201">
        <v>373.69484399000021</v>
      </c>
      <c r="X55" s="201">
        <v>343.40224110999998</v>
      </c>
      <c r="Y55" s="201">
        <v>151.09132382999996</v>
      </c>
      <c r="Z55" s="201">
        <v>339.92449725000006</v>
      </c>
      <c r="AA55" s="201">
        <v>261.39474945000006</v>
      </c>
      <c r="AB55" s="201">
        <v>261.39474945000006</v>
      </c>
      <c r="AC55" s="201">
        <v>278.16797946000003</v>
      </c>
      <c r="AD55" s="201">
        <v>143.0460367</v>
      </c>
      <c r="AE55" s="201">
        <v>217.04647563</v>
      </c>
      <c r="AF55" s="84"/>
      <c r="AG55" s="182"/>
      <c r="AH55" s="161"/>
      <c r="AI55" s="161"/>
      <c r="AJ55" s="161"/>
      <c r="AK55" s="161"/>
      <c r="AL55" s="161"/>
      <c r="AM55" s="161"/>
      <c r="AN55" s="147"/>
      <c r="AO55" s="161"/>
      <c r="AP55" s="193"/>
      <c r="AQ55" s="193"/>
      <c r="AR55" s="193"/>
      <c r="AS55" s="193"/>
      <c r="AV55" s="84"/>
      <c r="AW55" s="84"/>
      <c r="AX55" s="84"/>
      <c r="AY55" s="84"/>
      <c r="AZ55" s="84"/>
      <c r="BA55" s="84"/>
      <c r="BB55" s="84"/>
      <c r="BC55" s="84"/>
      <c r="BD55" s="84"/>
      <c r="BE55" s="84"/>
      <c r="BF55" s="84"/>
      <c r="BG55" s="84"/>
    </row>
    <row r="56" spans="1:59" ht="15.75" customHeight="1" x14ac:dyDescent="0.2">
      <c r="A56" s="147"/>
      <c r="B56" s="147"/>
      <c r="C56" s="162" t="s">
        <v>203</v>
      </c>
      <c r="D56" s="200">
        <f t="shared" ref="D56:AE56" si="24">D45-D55</f>
        <v>737.1829467</v>
      </c>
      <c r="E56" s="200">
        <f t="shared" si="24"/>
        <v>987.0308313999999</v>
      </c>
      <c r="F56" s="200">
        <f t="shared" si="24"/>
        <v>965.37321909999991</v>
      </c>
      <c r="G56" s="200">
        <f t="shared" si="24"/>
        <v>923.67069130000004</v>
      </c>
      <c r="H56" s="200">
        <f t="shared" si="24"/>
        <v>923.67069130000004</v>
      </c>
      <c r="I56" s="200">
        <f t="shared" si="24"/>
        <v>912.68845199999987</v>
      </c>
      <c r="J56" s="200">
        <f t="shared" si="24"/>
        <v>1055.80663</v>
      </c>
      <c r="K56" s="200">
        <f t="shared" si="24"/>
        <v>1078.4580539999999</v>
      </c>
      <c r="L56" s="200">
        <f t="shared" si="24"/>
        <v>1037.0436179999999</v>
      </c>
      <c r="M56" s="200">
        <f t="shared" si="24"/>
        <v>1037.0436179999999</v>
      </c>
      <c r="N56" s="200">
        <f t="shared" si="24"/>
        <v>1338</v>
      </c>
      <c r="O56" s="200">
        <f t="shared" si="24"/>
        <v>1427</v>
      </c>
      <c r="P56" s="200">
        <f t="shared" si="24"/>
        <v>1458</v>
      </c>
      <c r="Q56" s="200">
        <f t="shared" si="24"/>
        <v>1478</v>
      </c>
      <c r="R56" s="200">
        <f t="shared" si="24"/>
        <v>1478</v>
      </c>
      <c r="S56" s="200">
        <f t="shared" si="24"/>
        <v>1564.2520028800002</v>
      </c>
      <c r="T56" s="200">
        <f t="shared" si="24"/>
        <v>1368.2005878700002</v>
      </c>
      <c r="U56" s="200">
        <f t="shared" si="24"/>
        <v>1422.20047873</v>
      </c>
      <c r="V56" s="200">
        <f t="shared" si="24"/>
        <v>1309.3051560099998</v>
      </c>
      <c r="W56" s="200">
        <f t="shared" si="24"/>
        <v>1309.3051560099998</v>
      </c>
      <c r="X56" s="200">
        <f t="shared" si="24"/>
        <v>1155.4977588900001</v>
      </c>
      <c r="Y56" s="200">
        <f t="shared" si="24"/>
        <v>1454.7086761700002</v>
      </c>
      <c r="Z56" s="200">
        <f t="shared" si="24"/>
        <v>1424.2755027499998</v>
      </c>
      <c r="AA56" s="200">
        <f t="shared" si="24"/>
        <v>1418.1025325499998</v>
      </c>
      <c r="AB56" s="200">
        <f t="shared" si="24"/>
        <v>1418.1025325499998</v>
      </c>
      <c r="AC56" s="200">
        <f t="shared" si="24"/>
        <v>1373.1860592262001</v>
      </c>
      <c r="AD56" s="200">
        <f t="shared" si="24"/>
        <v>1419.7777214471198</v>
      </c>
      <c r="AE56" s="200">
        <f t="shared" si="24"/>
        <v>1358.8825641999999</v>
      </c>
      <c r="AF56" s="84"/>
      <c r="AG56" s="182"/>
      <c r="AH56" s="161"/>
      <c r="AI56" s="161"/>
      <c r="AJ56" s="161"/>
      <c r="AK56" s="161"/>
      <c r="AL56" s="161"/>
      <c r="AM56" s="161"/>
      <c r="AN56" s="147"/>
      <c r="AO56" s="161"/>
      <c r="AP56" s="193"/>
      <c r="AQ56" s="193"/>
      <c r="AR56" s="193"/>
      <c r="AS56" s="193"/>
      <c r="AV56" s="84"/>
      <c r="AW56" s="84"/>
      <c r="AX56" s="84"/>
      <c r="AY56" s="84"/>
      <c r="AZ56" s="84"/>
      <c r="BA56" s="84"/>
      <c r="BB56" s="84"/>
      <c r="BC56" s="84"/>
      <c r="BD56" s="84"/>
      <c r="BE56" s="84"/>
      <c r="BF56" s="84"/>
      <c r="BG56" s="84"/>
    </row>
    <row r="57" spans="1:59" ht="15.75" customHeight="1" x14ac:dyDescent="0.2">
      <c r="A57" s="147"/>
      <c r="B57" s="147"/>
      <c r="C57" s="203"/>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147"/>
      <c r="AG57" s="182"/>
      <c r="AH57" s="161"/>
      <c r="AI57" s="161"/>
      <c r="AJ57" s="161"/>
      <c r="AK57" s="161"/>
      <c r="AL57" s="161"/>
      <c r="AM57" s="161"/>
      <c r="AN57" s="147"/>
      <c r="AO57" s="161"/>
      <c r="AP57" s="193"/>
      <c r="AQ57" s="193"/>
      <c r="AR57" s="193"/>
      <c r="AS57" s="193"/>
      <c r="AV57" s="147"/>
      <c r="AW57" s="147"/>
      <c r="AX57" s="147"/>
      <c r="AY57" s="147"/>
      <c r="AZ57" s="147"/>
      <c r="BA57" s="147"/>
      <c r="BB57" s="147"/>
      <c r="BC57" s="147"/>
      <c r="BD57" s="147"/>
      <c r="BE57" s="147"/>
      <c r="BF57" s="147"/>
      <c r="BG57" s="147"/>
    </row>
    <row r="58" spans="1:59" ht="15.75" customHeight="1" x14ac:dyDescent="0.2">
      <c r="A58" s="147"/>
      <c r="B58" s="147"/>
      <c r="C58" s="204" t="s">
        <v>204</v>
      </c>
      <c r="D58" s="191">
        <f t="shared" ref="D58:AE58" si="25">D46/D45</f>
        <v>6.5101106160011968E-2</v>
      </c>
      <c r="E58" s="191">
        <f t="shared" si="25"/>
        <v>5.5390709228455154E-2</v>
      </c>
      <c r="F58" s="191">
        <f t="shared" si="25"/>
        <v>5.1671610859230582E-2</v>
      </c>
      <c r="G58" s="191">
        <f t="shared" si="25"/>
        <v>5.1308255507742845E-2</v>
      </c>
      <c r="H58" s="191">
        <f t="shared" si="25"/>
        <v>5.1308255507742845E-2</v>
      </c>
      <c r="I58" s="191">
        <f t="shared" si="25"/>
        <v>0.11984212720601362</v>
      </c>
      <c r="J58" s="191">
        <f t="shared" si="25"/>
        <v>0.21015594296813575</v>
      </c>
      <c r="K58" s="191">
        <f t="shared" si="25"/>
        <v>0.18510219877104611</v>
      </c>
      <c r="L58" s="191">
        <f t="shared" si="25"/>
        <v>0.31928125302985583</v>
      </c>
      <c r="M58" s="191">
        <f t="shared" si="25"/>
        <v>0.31928125302985583</v>
      </c>
      <c r="N58" s="191">
        <f t="shared" si="25"/>
        <v>0.30960854092526691</v>
      </c>
      <c r="O58" s="191">
        <f t="shared" si="25"/>
        <v>0.32563256325632561</v>
      </c>
      <c r="P58" s="191">
        <f t="shared" si="25"/>
        <v>0.32389096739711382</v>
      </c>
      <c r="Q58" s="191">
        <f t="shared" si="25"/>
        <v>0.35148792813026392</v>
      </c>
      <c r="R58" s="191">
        <f t="shared" si="25"/>
        <v>0.35148792813026392</v>
      </c>
      <c r="S58" s="191">
        <f t="shared" si="25"/>
        <v>0.28052110592786433</v>
      </c>
      <c r="T58" s="191">
        <f t="shared" si="25"/>
        <v>0.29658642211183289</v>
      </c>
      <c r="U58" s="191">
        <f t="shared" si="25"/>
        <v>0.28698478900883218</v>
      </c>
      <c r="V58" s="191">
        <f t="shared" si="25"/>
        <v>0.27813428401663698</v>
      </c>
      <c r="W58" s="191">
        <f t="shared" si="25"/>
        <v>0.27813428401663698</v>
      </c>
      <c r="X58" s="191">
        <f t="shared" si="25"/>
        <v>0.31496430715858298</v>
      </c>
      <c r="Y58" s="191">
        <f t="shared" si="25"/>
        <v>0.29667455473907084</v>
      </c>
      <c r="Z58" s="191">
        <f t="shared" si="25"/>
        <v>0.27910667724747762</v>
      </c>
      <c r="AA58" s="191">
        <f t="shared" si="25"/>
        <v>0.26341053763015265</v>
      </c>
      <c r="AB58" s="191">
        <f t="shared" si="25"/>
        <v>0.26341053763015265</v>
      </c>
      <c r="AC58" s="191">
        <f t="shared" si="25"/>
        <v>0.26964298887745297</v>
      </c>
      <c r="AD58" s="191">
        <f t="shared" si="25"/>
        <v>0.30637860197032241</v>
      </c>
      <c r="AE58" s="191">
        <f t="shared" si="25"/>
        <v>0.30354288025658965</v>
      </c>
      <c r="AF58" s="182"/>
      <c r="AG58" s="182"/>
      <c r="AH58" s="161"/>
      <c r="AI58" s="161"/>
      <c r="AJ58" s="161"/>
      <c r="AK58" s="161"/>
      <c r="AL58" s="161"/>
      <c r="AM58" s="161"/>
      <c r="AN58" s="147"/>
      <c r="AO58" s="161"/>
      <c r="AP58" s="193"/>
      <c r="AQ58" s="193"/>
      <c r="AR58" s="193"/>
      <c r="AS58" s="193"/>
      <c r="AV58" s="161"/>
      <c r="AW58" s="161"/>
      <c r="AX58" s="161"/>
      <c r="AY58" s="161"/>
      <c r="AZ58" s="161"/>
      <c r="BA58" s="161"/>
      <c r="BB58" s="147"/>
      <c r="BC58" s="147"/>
      <c r="BD58" s="147"/>
      <c r="BE58" s="147"/>
      <c r="BF58" s="147"/>
      <c r="BG58" s="147"/>
    </row>
    <row r="59" spans="1:59" ht="15.75" customHeight="1" x14ac:dyDescent="0.2">
      <c r="A59" s="147"/>
      <c r="B59" s="147"/>
      <c r="C59" s="205" t="s">
        <v>205</v>
      </c>
      <c r="D59" s="191">
        <f t="shared" ref="D59:AE59" si="26">D47/D45</f>
        <v>0.93489889383998814</v>
      </c>
      <c r="E59" s="191">
        <f t="shared" si="26"/>
        <v>0.94460929077154487</v>
      </c>
      <c r="F59" s="191">
        <f t="shared" si="26"/>
        <v>0.94832838914076933</v>
      </c>
      <c r="G59" s="191">
        <f t="shared" si="26"/>
        <v>0.94869174449225724</v>
      </c>
      <c r="H59" s="191">
        <f t="shared" si="26"/>
        <v>0.94869174449225724</v>
      </c>
      <c r="I59" s="191">
        <f t="shared" si="26"/>
        <v>0.88015787279398638</v>
      </c>
      <c r="J59" s="191">
        <f t="shared" si="26"/>
        <v>0.78984405703186422</v>
      </c>
      <c r="K59" s="191">
        <f t="shared" si="26"/>
        <v>0.81489780122895394</v>
      </c>
      <c r="L59" s="191">
        <f t="shared" si="26"/>
        <v>0.68071874697014423</v>
      </c>
      <c r="M59" s="191">
        <f t="shared" si="26"/>
        <v>0.68071874697014423</v>
      </c>
      <c r="N59" s="191">
        <f t="shared" si="26"/>
        <v>0.69039145907473309</v>
      </c>
      <c r="O59" s="191">
        <f t="shared" si="26"/>
        <v>0.67436743674367439</v>
      </c>
      <c r="P59" s="191">
        <f t="shared" si="26"/>
        <v>0.67610903260288613</v>
      </c>
      <c r="Q59" s="191">
        <f t="shared" si="26"/>
        <v>0.64851207186973614</v>
      </c>
      <c r="R59" s="191">
        <f t="shared" si="26"/>
        <v>0.64851207186973614</v>
      </c>
      <c r="S59" s="191">
        <f t="shared" si="26"/>
        <v>0.71947889407213561</v>
      </c>
      <c r="T59" s="191">
        <f t="shared" si="26"/>
        <v>0.70341357788816705</v>
      </c>
      <c r="U59" s="191">
        <f t="shared" si="26"/>
        <v>0.71301521099116782</v>
      </c>
      <c r="V59" s="191">
        <f t="shared" si="26"/>
        <v>0.72186571598336313</v>
      </c>
      <c r="W59" s="191">
        <f t="shared" si="26"/>
        <v>0.72186571598336313</v>
      </c>
      <c r="X59" s="191">
        <f t="shared" si="26"/>
        <v>0.68503569284141697</v>
      </c>
      <c r="Y59" s="191">
        <f t="shared" si="26"/>
        <v>0.70332544526092911</v>
      </c>
      <c r="Z59" s="191">
        <f t="shared" si="26"/>
        <v>0.72089332275252249</v>
      </c>
      <c r="AA59" s="191">
        <f t="shared" si="26"/>
        <v>0.73658946236984746</v>
      </c>
      <c r="AB59" s="191">
        <f t="shared" si="26"/>
        <v>0.73658946236984746</v>
      </c>
      <c r="AC59" s="191">
        <f t="shared" si="26"/>
        <v>0.73035701112254703</v>
      </c>
      <c r="AD59" s="191">
        <f t="shared" si="26"/>
        <v>0.69362139802967759</v>
      </c>
      <c r="AE59" s="191">
        <f t="shared" si="26"/>
        <v>0.6964571197434104</v>
      </c>
      <c r="AF59" s="182"/>
      <c r="AG59" s="182"/>
      <c r="AH59" s="161"/>
      <c r="AI59" s="161"/>
      <c r="AJ59" s="161"/>
      <c r="AK59" s="161"/>
      <c r="AL59" s="161"/>
      <c r="AM59" s="161"/>
      <c r="AN59" s="147"/>
      <c r="AO59" s="161"/>
      <c r="AP59" s="193"/>
      <c r="AQ59" s="193"/>
      <c r="AR59" s="193"/>
      <c r="AS59" s="193"/>
      <c r="AV59" s="161"/>
      <c r="AW59" s="161"/>
      <c r="AX59" s="161"/>
      <c r="AY59" s="161"/>
      <c r="AZ59" s="161"/>
      <c r="BA59" s="161"/>
      <c r="BB59" s="147"/>
      <c r="BC59" s="147"/>
      <c r="BD59" s="147"/>
      <c r="BE59" s="147"/>
      <c r="BF59" s="147"/>
      <c r="BG59" s="147"/>
    </row>
    <row r="60" spans="1:59" ht="15.75" customHeight="1" x14ac:dyDescent="0.2">
      <c r="A60" s="147"/>
      <c r="B60" s="147"/>
      <c r="C60" s="55" t="s">
        <v>193</v>
      </c>
      <c r="D60" s="187"/>
      <c r="E60" s="187"/>
      <c r="F60" s="187"/>
      <c r="G60" s="187"/>
      <c r="H60" s="187"/>
      <c r="I60" s="187"/>
      <c r="J60" s="187"/>
      <c r="K60" s="187"/>
      <c r="L60" s="187"/>
      <c r="M60" s="187"/>
      <c r="N60" s="187"/>
      <c r="O60" s="187"/>
      <c r="P60" s="187"/>
      <c r="Q60" s="187"/>
      <c r="R60" s="188"/>
      <c r="S60" s="187"/>
      <c r="T60" s="187"/>
      <c r="U60" s="187"/>
      <c r="V60" s="187"/>
      <c r="W60" s="187"/>
      <c r="X60" s="187"/>
      <c r="Y60" s="187"/>
      <c r="Z60" s="187"/>
      <c r="AA60" s="187"/>
      <c r="AB60" s="187"/>
      <c r="AC60" s="187"/>
      <c r="AD60" s="187"/>
      <c r="AE60" s="187"/>
      <c r="AF60" s="161"/>
      <c r="AG60" s="182"/>
      <c r="AH60" s="161"/>
      <c r="AI60" s="161"/>
      <c r="AJ60" s="161"/>
      <c r="AK60" s="161"/>
      <c r="AL60" s="161"/>
      <c r="AM60" s="161"/>
      <c r="AN60" s="147"/>
      <c r="AO60" s="161"/>
      <c r="AP60" s="193"/>
      <c r="AQ60" s="193"/>
      <c r="AR60" s="193"/>
      <c r="AS60" s="193"/>
      <c r="AV60" s="147"/>
      <c r="AW60" s="147"/>
      <c r="AX60" s="147"/>
      <c r="AY60" s="147"/>
      <c r="AZ60" s="147"/>
      <c r="BA60" s="147"/>
      <c r="BB60" s="147"/>
      <c r="BC60" s="147"/>
      <c r="BD60" s="147"/>
      <c r="BE60" s="147"/>
      <c r="BF60" s="147"/>
      <c r="BG60" s="147"/>
    </row>
    <row r="61" spans="1:59" ht="15.75" customHeight="1" x14ac:dyDescent="0.2">
      <c r="A61" s="147"/>
      <c r="B61" s="147"/>
      <c r="C61" s="55"/>
      <c r="D61" s="187"/>
      <c r="E61" s="187"/>
      <c r="F61" s="187"/>
      <c r="G61" s="187"/>
      <c r="H61" s="187"/>
      <c r="I61" s="187"/>
      <c r="J61" s="187"/>
      <c r="K61" s="187"/>
      <c r="L61" s="187"/>
      <c r="M61" s="187"/>
      <c r="N61" s="187"/>
      <c r="O61" s="187"/>
      <c r="P61" s="187"/>
      <c r="Q61" s="187"/>
      <c r="R61" s="188"/>
      <c r="S61" s="187"/>
      <c r="T61" s="187"/>
      <c r="U61" s="187"/>
      <c r="V61" s="187"/>
      <c r="W61" s="187"/>
      <c r="X61" s="187"/>
      <c r="Y61" s="187"/>
      <c r="Z61" s="187"/>
      <c r="AA61" s="187"/>
      <c r="AB61" s="187"/>
      <c r="AC61" s="187"/>
      <c r="AD61" s="187"/>
      <c r="AE61" s="187"/>
      <c r="AF61" s="161"/>
      <c r="AG61" s="182"/>
      <c r="AH61" s="161"/>
      <c r="AI61" s="161"/>
      <c r="AJ61" s="161"/>
      <c r="AK61" s="161"/>
      <c r="AL61" s="161"/>
      <c r="AM61" s="161"/>
      <c r="AN61" s="84"/>
      <c r="AO61" s="161"/>
      <c r="AP61" s="193"/>
      <c r="AQ61" s="193"/>
      <c r="AR61" s="193"/>
      <c r="AS61" s="193"/>
      <c r="AV61" s="147"/>
      <c r="AW61" s="147"/>
      <c r="AX61" s="147"/>
      <c r="AY61" s="147"/>
      <c r="AZ61" s="147"/>
      <c r="BA61" s="147"/>
      <c r="BB61" s="147"/>
      <c r="BC61" s="147"/>
      <c r="BD61" s="147"/>
      <c r="BE61" s="147"/>
      <c r="BF61" s="147"/>
      <c r="BG61" s="147"/>
    </row>
    <row r="62" spans="1:59" ht="15.75" customHeight="1" x14ac:dyDescent="0.2">
      <c r="A62" s="152"/>
      <c r="B62" s="154" t="s">
        <v>206</v>
      </c>
      <c r="C62" s="154"/>
      <c r="D62" s="158" t="s">
        <v>98</v>
      </c>
      <c r="E62" s="158" t="s">
        <v>99</v>
      </c>
      <c r="F62" s="158" t="s">
        <v>100</v>
      </c>
      <c r="G62" s="158" t="s">
        <v>101</v>
      </c>
      <c r="H62" s="159">
        <v>2018</v>
      </c>
      <c r="I62" s="158" t="s">
        <v>102</v>
      </c>
      <c r="J62" s="158" t="s">
        <v>103</v>
      </c>
      <c r="K62" s="158" t="s">
        <v>104</v>
      </c>
      <c r="L62" s="158" t="s">
        <v>105</v>
      </c>
      <c r="M62" s="159">
        <v>2019</v>
      </c>
      <c r="N62" s="158" t="s">
        <v>158</v>
      </c>
      <c r="O62" s="158" t="s">
        <v>107</v>
      </c>
      <c r="P62" s="158" t="s">
        <v>108</v>
      </c>
      <c r="Q62" s="158" t="s">
        <v>109</v>
      </c>
      <c r="R62" s="159">
        <v>2020</v>
      </c>
      <c r="S62" s="158" t="s">
        <v>110</v>
      </c>
      <c r="T62" s="158" t="s">
        <v>111</v>
      </c>
      <c r="U62" s="158" t="s">
        <v>112</v>
      </c>
      <c r="V62" s="158" t="s">
        <v>113</v>
      </c>
      <c r="W62" s="159">
        <v>2021</v>
      </c>
      <c r="X62" s="158" t="s">
        <v>114</v>
      </c>
      <c r="Y62" s="158" t="s">
        <v>115</v>
      </c>
      <c r="Z62" s="158" t="str">
        <f>$Z$4</f>
        <v>3Q22</v>
      </c>
      <c r="AA62" s="158" t="str">
        <f>$AA$4</f>
        <v>4Q22</v>
      </c>
      <c r="AB62" s="160">
        <v>2022</v>
      </c>
      <c r="AC62" s="158" t="str">
        <f>$AC$4</f>
        <v>1Q23</v>
      </c>
      <c r="AD62" s="158" t="str">
        <f t="shared" ref="AD62:AE62" si="27">AD$4</f>
        <v>2Q23</v>
      </c>
      <c r="AE62" s="158" t="str">
        <f t="shared" si="27"/>
        <v>3Q23</v>
      </c>
      <c r="AF62" s="161"/>
      <c r="AG62" s="182"/>
      <c r="AH62" s="161"/>
      <c r="AI62" s="161"/>
      <c r="AJ62" s="161"/>
      <c r="AK62" s="161"/>
      <c r="AL62" s="161"/>
      <c r="AM62" s="161"/>
      <c r="AN62" s="147"/>
      <c r="AO62" s="161"/>
      <c r="AP62" s="193"/>
      <c r="AQ62" s="193"/>
      <c r="AR62" s="193"/>
      <c r="AS62" s="193"/>
      <c r="AV62" s="147"/>
      <c r="AW62" s="147"/>
      <c r="AX62" s="147"/>
      <c r="AY62" s="147"/>
      <c r="AZ62" s="147"/>
      <c r="BA62" s="147"/>
      <c r="BB62" s="147"/>
      <c r="BC62" s="147"/>
      <c r="BD62" s="147"/>
      <c r="BE62" s="147"/>
      <c r="BF62" s="147"/>
      <c r="BG62" s="147"/>
    </row>
    <row r="63" spans="1:59" ht="15.75" customHeight="1" x14ac:dyDescent="0.2">
      <c r="A63" s="189"/>
      <c r="B63" s="189"/>
      <c r="C63" s="190" t="s">
        <v>19</v>
      </c>
      <c r="D63" s="172">
        <v>151.97450458</v>
      </c>
      <c r="E63" s="172">
        <v>153.19945621000002</v>
      </c>
      <c r="F63" s="172">
        <v>191.01373483999998</v>
      </c>
      <c r="G63" s="172">
        <v>172.20713972000001</v>
      </c>
      <c r="H63" s="172">
        <v>668.39483534999999</v>
      </c>
      <c r="I63" s="172">
        <v>153.84225132999998</v>
      </c>
      <c r="J63" s="172">
        <v>155.97213138000001</v>
      </c>
      <c r="K63" s="172">
        <v>176.74051168999998</v>
      </c>
      <c r="L63" s="172">
        <v>175.81800849999999</v>
      </c>
      <c r="M63" s="172">
        <v>662.37290289999999</v>
      </c>
      <c r="N63" s="172">
        <v>165.3387156</v>
      </c>
      <c r="O63" s="172">
        <v>163.14163761999998</v>
      </c>
      <c r="P63" s="172">
        <v>174.55115107000003</v>
      </c>
      <c r="Q63" s="172">
        <v>174.40237180999998</v>
      </c>
      <c r="R63" s="172">
        <v>677.43387609999991</v>
      </c>
      <c r="S63" s="172">
        <v>184.77308292000001</v>
      </c>
      <c r="T63" s="172">
        <v>188.53314716000003</v>
      </c>
      <c r="U63" s="172">
        <v>191.25522752000001</v>
      </c>
      <c r="V63" s="172">
        <v>200.19993855000001</v>
      </c>
      <c r="W63" s="172">
        <f t="shared" ref="W63:W69" si="28">SUM(S63:V63)</f>
        <v>764.76139615000011</v>
      </c>
      <c r="X63" s="172">
        <v>182.04084226000001</v>
      </c>
      <c r="Y63" s="172">
        <v>187.52040664</v>
      </c>
      <c r="Z63" s="172">
        <v>198.95549410000001</v>
      </c>
      <c r="AA63" s="172">
        <v>198.62861572</v>
      </c>
      <c r="AB63" s="172">
        <f t="shared" ref="AB63:AB69" si="29">SUM(X63:AA63)</f>
        <v>767.14535871999999</v>
      </c>
      <c r="AC63" s="172">
        <v>191.48986177</v>
      </c>
      <c r="AD63" s="172">
        <v>199.85939142000001</v>
      </c>
      <c r="AE63" s="172">
        <v>220.34725789000001</v>
      </c>
      <c r="AF63" s="161"/>
      <c r="AG63" s="182"/>
      <c r="AH63" s="161"/>
      <c r="AI63" s="161"/>
      <c r="AJ63" s="161"/>
      <c r="AK63" s="161"/>
      <c r="AL63" s="161"/>
      <c r="AM63" s="161"/>
      <c r="AN63" s="147"/>
      <c r="AO63" s="161"/>
      <c r="AP63" s="193"/>
      <c r="AQ63" s="193"/>
      <c r="AR63" s="193"/>
      <c r="AS63" s="193"/>
      <c r="AT63" s="147"/>
      <c r="AU63" s="147"/>
      <c r="AV63" s="147"/>
      <c r="AW63" s="147"/>
      <c r="AX63" s="147"/>
      <c r="AY63" s="147"/>
      <c r="AZ63" s="147"/>
      <c r="BA63" s="147"/>
      <c r="BB63" s="147"/>
      <c r="BC63" s="147"/>
      <c r="BD63" s="147"/>
      <c r="BE63" s="147"/>
      <c r="BF63" s="147"/>
      <c r="BG63" s="147"/>
    </row>
    <row r="64" spans="1:59" ht="15.75" customHeight="1" x14ac:dyDescent="0.2">
      <c r="A64" s="189"/>
      <c r="B64" s="189"/>
      <c r="C64" s="190" t="s">
        <v>27</v>
      </c>
      <c r="D64" s="172">
        <v>17.037530830000001</v>
      </c>
      <c r="E64" s="172">
        <v>19.618133219999997</v>
      </c>
      <c r="F64" s="172">
        <v>20.516277439999996</v>
      </c>
      <c r="G64" s="172">
        <v>18.723955759999999</v>
      </c>
      <c r="H64" s="172">
        <v>75.89589724999999</v>
      </c>
      <c r="I64" s="172">
        <v>19.935042360000001</v>
      </c>
      <c r="J64" s="172">
        <v>24.29726582</v>
      </c>
      <c r="K64" s="172">
        <v>16.690395429999999</v>
      </c>
      <c r="L64" s="172">
        <v>15.021225900000001</v>
      </c>
      <c r="M64" s="172">
        <v>75.943929510000004</v>
      </c>
      <c r="N64" s="172">
        <v>10.329553080000002</v>
      </c>
      <c r="O64" s="172">
        <v>11.880921310000002</v>
      </c>
      <c r="P64" s="172">
        <v>10.68923274</v>
      </c>
      <c r="Q64" s="172">
        <v>8.2146191199999983</v>
      </c>
      <c r="R64" s="172">
        <v>41.114326250000005</v>
      </c>
      <c r="S64" s="172">
        <v>8.0606307299999997</v>
      </c>
      <c r="T64" s="172">
        <v>9.0403167699999987</v>
      </c>
      <c r="U64" s="172">
        <v>9.6838037899999989</v>
      </c>
      <c r="V64" s="172">
        <v>12.290429880000001</v>
      </c>
      <c r="W64" s="172">
        <f t="shared" si="28"/>
        <v>39.075181169999993</v>
      </c>
      <c r="X64" s="172">
        <v>11.50298972</v>
      </c>
      <c r="Y64" s="172">
        <v>11.30552451</v>
      </c>
      <c r="Z64" s="172">
        <v>14.824233939999999</v>
      </c>
      <c r="AA64" s="172">
        <v>17.27783779</v>
      </c>
      <c r="AB64" s="172">
        <f t="shared" si="29"/>
        <v>54.910585959999999</v>
      </c>
      <c r="AC64" s="172">
        <v>22.054679780000001</v>
      </c>
      <c r="AD64" s="172">
        <v>20.168473210000002</v>
      </c>
      <c r="AE64" s="172">
        <v>20.952178910000001</v>
      </c>
      <c r="AF64" s="161"/>
      <c r="AG64" s="182"/>
      <c r="AH64" s="161"/>
      <c r="AI64" s="161"/>
      <c r="AJ64" s="161"/>
      <c r="AK64" s="161"/>
      <c r="AL64" s="161"/>
      <c r="AM64" s="161"/>
      <c r="AN64" s="147"/>
      <c r="AO64" s="161"/>
      <c r="AP64" s="193"/>
      <c r="AQ64" s="193"/>
      <c r="AR64" s="193"/>
      <c r="AS64" s="193"/>
      <c r="AT64" s="147"/>
      <c r="AU64" s="147"/>
      <c r="AV64" s="147"/>
      <c r="AW64" s="147"/>
      <c r="AX64" s="147"/>
      <c r="AY64" s="147"/>
      <c r="AZ64" s="147"/>
      <c r="BA64" s="147"/>
      <c r="BB64" s="147"/>
      <c r="BC64" s="147"/>
      <c r="BD64" s="147"/>
      <c r="BE64" s="147"/>
      <c r="BF64" s="147"/>
      <c r="BG64" s="147"/>
    </row>
    <row r="65" spans="1:59" ht="15.75" customHeight="1" x14ac:dyDescent="0.2">
      <c r="A65" s="189"/>
      <c r="B65" s="189"/>
      <c r="C65" s="190" t="s">
        <v>21</v>
      </c>
      <c r="D65" s="172">
        <v>48.503792289999993</v>
      </c>
      <c r="E65" s="172">
        <v>49.893319379999895</v>
      </c>
      <c r="F65" s="172">
        <v>55.431284790000007</v>
      </c>
      <c r="G65" s="172">
        <v>53.696582599999999</v>
      </c>
      <c r="H65" s="172">
        <v>207.52497905999991</v>
      </c>
      <c r="I65" s="172">
        <v>53.571234140000001</v>
      </c>
      <c r="J65" s="172">
        <v>44.924755000000005</v>
      </c>
      <c r="K65" s="172">
        <v>43.741632729999999</v>
      </c>
      <c r="L65" s="172">
        <v>36.99686294</v>
      </c>
      <c r="M65" s="172">
        <v>179.23448481</v>
      </c>
      <c r="N65" s="172">
        <v>35.860346589999999</v>
      </c>
      <c r="O65" s="172">
        <v>35.954452400000008</v>
      </c>
      <c r="P65" s="172">
        <v>38.735448430000005</v>
      </c>
      <c r="Q65" s="172">
        <v>35.816100519999999</v>
      </c>
      <c r="R65" s="172">
        <v>146.36634794</v>
      </c>
      <c r="S65" s="172">
        <v>42.738869659999999</v>
      </c>
      <c r="T65" s="172">
        <v>43.355555379999998</v>
      </c>
      <c r="U65" s="172">
        <v>48.40839854</v>
      </c>
      <c r="V65" s="172">
        <v>55.149600739999997</v>
      </c>
      <c r="W65" s="172">
        <f t="shared" si="28"/>
        <v>189.65242432000002</v>
      </c>
      <c r="X65" s="172">
        <v>63.093221849999999</v>
      </c>
      <c r="Y65" s="172">
        <v>59.536147110000002</v>
      </c>
      <c r="Z65" s="172">
        <v>66.128867299999996</v>
      </c>
      <c r="AA65" s="172">
        <v>56.383663859999999</v>
      </c>
      <c r="AB65" s="172">
        <f t="shared" si="29"/>
        <v>245.14190012</v>
      </c>
      <c r="AC65" s="172">
        <v>53.988480410000001</v>
      </c>
      <c r="AD65" s="172">
        <v>47.349696170000001</v>
      </c>
      <c r="AE65" s="172">
        <v>39.46109672</v>
      </c>
      <c r="AF65" s="161"/>
      <c r="AG65" s="182"/>
      <c r="AH65" s="161"/>
      <c r="AI65" s="161"/>
      <c r="AJ65" s="161"/>
      <c r="AK65" s="161"/>
      <c r="AL65" s="161"/>
      <c r="AM65" s="161"/>
      <c r="AN65" s="147"/>
      <c r="AO65" s="161"/>
      <c r="AP65" s="193"/>
      <c r="AQ65" s="193"/>
      <c r="AR65" s="193"/>
      <c r="AS65" s="193"/>
      <c r="AT65" s="147"/>
      <c r="AU65" s="147"/>
      <c r="AV65" s="147"/>
      <c r="AW65" s="147"/>
      <c r="AX65" s="147"/>
      <c r="AY65" s="147"/>
      <c r="AZ65" s="147"/>
      <c r="BA65" s="147"/>
      <c r="BB65" s="147"/>
      <c r="BC65" s="147"/>
      <c r="BD65" s="147"/>
      <c r="BE65" s="147"/>
      <c r="BF65" s="147"/>
      <c r="BG65" s="147"/>
    </row>
    <row r="66" spans="1:59" ht="15.75" customHeight="1" x14ac:dyDescent="0.2">
      <c r="A66" s="189"/>
      <c r="B66" s="189"/>
      <c r="C66" s="190" t="s">
        <v>207</v>
      </c>
      <c r="D66" s="172">
        <v>140.14951191</v>
      </c>
      <c r="E66" s="172">
        <v>155.63561142499901</v>
      </c>
      <c r="F66" s="172">
        <v>161.217129725001</v>
      </c>
      <c r="G66" s="172">
        <v>146.40601980000002</v>
      </c>
      <c r="H66" s="172">
        <v>603.40827286000012</v>
      </c>
      <c r="I66" s="172">
        <v>137.32483081999999</v>
      </c>
      <c r="J66" s="172">
        <v>147.71722498</v>
      </c>
      <c r="K66" s="172">
        <v>170.12914581000001</v>
      </c>
      <c r="L66" s="172">
        <v>175.50664115999999</v>
      </c>
      <c r="M66" s="172">
        <v>630.67784276999998</v>
      </c>
      <c r="N66" s="172">
        <v>182.49637001999994</v>
      </c>
      <c r="O66" s="172">
        <v>223.23219498000003</v>
      </c>
      <c r="P66" s="172">
        <v>237.36360369500005</v>
      </c>
      <c r="Q66" s="172">
        <v>254.36940173000085</v>
      </c>
      <c r="R66" s="172">
        <v>897.46157042999994</v>
      </c>
      <c r="S66" s="172">
        <v>246.49407238999999</v>
      </c>
      <c r="T66" s="172">
        <v>253.71552022</v>
      </c>
      <c r="U66" s="172">
        <v>278.21157765999999</v>
      </c>
      <c r="V66" s="172">
        <v>295.66862048000002</v>
      </c>
      <c r="W66" s="172">
        <f t="shared" si="28"/>
        <v>1074.08979075</v>
      </c>
      <c r="X66" s="172">
        <v>253.63604058000001</v>
      </c>
      <c r="Y66" s="172">
        <v>262.25176262999997</v>
      </c>
      <c r="Z66" s="172">
        <v>319.40650749000002</v>
      </c>
      <c r="AA66" s="172">
        <v>295.25051318999999</v>
      </c>
      <c r="AB66" s="172">
        <f t="shared" si="29"/>
        <v>1130.5448238900001</v>
      </c>
      <c r="AC66" s="172">
        <v>276.28321460000001</v>
      </c>
      <c r="AD66" s="172">
        <v>304.26549485999999</v>
      </c>
      <c r="AE66" s="172">
        <v>324.28810883</v>
      </c>
      <c r="AF66" s="161"/>
      <c r="AG66" s="182"/>
      <c r="AH66" s="161"/>
      <c r="AI66" s="161"/>
      <c r="AJ66" s="161"/>
      <c r="AK66" s="161"/>
      <c r="AL66" s="161"/>
      <c r="AM66" s="161"/>
      <c r="AN66" s="147"/>
      <c r="AO66" s="161"/>
      <c r="AP66" s="193"/>
      <c r="AQ66" s="193"/>
      <c r="AR66" s="193"/>
      <c r="AS66" s="193"/>
      <c r="AT66" s="147"/>
      <c r="AU66" s="147"/>
      <c r="AV66" s="147"/>
      <c r="AW66" s="147"/>
      <c r="AX66" s="147"/>
      <c r="AY66" s="147"/>
      <c r="AZ66" s="147"/>
      <c r="BA66" s="147"/>
      <c r="BB66" s="147"/>
      <c r="BC66" s="147"/>
      <c r="BD66" s="147"/>
      <c r="BE66" s="147"/>
      <c r="BF66" s="147"/>
      <c r="BG66" s="147"/>
    </row>
    <row r="67" spans="1:59" ht="15.75" customHeight="1" x14ac:dyDescent="0.2">
      <c r="A67" s="189"/>
      <c r="B67" s="189"/>
      <c r="C67" s="190" t="s">
        <v>25</v>
      </c>
      <c r="D67" s="172">
        <v>7.6539371999999997</v>
      </c>
      <c r="E67" s="172">
        <v>9.3383706400000186</v>
      </c>
      <c r="F67" s="172">
        <v>9.8674366299999807</v>
      </c>
      <c r="G67" s="172">
        <v>9.4734990700000701</v>
      </c>
      <c r="H67" s="172">
        <v>36.333243540000069</v>
      </c>
      <c r="I67" s="172">
        <v>8.1110761199999999</v>
      </c>
      <c r="J67" s="172">
        <v>8.5174733499999995</v>
      </c>
      <c r="K67" s="172">
        <v>10.354238430000001</v>
      </c>
      <c r="L67" s="172">
        <v>9.5039064700000004</v>
      </c>
      <c r="M67" s="172">
        <v>36.486694369999995</v>
      </c>
      <c r="N67" s="172">
        <v>9.4110153499999996</v>
      </c>
      <c r="O67" s="172">
        <v>10.22864742000001</v>
      </c>
      <c r="P67" s="172">
        <v>10.665170029999999</v>
      </c>
      <c r="Q67" s="172">
        <v>11.487471029999988</v>
      </c>
      <c r="R67" s="172">
        <v>41.792303830000002</v>
      </c>
      <c r="S67" s="172">
        <v>11.387311279999999</v>
      </c>
      <c r="T67" s="172">
        <v>11.49110303</v>
      </c>
      <c r="U67" s="172">
        <v>11.85329567</v>
      </c>
      <c r="V67" s="172">
        <v>12.60479204</v>
      </c>
      <c r="W67" s="172">
        <f t="shared" si="28"/>
        <v>47.336502019999998</v>
      </c>
      <c r="X67" s="172">
        <v>11.91382134</v>
      </c>
      <c r="Y67" s="172">
        <v>11.110177719999999</v>
      </c>
      <c r="Z67" s="172">
        <v>13.98906994</v>
      </c>
      <c r="AA67" s="172">
        <v>14.12708271</v>
      </c>
      <c r="AB67" s="172">
        <f t="shared" si="29"/>
        <v>51.140151709999998</v>
      </c>
      <c r="AC67" s="172">
        <v>13.904463509999999</v>
      </c>
      <c r="AD67" s="172">
        <v>12.644874060000001</v>
      </c>
      <c r="AE67" s="172">
        <v>13.05355424</v>
      </c>
      <c r="AF67" s="161"/>
      <c r="AG67" s="182"/>
      <c r="AH67" s="161"/>
      <c r="AI67" s="161"/>
      <c r="AJ67" s="161"/>
      <c r="AK67" s="161"/>
      <c r="AL67" s="161"/>
      <c r="AM67" s="161"/>
      <c r="AN67" s="147"/>
      <c r="AO67" s="161"/>
      <c r="AP67" s="193"/>
      <c r="AQ67" s="193"/>
      <c r="AR67" s="193"/>
      <c r="AS67" s="193"/>
      <c r="AT67" s="147"/>
      <c r="AU67" s="147"/>
      <c r="AV67" s="147"/>
      <c r="AW67" s="147"/>
      <c r="AX67" s="147"/>
      <c r="AY67" s="147"/>
      <c r="AZ67" s="147"/>
      <c r="BA67" s="147"/>
      <c r="BB67" s="147"/>
      <c r="BC67" s="147"/>
      <c r="BD67" s="147"/>
      <c r="BE67" s="147"/>
      <c r="BF67" s="147"/>
      <c r="BG67" s="147"/>
    </row>
    <row r="68" spans="1:59" ht="15.75" customHeight="1" x14ac:dyDescent="0.2">
      <c r="A68" s="189"/>
      <c r="B68" s="189"/>
      <c r="C68" s="190" t="s">
        <v>29</v>
      </c>
      <c r="D68" s="172">
        <v>21.962528239999997</v>
      </c>
      <c r="E68" s="172">
        <v>29.017377740000001</v>
      </c>
      <c r="F68" s="172">
        <v>12.654127890000201</v>
      </c>
      <c r="G68" s="172">
        <v>22.277691660000201</v>
      </c>
      <c r="H68" s="172">
        <v>85.911725530000396</v>
      </c>
      <c r="I68" s="172">
        <v>6.0613707199999993</v>
      </c>
      <c r="J68" s="172">
        <v>5.5312901200000004</v>
      </c>
      <c r="K68" s="172">
        <v>3.6937262099999999</v>
      </c>
      <c r="L68" s="172">
        <v>2.22361108</v>
      </c>
      <c r="M68" s="172">
        <v>17.50999813</v>
      </c>
      <c r="N68" s="172">
        <v>2.9516470348640027</v>
      </c>
      <c r="O68" s="172">
        <v>2.8979514092720273</v>
      </c>
      <c r="P68" s="172">
        <v>2.0964466788140101</v>
      </c>
      <c r="Q68" s="172">
        <v>3.4876790221640217</v>
      </c>
      <c r="R68" s="172">
        <v>11.39165465</v>
      </c>
      <c r="S68" s="172">
        <v>13.631755929999999</v>
      </c>
      <c r="T68" s="172">
        <v>3.8623366299999997</v>
      </c>
      <c r="U68" s="172">
        <v>4.5141950999999993</v>
      </c>
      <c r="V68" s="172">
        <v>1.7912096799999999</v>
      </c>
      <c r="W68" s="172">
        <f t="shared" si="28"/>
        <v>23.799497339999999</v>
      </c>
      <c r="X68" s="172">
        <v>6.9947060499999996</v>
      </c>
      <c r="Y68" s="172">
        <v>7.9650631900000004</v>
      </c>
      <c r="Z68" s="172">
        <v>5.81546669</v>
      </c>
      <c r="AA68" s="172">
        <v>2.31867723</v>
      </c>
      <c r="AB68" s="172">
        <f t="shared" si="29"/>
        <v>23.09391316</v>
      </c>
      <c r="AC68" s="172">
        <v>9.4493188799999999</v>
      </c>
      <c r="AD68" s="172">
        <v>9.7402651700000291</v>
      </c>
      <c r="AE68" s="172">
        <v>3.0583161799999998</v>
      </c>
      <c r="AF68" s="161"/>
      <c r="AG68" s="182"/>
      <c r="AH68" s="161"/>
      <c r="AI68" s="161"/>
      <c r="AJ68" s="161"/>
      <c r="AK68" s="161"/>
      <c r="AL68" s="161"/>
      <c r="AM68" s="161"/>
      <c r="AN68" s="193"/>
      <c r="AO68" s="161"/>
      <c r="AP68" s="193"/>
      <c r="AQ68" s="193"/>
      <c r="AR68" s="193"/>
      <c r="AS68" s="193"/>
      <c r="AT68" s="147"/>
      <c r="AU68" s="147"/>
      <c r="AV68" s="147"/>
      <c r="AW68" s="147"/>
      <c r="AX68" s="147"/>
      <c r="AY68" s="147"/>
      <c r="AZ68" s="147"/>
      <c r="BA68" s="147"/>
      <c r="BB68" s="147"/>
      <c r="BC68" s="147"/>
      <c r="BD68" s="147"/>
      <c r="BE68" s="147"/>
      <c r="BF68" s="147"/>
      <c r="BG68" s="147"/>
    </row>
    <row r="69" spans="1:59" ht="15.75" customHeight="1" x14ac:dyDescent="0.2">
      <c r="A69" s="189"/>
      <c r="B69" s="189"/>
      <c r="C69" s="190" t="s">
        <v>208</v>
      </c>
      <c r="D69" s="172">
        <v>5.0036999999990099E-4</v>
      </c>
      <c r="E69" s="172">
        <v>-0.63202581999999996</v>
      </c>
      <c r="F69" s="172">
        <v>0.63238503000000001</v>
      </c>
      <c r="G69" s="172">
        <v>1.3000000000101901E-7</v>
      </c>
      <c r="H69" s="172">
        <v>8.5970999999997199E-4</v>
      </c>
      <c r="I69" s="172">
        <v>2E-8</v>
      </c>
      <c r="J69" s="172">
        <v>8.9999999999999999E-8</v>
      </c>
      <c r="K69" s="172">
        <v>-4.2199999999999994E-6</v>
      </c>
      <c r="L69" s="172">
        <v>4.1799999999999998E-6</v>
      </c>
      <c r="M69" s="172">
        <v>7.0000000000000177E-8</v>
      </c>
      <c r="N69" s="172">
        <v>1.6696500000000017E-3</v>
      </c>
      <c r="O69" s="172">
        <v>-1.082570000000004E-3</v>
      </c>
      <c r="P69" s="172">
        <v>0</v>
      </c>
      <c r="Q69" s="172">
        <v>-1.0000000005176881E-7</v>
      </c>
      <c r="R69" s="172">
        <v>1.6695900000000001E-3</v>
      </c>
      <c r="S69" s="172">
        <v>0</v>
      </c>
      <c r="T69" s="172">
        <v>-5.4500000000000003E-6</v>
      </c>
      <c r="U69" s="172">
        <v>4.7429999999999998E-5</v>
      </c>
      <c r="V69" s="172">
        <v>-4.1999999999999998E-5</v>
      </c>
      <c r="W69" s="172">
        <f t="shared" si="28"/>
        <v>-1.999999999999642E-8</v>
      </c>
      <c r="X69" s="172">
        <v>3.6247250000000002E-2</v>
      </c>
      <c r="Y69" s="172">
        <v>-0.11858306</v>
      </c>
      <c r="Z69" s="172">
        <v>-4.1983279999999998E-2</v>
      </c>
      <c r="AA69" s="172">
        <v>3.9548489999999999E-2</v>
      </c>
      <c r="AB69" s="172">
        <f t="shared" si="29"/>
        <v>-8.4770600000000002E-2</v>
      </c>
      <c r="AC69" s="172">
        <v>3.0688893899999998</v>
      </c>
      <c r="AD69" s="172">
        <v>-0.49354246000000002</v>
      </c>
      <c r="AE69" s="172">
        <v>-2.5755441499999998</v>
      </c>
      <c r="AF69" s="161"/>
      <c r="AG69" s="147"/>
      <c r="AH69" s="147"/>
      <c r="AI69" s="147"/>
      <c r="AJ69" s="147"/>
      <c r="AK69" s="147"/>
      <c r="AL69" s="147"/>
      <c r="AM69" s="147"/>
      <c r="AN69" s="193"/>
      <c r="AO69" s="147"/>
      <c r="AP69" s="193"/>
      <c r="AQ69" s="193"/>
      <c r="AR69" s="193"/>
      <c r="AS69" s="193"/>
      <c r="AT69" s="147"/>
      <c r="AU69" s="147"/>
      <c r="AV69" s="147"/>
      <c r="AW69" s="147"/>
      <c r="AX69" s="147"/>
      <c r="AY69" s="147"/>
      <c r="AZ69" s="147"/>
      <c r="BA69" s="147"/>
      <c r="BB69" s="147"/>
      <c r="BC69" s="147"/>
      <c r="BD69" s="147"/>
      <c r="BE69" s="147"/>
      <c r="BF69" s="147"/>
      <c r="BG69" s="147"/>
    </row>
    <row r="70" spans="1:59" ht="15.75" customHeight="1" x14ac:dyDescent="0.2">
      <c r="A70" s="162"/>
      <c r="B70" s="162"/>
      <c r="C70" s="206" t="s">
        <v>159</v>
      </c>
      <c r="D70" s="207">
        <f t="shared" ref="D70:AE70" si="30">SUM(D63,D64,D66,D68,D67,D65,D69)</f>
        <v>387.28230541999994</v>
      </c>
      <c r="E70" s="207">
        <f t="shared" si="30"/>
        <v>416.07024279499893</v>
      </c>
      <c r="F70" s="207">
        <f t="shared" si="30"/>
        <v>451.33237634500125</v>
      </c>
      <c r="G70" s="207">
        <f t="shared" si="30"/>
        <v>422.78488874000027</v>
      </c>
      <c r="H70" s="207">
        <f t="shared" si="30"/>
        <v>1677.4698133000004</v>
      </c>
      <c r="I70" s="207">
        <f t="shared" si="30"/>
        <v>378.84580550999999</v>
      </c>
      <c r="J70" s="207">
        <f t="shared" si="30"/>
        <v>386.96014074000004</v>
      </c>
      <c r="K70" s="207">
        <f t="shared" si="30"/>
        <v>421.34964608000001</v>
      </c>
      <c r="L70" s="207">
        <f t="shared" si="30"/>
        <v>415.07026023000003</v>
      </c>
      <c r="M70" s="207">
        <f t="shared" si="30"/>
        <v>1602.2258525599996</v>
      </c>
      <c r="N70" s="207">
        <f t="shared" si="30"/>
        <v>406.38931732486395</v>
      </c>
      <c r="O70" s="207">
        <f t="shared" si="30"/>
        <v>447.334722569272</v>
      </c>
      <c r="P70" s="207">
        <f t="shared" si="30"/>
        <v>474.10105264381411</v>
      </c>
      <c r="Q70" s="207">
        <f t="shared" si="30"/>
        <v>487.77764313216483</v>
      </c>
      <c r="R70" s="207">
        <f t="shared" si="30"/>
        <v>1815.5617487899997</v>
      </c>
      <c r="S70" s="207">
        <f t="shared" si="30"/>
        <v>507.08572290999996</v>
      </c>
      <c r="T70" s="207">
        <f t="shared" si="30"/>
        <v>509.99797374000002</v>
      </c>
      <c r="U70" s="207">
        <f t="shared" si="30"/>
        <v>543.92654571000003</v>
      </c>
      <c r="V70" s="207">
        <f t="shared" si="30"/>
        <v>577.70454937</v>
      </c>
      <c r="W70" s="207">
        <f t="shared" si="30"/>
        <v>2138.7147917300003</v>
      </c>
      <c r="X70" s="207">
        <f t="shared" si="30"/>
        <v>529.21786904999999</v>
      </c>
      <c r="Y70" s="207">
        <f t="shared" si="30"/>
        <v>539.57049874000006</v>
      </c>
      <c r="Z70" s="207">
        <f t="shared" si="30"/>
        <v>619.07765618000008</v>
      </c>
      <c r="AA70" s="207">
        <f t="shared" si="30"/>
        <v>584.02593898999999</v>
      </c>
      <c r="AB70" s="207">
        <f t="shared" si="30"/>
        <v>2271.8919629600005</v>
      </c>
      <c r="AC70" s="207">
        <f t="shared" si="30"/>
        <v>570.23890833999997</v>
      </c>
      <c r="AD70" s="207">
        <f t="shared" si="30"/>
        <v>593.53465243000016</v>
      </c>
      <c r="AE70" s="207">
        <f t="shared" si="30"/>
        <v>618.58496862000004</v>
      </c>
      <c r="AF70" s="208"/>
      <c r="AG70" s="209"/>
      <c r="AH70" s="209"/>
      <c r="AI70" s="209"/>
      <c r="AJ70" s="209"/>
      <c r="AK70" s="209"/>
      <c r="AL70" s="209"/>
      <c r="AM70" s="209"/>
      <c r="AN70" s="193"/>
      <c r="AO70" s="209"/>
      <c r="AP70" s="193"/>
      <c r="AQ70" s="193"/>
      <c r="AR70" s="193"/>
      <c r="AS70" s="193"/>
      <c r="AT70" s="209"/>
      <c r="AU70" s="209"/>
      <c r="AV70" s="209"/>
      <c r="AW70" s="209"/>
      <c r="AX70" s="209"/>
      <c r="AY70" s="209"/>
      <c r="AZ70" s="209"/>
      <c r="BA70" s="209"/>
      <c r="BB70" s="209"/>
      <c r="BC70" s="209"/>
      <c r="BD70" s="209"/>
      <c r="BE70" s="209"/>
      <c r="BF70" s="209"/>
      <c r="BG70" s="209"/>
    </row>
    <row r="71" spans="1:59" ht="15.75" customHeight="1" x14ac:dyDescent="0.2">
      <c r="A71" s="147"/>
      <c r="B71" s="147"/>
      <c r="C71" s="186"/>
      <c r="D71" s="187"/>
      <c r="E71" s="187"/>
      <c r="F71" s="187"/>
      <c r="G71" s="187"/>
      <c r="H71" s="187"/>
      <c r="I71" s="187"/>
      <c r="J71" s="187"/>
      <c r="K71" s="187"/>
      <c r="L71" s="187"/>
      <c r="M71" s="187"/>
      <c r="N71" s="187"/>
      <c r="O71" s="187"/>
      <c r="P71" s="187"/>
      <c r="Q71" s="187"/>
      <c r="R71" s="188"/>
      <c r="S71" s="187"/>
      <c r="T71" s="187"/>
      <c r="U71" s="187"/>
      <c r="V71" s="187"/>
      <c r="W71" s="187"/>
      <c r="X71" s="187"/>
      <c r="Y71" s="187"/>
      <c r="Z71" s="187"/>
      <c r="AA71" s="187"/>
      <c r="AB71" s="187"/>
      <c r="AC71" s="187"/>
      <c r="AD71" s="187"/>
      <c r="AE71" s="187"/>
      <c r="AF71" s="161"/>
      <c r="AG71" s="147"/>
      <c r="AH71" s="147"/>
      <c r="AI71" s="147"/>
      <c r="AJ71" s="147"/>
      <c r="AK71" s="147"/>
      <c r="AL71" s="147"/>
      <c r="AM71" s="147"/>
      <c r="AN71" s="193"/>
      <c r="AO71" s="147"/>
      <c r="AP71" s="193"/>
      <c r="AQ71" s="193"/>
      <c r="AR71" s="193"/>
      <c r="AS71" s="193"/>
      <c r="AT71" s="147"/>
      <c r="AU71" s="147"/>
      <c r="AV71" s="147"/>
      <c r="AW71" s="147"/>
      <c r="AX71" s="147"/>
      <c r="AY71" s="147"/>
      <c r="AZ71" s="147"/>
      <c r="BA71" s="147"/>
      <c r="BB71" s="147"/>
      <c r="BC71" s="147"/>
      <c r="BD71" s="147"/>
      <c r="BE71" s="147"/>
      <c r="BF71" s="147"/>
      <c r="BG71" s="147"/>
    </row>
    <row r="72" spans="1:59" ht="15.75" customHeight="1" x14ac:dyDescent="0.2">
      <c r="A72" s="210"/>
      <c r="B72" s="211" t="s">
        <v>209</v>
      </c>
      <c r="C72" s="211"/>
      <c r="D72" s="158" t="s">
        <v>98</v>
      </c>
      <c r="E72" s="158" t="s">
        <v>99</v>
      </c>
      <c r="F72" s="158" t="s">
        <v>100</v>
      </c>
      <c r="G72" s="158" t="s">
        <v>101</v>
      </c>
      <c r="H72" s="159">
        <v>2018</v>
      </c>
      <c r="I72" s="158" t="s">
        <v>102</v>
      </c>
      <c r="J72" s="158" t="s">
        <v>103</v>
      </c>
      <c r="K72" s="158" t="s">
        <v>104</v>
      </c>
      <c r="L72" s="158" t="s">
        <v>105</v>
      </c>
      <c r="M72" s="159">
        <v>2019</v>
      </c>
      <c r="N72" s="158" t="s">
        <v>158</v>
      </c>
      <c r="O72" s="158" t="s">
        <v>107</v>
      </c>
      <c r="P72" s="158" t="s">
        <v>108</v>
      </c>
      <c r="Q72" s="158" t="s">
        <v>109</v>
      </c>
      <c r="R72" s="159">
        <v>2020</v>
      </c>
      <c r="S72" s="158" t="s">
        <v>110</v>
      </c>
      <c r="T72" s="158" t="s">
        <v>111</v>
      </c>
      <c r="U72" s="158" t="s">
        <v>112</v>
      </c>
      <c r="V72" s="158" t="s">
        <v>113</v>
      </c>
      <c r="W72" s="159">
        <v>2021</v>
      </c>
      <c r="X72" s="158" t="s">
        <v>114</v>
      </c>
      <c r="Y72" s="158" t="s">
        <v>115</v>
      </c>
      <c r="Z72" s="158" t="str">
        <f>$Z$4</f>
        <v>3Q22</v>
      </c>
      <c r="AA72" s="158" t="str">
        <f>$AA$4</f>
        <v>4Q22</v>
      </c>
      <c r="AB72" s="160">
        <v>2022</v>
      </c>
      <c r="AC72" s="158" t="str">
        <f>$AC$4</f>
        <v>1Q23</v>
      </c>
      <c r="AD72" s="158" t="str">
        <f t="shared" ref="AD72:AE72" si="31">AD$4</f>
        <v>2Q23</v>
      </c>
      <c r="AE72" s="158" t="str">
        <f t="shared" si="31"/>
        <v>3Q23</v>
      </c>
      <c r="AF72" s="147"/>
      <c r="AG72" s="147"/>
      <c r="AH72" s="147"/>
      <c r="AI72" s="147"/>
      <c r="AJ72" s="147"/>
      <c r="AK72" s="147"/>
      <c r="AL72" s="147"/>
      <c r="AM72" s="147"/>
      <c r="AN72" s="193"/>
      <c r="AO72" s="147"/>
      <c r="AP72" s="193"/>
      <c r="AQ72" s="193"/>
      <c r="AR72" s="193"/>
      <c r="AS72" s="193"/>
      <c r="AT72" s="147"/>
      <c r="AU72" s="147"/>
      <c r="AV72" s="147"/>
      <c r="AW72" s="147"/>
      <c r="AX72" s="147"/>
      <c r="AY72" s="147"/>
      <c r="AZ72" s="147"/>
      <c r="BA72" s="147"/>
      <c r="BB72" s="147"/>
      <c r="BC72" s="147"/>
      <c r="BD72" s="147"/>
      <c r="BE72" s="147"/>
      <c r="BF72" s="147"/>
      <c r="BG72" s="147"/>
    </row>
    <row r="73" spans="1:59" ht="15.75" customHeight="1" x14ac:dyDescent="0.2">
      <c r="A73" s="189"/>
      <c r="B73" s="189"/>
      <c r="C73" s="190" t="s">
        <v>19</v>
      </c>
      <c r="D73" s="140">
        <f t="shared" ref="D73:AE73" si="32">D63/D$70</f>
        <v>0.39241272439541663</v>
      </c>
      <c r="E73" s="140">
        <f t="shared" si="32"/>
        <v>0.36820575098297187</v>
      </c>
      <c r="F73" s="140">
        <f t="shared" si="32"/>
        <v>0.42322187560944641</v>
      </c>
      <c r="G73" s="140">
        <f t="shared" si="32"/>
        <v>0.4073162128221241</v>
      </c>
      <c r="H73" s="140">
        <f t="shared" si="32"/>
        <v>0.3984541659412047</v>
      </c>
      <c r="I73" s="140">
        <f t="shared" si="32"/>
        <v>0.40608144287858339</v>
      </c>
      <c r="J73" s="140">
        <f t="shared" si="32"/>
        <v>0.40307027768216125</v>
      </c>
      <c r="K73" s="140">
        <f t="shared" si="32"/>
        <v>0.41946282222922038</v>
      </c>
      <c r="L73" s="140">
        <f t="shared" si="32"/>
        <v>0.42358613792897415</v>
      </c>
      <c r="M73" s="140">
        <f t="shared" si="32"/>
        <v>0.41340794859955343</v>
      </c>
      <c r="N73" s="140">
        <f t="shared" si="32"/>
        <v>0.4068480852015845</v>
      </c>
      <c r="O73" s="140">
        <f t="shared" si="32"/>
        <v>0.36469701409046484</v>
      </c>
      <c r="P73" s="140">
        <f t="shared" si="32"/>
        <v>0.36817288233514645</v>
      </c>
      <c r="Q73" s="140">
        <f t="shared" si="32"/>
        <v>0.35754482450263741</v>
      </c>
      <c r="R73" s="140">
        <f t="shared" si="32"/>
        <v>0.37312632112429273</v>
      </c>
      <c r="S73" s="140">
        <f t="shared" si="32"/>
        <v>0.36438234123344554</v>
      </c>
      <c r="T73" s="140">
        <f t="shared" si="32"/>
        <v>0.36967430630639198</v>
      </c>
      <c r="U73" s="140">
        <f t="shared" si="32"/>
        <v>0.35161958729252696</v>
      </c>
      <c r="V73" s="140">
        <f t="shared" si="32"/>
        <v>0.34654381511851107</v>
      </c>
      <c r="W73" s="140">
        <f t="shared" si="32"/>
        <v>0.35757988821472864</v>
      </c>
      <c r="X73" s="140">
        <f t="shared" si="32"/>
        <v>0.3439809063642954</v>
      </c>
      <c r="Y73" s="140">
        <f t="shared" si="32"/>
        <v>0.34753643328887679</v>
      </c>
      <c r="Z73" s="140">
        <f t="shared" si="32"/>
        <v>0.32137405075745884</v>
      </c>
      <c r="AA73" s="140">
        <f t="shared" si="32"/>
        <v>0.34010238665683823</v>
      </c>
      <c r="AB73" s="140">
        <f t="shared" si="32"/>
        <v>0.33766806310653186</v>
      </c>
      <c r="AC73" s="140">
        <f t="shared" si="32"/>
        <v>0.33580637688760767</v>
      </c>
      <c r="AD73" s="140">
        <f t="shared" si="32"/>
        <v>0.33672741869704209</v>
      </c>
      <c r="AE73" s="140">
        <f t="shared" si="32"/>
        <v>0.35621178830383199</v>
      </c>
      <c r="AF73" s="147"/>
      <c r="AG73" s="147"/>
      <c r="AH73" s="147"/>
      <c r="AI73" s="147"/>
      <c r="AJ73" s="147"/>
      <c r="AK73" s="147"/>
      <c r="AL73" s="147"/>
      <c r="AM73" s="147"/>
      <c r="AN73" s="193"/>
      <c r="AO73" s="147"/>
      <c r="AP73" s="193"/>
      <c r="AQ73" s="193"/>
      <c r="AR73" s="193"/>
      <c r="AS73" s="193"/>
      <c r="AT73" s="147"/>
      <c r="AU73" s="147"/>
      <c r="AV73" s="147"/>
      <c r="AW73" s="147"/>
      <c r="AX73" s="147"/>
      <c r="AY73" s="147"/>
      <c r="AZ73" s="147"/>
      <c r="BA73" s="147"/>
      <c r="BB73" s="147"/>
      <c r="BC73" s="147"/>
      <c r="BD73" s="147"/>
      <c r="BE73" s="147"/>
      <c r="BF73" s="147"/>
      <c r="BG73" s="147"/>
    </row>
    <row r="74" spans="1:59" ht="15.75" customHeight="1" x14ac:dyDescent="0.2">
      <c r="A74" s="189"/>
      <c r="B74" s="189"/>
      <c r="C74" s="190" t="s">
        <v>27</v>
      </c>
      <c r="D74" s="140">
        <f t="shared" ref="D74:AE74" si="33">D64/D$70</f>
        <v>4.3992536172090639E-2</v>
      </c>
      <c r="E74" s="140">
        <f t="shared" si="33"/>
        <v>4.7151012502631692E-2</v>
      </c>
      <c r="F74" s="140">
        <f t="shared" si="33"/>
        <v>4.5457136503580298E-2</v>
      </c>
      <c r="G74" s="140">
        <f t="shared" si="33"/>
        <v>4.4287192514855134E-2</v>
      </c>
      <c r="H74" s="140">
        <f t="shared" si="33"/>
        <v>4.5244270059735907E-2</v>
      </c>
      <c r="I74" s="140">
        <f t="shared" si="33"/>
        <v>5.262046476445361E-2</v>
      </c>
      <c r="J74" s="140">
        <f t="shared" si="33"/>
        <v>6.2790099707776936E-2</v>
      </c>
      <c r="K74" s="140">
        <f t="shared" si="33"/>
        <v>3.9611746646230857E-2</v>
      </c>
      <c r="L74" s="140">
        <f t="shared" si="33"/>
        <v>3.6189598097624225E-2</v>
      </c>
      <c r="M74" s="140">
        <f t="shared" si="33"/>
        <v>4.7399016429961194E-2</v>
      </c>
      <c r="N74" s="140">
        <f t="shared" si="33"/>
        <v>2.5417875518963632E-2</v>
      </c>
      <c r="O74" s="140">
        <f t="shared" si="33"/>
        <v>2.6559354126953965E-2</v>
      </c>
      <c r="P74" s="140">
        <f t="shared" si="33"/>
        <v>2.2546317246907022E-2</v>
      </c>
      <c r="Q74" s="140">
        <f t="shared" si="33"/>
        <v>1.6840909450567463E-2</v>
      </c>
      <c r="R74" s="140">
        <f t="shared" si="33"/>
        <v>2.2645512485268585E-2</v>
      </c>
      <c r="S74" s="140">
        <f t="shared" si="33"/>
        <v>1.5895992266835406E-2</v>
      </c>
      <c r="T74" s="140">
        <f t="shared" si="33"/>
        <v>1.7726181740888261E-2</v>
      </c>
      <c r="U74" s="140">
        <f t="shared" si="33"/>
        <v>1.780351385012751E-2</v>
      </c>
      <c r="V74" s="140">
        <f t="shared" si="33"/>
        <v>2.1274594242685116E-2</v>
      </c>
      <c r="W74" s="140">
        <f t="shared" si="33"/>
        <v>1.8270403010769001E-2</v>
      </c>
      <c r="X74" s="140">
        <f t="shared" si="33"/>
        <v>2.1735830161307743E-2</v>
      </c>
      <c r="Y74" s="140">
        <f t="shared" si="33"/>
        <v>2.0952821802527295E-2</v>
      </c>
      <c r="Z74" s="140">
        <f t="shared" si="33"/>
        <v>2.3945677560828937E-2</v>
      </c>
      <c r="AA74" s="140">
        <f t="shared" si="33"/>
        <v>2.9584024675136631E-2</v>
      </c>
      <c r="AB74" s="140">
        <f t="shared" si="33"/>
        <v>2.4169541006016038E-2</v>
      </c>
      <c r="AC74" s="140">
        <f t="shared" si="33"/>
        <v>3.8676210019064662E-2</v>
      </c>
      <c r="AD74" s="140">
        <f t="shared" si="33"/>
        <v>3.3980279209356888E-2</v>
      </c>
      <c r="AE74" s="140">
        <f t="shared" si="33"/>
        <v>3.3871141351433376E-2</v>
      </c>
      <c r="AF74" s="147"/>
      <c r="AG74" s="147"/>
      <c r="AH74" s="147"/>
      <c r="AI74" s="147"/>
      <c r="AJ74" s="147"/>
      <c r="AK74" s="147"/>
      <c r="AL74" s="147"/>
      <c r="AM74" s="147"/>
      <c r="AN74" s="193"/>
      <c r="AO74" s="147"/>
      <c r="AP74" s="193"/>
      <c r="AQ74" s="193"/>
      <c r="AR74" s="193"/>
      <c r="AS74" s="193"/>
      <c r="AT74" s="147"/>
      <c r="AU74" s="147"/>
      <c r="AV74" s="147"/>
      <c r="AW74" s="147"/>
      <c r="AX74" s="147"/>
      <c r="AY74" s="147"/>
      <c r="AZ74" s="147"/>
      <c r="BA74" s="147"/>
      <c r="BB74" s="147"/>
      <c r="BC74" s="147"/>
      <c r="BD74" s="147"/>
      <c r="BE74" s="147"/>
      <c r="BF74" s="147"/>
      <c r="BG74" s="147"/>
    </row>
    <row r="75" spans="1:59" ht="15.75" customHeight="1" x14ac:dyDescent="0.2">
      <c r="A75" s="189"/>
      <c r="B75" s="189"/>
      <c r="C75" s="190" t="s">
        <v>21</v>
      </c>
      <c r="D75" s="140">
        <f t="shared" ref="D75:AE75" si="34">D65/D$70</f>
        <v>0.1252414365727311</v>
      </c>
      <c r="E75" s="140">
        <f t="shared" si="34"/>
        <v>0.11991561579803418</v>
      </c>
      <c r="F75" s="140">
        <f t="shared" si="34"/>
        <v>0.12281699185619245</v>
      </c>
      <c r="G75" s="140">
        <f t="shared" si="34"/>
        <v>0.12700686337212433</v>
      </c>
      <c r="H75" s="140">
        <f t="shared" si="34"/>
        <v>0.12371309302535027</v>
      </c>
      <c r="I75" s="140">
        <f t="shared" si="34"/>
        <v>0.14140643333211178</v>
      </c>
      <c r="J75" s="140">
        <f t="shared" si="34"/>
        <v>0.1160965956702634</v>
      </c>
      <c r="K75" s="140">
        <f t="shared" si="34"/>
        <v>0.10381314695988839</v>
      </c>
      <c r="L75" s="140">
        <f t="shared" si="34"/>
        <v>8.9133976786241395E-2</v>
      </c>
      <c r="M75" s="140">
        <f t="shared" si="34"/>
        <v>0.11186592983980584</v>
      </c>
      <c r="N75" s="140">
        <f t="shared" si="34"/>
        <v>8.8241361328239745E-2</v>
      </c>
      <c r="O75" s="140">
        <f t="shared" si="34"/>
        <v>8.037483026914434E-2</v>
      </c>
      <c r="P75" s="140">
        <f t="shared" si="34"/>
        <v>8.170293698778483E-2</v>
      </c>
      <c r="Q75" s="140">
        <f t="shared" si="34"/>
        <v>7.3427105617252575E-2</v>
      </c>
      <c r="R75" s="140">
        <f t="shared" si="34"/>
        <v>8.0617664498355612E-2</v>
      </c>
      <c r="S75" s="140">
        <f t="shared" si="34"/>
        <v>8.4283322777725891E-2</v>
      </c>
      <c r="T75" s="140">
        <f t="shared" si="34"/>
        <v>8.5011230656580838E-2</v>
      </c>
      <c r="U75" s="140">
        <f t="shared" si="34"/>
        <v>8.8998043801689047E-2</v>
      </c>
      <c r="V75" s="140">
        <f t="shared" si="34"/>
        <v>9.5463331213406402E-2</v>
      </c>
      <c r="W75" s="140">
        <f t="shared" si="34"/>
        <v>8.8675883784668036E-2</v>
      </c>
      <c r="X75" s="140">
        <f t="shared" si="34"/>
        <v>0.11921974963403779</v>
      </c>
      <c r="Y75" s="140">
        <f t="shared" si="34"/>
        <v>0.11033988561092249</v>
      </c>
      <c r="Z75" s="140">
        <f t="shared" si="34"/>
        <v>0.10681837187929891</v>
      </c>
      <c r="AA75" s="140">
        <f t="shared" si="34"/>
        <v>9.6543081558172761E-2</v>
      </c>
      <c r="AB75" s="140">
        <f t="shared" si="34"/>
        <v>0.10790209398892796</v>
      </c>
      <c r="AC75" s="140">
        <f t="shared" si="34"/>
        <v>9.4676949644077676E-2</v>
      </c>
      <c r="AD75" s="140">
        <f t="shared" si="34"/>
        <v>7.9775790640268129E-2</v>
      </c>
      <c r="AE75" s="140">
        <f t="shared" si="34"/>
        <v>6.379252442559942E-2</v>
      </c>
      <c r="AF75" s="147"/>
      <c r="AG75" s="147"/>
      <c r="AH75" s="147"/>
      <c r="AI75" s="147"/>
      <c r="AJ75" s="147"/>
      <c r="AK75" s="147"/>
      <c r="AL75" s="147"/>
      <c r="AM75" s="147"/>
      <c r="AN75" s="161"/>
      <c r="AO75" s="147"/>
      <c r="AP75" s="193"/>
      <c r="AQ75" s="193"/>
      <c r="AR75" s="193"/>
      <c r="AS75" s="193"/>
      <c r="AT75" s="147"/>
      <c r="AU75" s="147"/>
      <c r="AV75" s="147"/>
      <c r="AW75" s="147"/>
      <c r="AX75" s="147"/>
      <c r="AY75" s="147"/>
      <c r="AZ75" s="147"/>
      <c r="BA75" s="147"/>
      <c r="BB75" s="147"/>
      <c r="BC75" s="147"/>
      <c r="BD75" s="147"/>
      <c r="BE75" s="147"/>
      <c r="BF75" s="147"/>
      <c r="BG75" s="147"/>
    </row>
    <row r="76" spans="1:59" ht="15.75" customHeight="1" x14ac:dyDescent="0.2">
      <c r="A76" s="189"/>
      <c r="B76" s="189"/>
      <c r="C76" s="190" t="s">
        <v>23</v>
      </c>
      <c r="D76" s="140">
        <f t="shared" ref="D76:AE76" si="35">D66/D$70</f>
        <v>0.36187946092195111</v>
      </c>
      <c r="E76" s="140">
        <f t="shared" si="35"/>
        <v>0.37406090466720038</v>
      </c>
      <c r="F76" s="140">
        <f t="shared" si="35"/>
        <v>0.35720266963911679</v>
      </c>
      <c r="G76" s="140">
        <f t="shared" si="35"/>
        <v>0.34628962316114198</v>
      </c>
      <c r="H76" s="140">
        <f t="shared" si="35"/>
        <v>0.35971334212741862</v>
      </c>
      <c r="I76" s="140">
        <f t="shared" si="35"/>
        <v>0.36248212022602205</v>
      </c>
      <c r="J76" s="140">
        <f t="shared" si="35"/>
        <v>0.38173757301595501</v>
      </c>
      <c r="K76" s="140">
        <f t="shared" si="35"/>
        <v>0.40377189679114683</v>
      </c>
      <c r="L76" s="140">
        <f t="shared" si="35"/>
        <v>0.42283598218467328</v>
      </c>
      <c r="M76" s="140">
        <f t="shared" si="35"/>
        <v>0.39362605575382364</v>
      </c>
      <c r="N76" s="140">
        <f t="shared" si="35"/>
        <v>0.44906783283900642</v>
      </c>
      <c r="O76" s="140">
        <f t="shared" si="35"/>
        <v>0.49902720204204898</v>
      </c>
      <c r="P76" s="140">
        <f t="shared" si="35"/>
        <v>0.50066036000415337</v>
      </c>
      <c r="Q76" s="140">
        <f t="shared" si="35"/>
        <v>0.5214863889550565</v>
      </c>
      <c r="R76" s="140">
        <f t="shared" si="35"/>
        <v>0.49431619223533579</v>
      </c>
      <c r="S76" s="140">
        <f t="shared" si="35"/>
        <v>0.48609941328154677</v>
      </c>
      <c r="T76" s="140">
        <f t="shared" si="35"/>
        <v>0.49748338872684555</v>
      </c>
      <c r="U76" s="140">
        <f t="shared" si="35"/>
        <v>0.51148740552245697</v>
      </c>
      <c r="V76" s="140">
        <f t="shared" si="35"/>
        <v>0.5117990169930865</v>
      </c>
      <c r="W76" s="140">
        <f t="shared" si="35"/>
        <v>0.50221272836532438</v>
      </c>
      <c r="X76" s="140">
        <f t="shared" si="35"/>
        <v>0.47926582871304507</v>
      </c>
      <c r="Y76" s="140">
        <f t="shared" si="35"/>
        <v>0.48603799363087458</v>
      </c>
      <c r="Z76" s="140">
        <f t="shared" si="35"/>
        <v>0.51593932409205046</v>
      </c>
      <c r="AA76" s="140">
        <f t="shared" si="35"/>
        <v>0.50554349298354617</v>
      </c>
      <c r="AB76" s="140">
        <f t="shared" si="35"/>
        <v>0.49762261688581216</v>
      </c>
      <c r="AC76" s="140">
        <f t="shared" si="35"/>
        <v>0.48450432013535727</v>
      </c>
      <c r="AD76" s="140">
        <f t="shared" si="35"/>
        <v>0.51263307645863898</v>
      </c>
      <c r="AE76" s="140">
        <f t="shared" si="35"/>
        <v>0.52424181847394979</v>
      </c>
      <c r="AF76" s="147"/>
      <c r="AG76" s="147"/>
      <c r="AH76" s="147"/>
      <c r="AI76" s="147"/>
      <c r="AJ76" s="147"/>
      <c r="AK76" s="147"/>
      <c r="AL76" s="147"/>
      <c r="AM76" s="147"/>
      <c r="AN76" s="161"/>
      <c r="AO76" s="147"/>
      <c r="AP76" s="193"/>
      <c r="AQ76" s="193"/>
      <c r="AR76" s="193"/>
      <c r="AS76" s="193"/>
      <c r="AT76" s="147"/>
      <c r="AU76" s="147"/>
      <c r="AV76" s="147"/>
      <c r="AW76" s="147"/>
      <c r="AX76" s="147"/>
      <c r="AY76" s="147"/>
      <c r="AZ76" s="147"/>
      <c r="BA76" s="147"/>
      <c r="BB76" s="147"/>
      <c r="BC76" s="147"/>
      <c r="BD76" s="147"/>
      <c r="BE76" s="147"/>
      <c r="BF76" s="147"/>
      <c r="BG76" s="147"/>
    </row>
    <row r="77" spans="1:59" ht="15.75" customHeight="1" x14ac:dyDescent="0.2">
      <c r="A77" s="189"/>
      <c r="B77" s="189"/>
      <c r="C77" s="190" t="s">
        <v>25</v>
      </c>
      <c r="D77" s="140">
        <f t="shared" ref="D77:AE77" si="36">D67/D$70</f>
        <v>1.9763198816169659E-2</v>
      </c>
      <c r="E77" s="140">
        <f t="shared" si="36"/>
        <v>2.2444216575711971E-2</v>
      </c>
      <c r="F77" s="140">
        <f t="shared" si="36"/>
        <v>2.1862904473879913E-2</v>
      </c>
      <c r="G77" s="140">
        <f t="shared" si="36"/>
        <v>2.2407373873350477E-2</v>
      </c>
      <c r="H77" s="140">
        <f t="shared" si="36"/>
        <v>2.1659551338526647E-2</v>
      </c>
      <c r="I77" s="140">
        <f t="shared" si="36"/>
        <v>2.1409966804518045E-2</v>
      </c>
      <c r="J77" s="140">
        <f t="shared" si="36"/>
        <v>2.2011242123572933E-2</v>
      </c>
      <c r="K77" s="140">
        <f t="shared" si="36"/>
        <v>2.4573981552684351E-2</v>
      </c>
      <c r="L77" s="140">
        <f t="shared" si="36"/>
        <v>2.2897102925980933E-2</v>
      </c>
      <c r="M77" s="140">
        <f t="shared" si="36"/>
        <v>2.2772503833777488E-2</v>
      </c>
      <c r="N77" s="140">
        <f t="shared" si="36"/>
        <v>2.3157634683780133E-2</v>
      </c>
      <c r="O77" s="140">
        <f t="shared" si="36"/>
        <v>2.2865757795978051E-2</v>
      </c>
      <c r="P77" s="140">
        <f t="shared" si="36"/>
        <v>2.2495562856327596E-2</v>
      </c>
      <c r="Q77" s="140">
        <f t="shared" si="36"/>
        <v>2.3550630480387604E-2</v>
      </c>
      <c r="R77" s="140">
        <f t="shared" si="36"/>
        <v>2.3018938275083688E-2</v>
      </c>
      <c r="S77" s="140">
        <f t="shared" si="36"/>
        <v>2.2456383142976152E-2</v>
      </c>
      <c r="T77" s="140">
        <f t="shared" si="36"/>
        <v>2.2531664088254265E-2</v>
      </c>
      <c r="U77" s="140">
        <f t="shared" si="36"/>
        <v>2.1792088956657955E-2</v>
      </c>
      <c r="V77" s="140">
        <f t="shared" si="36"/>
        <v>2.181875156383278E-2</v>
      </c>
      <c r="W77" s="140">
        <f t="shared" si="36"/>
        <v>2.213315314554384E-2</v>
      </c>
      <c r="X77" s="140">
        <f t="shared" si="36"/>
        <v>2.2512129761201229E-2</v>
      </c>
      <c r="Y77" s="140">
        <f t="shared" si="36"/>
        <v>2.0590780529966671E-2</v>
      </c>
      <c r="Z77" s="140">
        <f t="shared" si="36"/>
        <v>2.2596631941651929E-2</v>
      </c>
      <c r="AA77" s="140">
        <f t="shared" si="36"/>
        <v>2.4189135733304976E-2</v>
      </c>
      <c r="AB77" s="140">
        <f t="shared" si="36"/>
        <v>2.2509939972396649E-2</v>
      </c>
      <c r="AC77" s="140">
        <f t="shared" si="36"/>
        <v>2.4383575562173992E-2</v>
      </c>
      <c r="AD77" s="140">
        <f t="shared" si="36"/>
        <v>2.1304356886713203E-2</v>
      </c>
      <c r="AE77" s="140">
        <f t="shared" si="36"/>
        <v>2.1102281662487125E-2</v>
      </c>
      <c r="AF77" s="147"/>
      <c r="AG77" s="147"/>
      <c r="AH77" s="147"/>
      <c r="AI77" s="147"/>
      <c r="AJ77" s="147"/>
      <c r="AK77" s="147"/>
      <c r="AL77" s="147"/>
      <c r="AM77" s="147"/>
      <c r="AN77" s="161"/>
      <c r="AO77" s="147"/>
      <c r="AP77" s="193"/>
      <c r="AQ77" s="193"/>
      <c r="AR77" s="193"/>
      <c r="AS77" s="193"/>
      <c r="AT77" s="147"/>
      <c r="AU77" s="147"/>
      <c r="AV77" s="147"/>
      <c r="AW77" s="147"/>
      <c r="AX77" s="147"/>
      <c r="AY77" s="147"/>
      <c r="AZ77" s="147"/>
      <c r="BA77" s="147"/>
      <c r="BB77" s="147"/>
      <c r="BC77" s="147"/>
      <c r="BD77" s="147"/>
      <c r="BE77" s="147"/>
      <c r="BF77" s="147"/>
      <c r="BG77" s="147"/>
    </row>
    <row r="78" spans="1:59" ht="15.75" customHeight="1" x14ac:dyDescent="0.2">
      <c r="A78" s="189"/>
      <c r="B78" s="189"/>
      <c r="C78" s="190" t="s">
        <v>29</v>
      </c>
      <c r="D78" s="140">
        <f t="shared" ref="D78:AE78" si="37">D68/D$70</f>
        <v>5.6709351118383974E-2</v>
      </c>
      <c r="E78" s="140">
        <f t="shared" si="37"/>
        <v>6.9741535816338324E-2</v>
      </c>
      <c r="F78" s="140">
        <f t="shared" si="37"/>
        <v>2.8037270431331314E-2</v>
      </c>
      <c r="G78" s="140">
        <f t="shared" si="37"/>
        <v>5.2692733948919108E-2</v>
      </c>
      <c r="H78" s="140">
        <f t="shared" si="37"/>
        <v>5.121506500375745E-2</v>
      </c>
      <c r="I78" s="140">
        <f t="shared" si="37"/>
        <v>1.5999571941519103E-2</v>
      </c>
      <c r="J78" s="140">
        <f t="shared" si="37"/>
        <v>1.4294211567688299E-2</v>
      </c>
      <c r="K78" s="140">
        <f t="shared" si="37"/>
        <v>8.766415836264134E-3</v>
      </c>
      <c r="L78" s="140">
        <f t="shared" si="37"/>
        <v>5.3571920059217095E-3</v>
      </c>
      <c r="M78" s="140">
        <f t="shared" si="37"/>
        <v>1.0928545499389444E-2</v>
      </c>
      <c r="N78" s="140">
        <f t="shared" si="37"/>
        <v>7.2631019296810961E-3</v>
      </c>
      <c r="O78" s="140">
        <f t="shared" si="37"/>
        <v>6.4782617200551994E-3</v>
      </c>
      <c r="P78" s="140">
        <f t="shared" si="37"/>
        <v>4.4219405696807072E-3</v>
      </c>
      <c r="Q78" s="140">
        <f t="shared" si="37"/>
        <v>7.1501411991099079E-3</v>
      </c>
      <c r="R78" s="140">
        <f t="shared" si="37"/>
        <v>6.2744517819854316E-3</v>
      </c>
      <c r="S78" s="140">
        <f t="shared" si="37"/>
        <v>2.6882547297470312E-2</v>
      </c>
      <c r="T78" s="140">
        <f t="shared" si="37"/>
        <v>7.5732391673560681E-3</v>
      </c>
      <c r="U78" s="140">
        <f t="shared" si="37"/>
        <v>8.2992733772673574E-3</v>
      </c>
      <c r="V78" s="140">
        <f t="shared" si="37"/>
        <v>3.1005635700001931E-3</v>
      </c>
      <c r="W78" s="140">
        <f t="shared" si="37"/>
        <v>1.1127943488317417E-2</v>
      </c>
      <c r="X78" s="140">
        <f t="shared" si="37"/>
        <v>1.3217063253280184E-2</v>
      </c>
      <c r="Y78" s="140">
        <f t="shared" si="37"/>
        <v>1.4761858197584821E-2</v>
      </c>
      <c r="Z78" s="140">
        <f t="shared" si="37"/>
        <v>9.393759622797827E-3</v>
      </c>
      <c r="AA78" s="140">
        <f t="shared" si="37"/>
        <v>3.9701613836020076E-3</v>
      </c>
      <c r="AB78" s="140">
        <f t="shared" si="37"/>
        <v>1.0165057818115358E-2</v>
      </c>
      <c r="AC78" s="140">
        <f t="shared" si="37"/>
        <v>1.6570806975461462E-2</v>
      </c>
      <c r="AD78" s="140">
        <f t="shared" si="37"/>
        <v>1.6410609102808484E-2</v>
      </c>
      <c r="AE78" s="140">
        <f t="shared" si="37"/>
        <v>4.9440518847763005E-3</v>
      </c>
      <c r="AF78" s="147"/>
      <c r="AG78" s="147"/>
      <c r="AH78" s="147"/>
      <c r="AI78" s="147"/>
      <c r="AJ78" s="147"/>
      <c r="AK78" s="147"/>
      <c r="AL78" s="147"/>
      <c r="AM78" s="147"/>
      <c r="AN78" s="161"/>
      <c r="AO78" s="147"/>
      <c r="AP78" s="193"/>
      <c r="AQ78" s="193"/>
      <c r="AR78" s="193"/>
      <c r="AS78" s="193"/>
      <c r="AT78" s="147"/>
      <c r="AU78" s="147"/>
      <c r="AV78" s="147"/>
      <c r="AW78" s="147"/>
      <c r="AX78" s="147"/>
      <c r="AY78" s="147"/>
      <c r="AZ78" s="147"/>
      <c r="BA78" s="147"/>
      <c r="BB78" s="147"/>
      <c r="BC78" s="147"/>
      <c r="BD78" s="147"/>
      <c r="BE78" s="147"/>
      <c r="BF78" s="147"/>
      <c r="BG78" s="147"/>
    </row>
    <row r="79" spans="1:59" ht="15.75" customHeight="1" x14ac:dyDescent="0.2">
      <c r="A79" s="189"/>
      <c r="B79" s="189"/>
      <c r="C79" s="190" t="s">
        <v>208</v>
      </c>
      <c r="D79" s="140">
        <f t="shared" ref="D79:AE79" si="38">D69/D$70</f>
        <v>1.2920032570485235E-6</v>
      </c>
      <c r="E79" s="140">
        <f t="shared" si="38"/>
        <v>-1.5190363428883907E-3</v>
      </c>
      <c r="F79" s="140">
        <f t="shared" si="38"/>
        <v>1.4011514864526382E-3</v>
      </c>
      <c r="G79" s="140">
        <f t="shared" si="38"/>
        <v>3.0748497276818476E-10</v>
      </c>
      <c r="H79" s="140">
        <f t="shared" si="38"/>
        <v>5.1250400644093178E-7</v>
      </c>
      <c r="I79" s="140">
        <f t="shared" si="38"/>
        <v>5.2791926712969989E-11</v>
      </c>
      <c r="J79" s="140">
        <f t="shared" si="38"/>
        <v>2.3258209444489358E-10</v>
      </c>
      <c r="K79" s="140">
        <f t="shared" si="38"/>
        <v>-1.0015435017592881E-8</v>
      </c>
      <c r="L79" s="140">
        <f t="shared" si="38"/>
        <v>1.0070584189008784E-8</v>
      </c>
      <c r="M79" s="140">
        <f t="shared" si="38"/>
        <v>4.3689221396693723E-11</v>
      </c>
      <c r="N79" s="140">
        <f t="shared" si="38"/>
        <v>4.1084987444817562E-6</v>
      </c>
      <c r="O79" s="140">
        <f t="shared" si="38"/>
        <v>-2.4200446452764747E-6</v>
      </c>
      <c r="P79" s="140">
        <f t="shared" si="38"/>
        <v>0</v>
      </c>
      <c r="Q79" s="140">
        <f t="shared" si="38"/>
        <v>-2.0501144621889427E-10</v>
      </c>
      <c r="R79" s="140">
        <f t="shared" si="38"/>
        <v>9.1959967823331591E-7</v>
      </c>
      <c r="S79" s="140">
        <f t="shared" si="38"/>
        <v>0</v>
      </c>
      <c r="T79" s="140">
        <f t="shared" si="38"/>
        <v>-1.0686316967169839E-8</v>
      </c>
      <c r="U79" s="140">
        <f t="shared" si="38"/>
        <v>8.7199274192599874E-8</v>
      </c>
      <c r="V79" s="140">
        <f t="shared" si="38"/>
        <v>-7.2701521990439497E-8</v>
      </c>
      <c r="W79" s="140">
        <f t="shared" si="38"/>
        <v>-9.3514105187529361E-12</v>
      </c>
      <c r="X79" s="140">
        <f t="shared" si="38"/>
        <v>6.8492112832598619E-5</v>
      </c>
      <c r="Y79" s="140">
        <f t="shared" si="38"/>
        <v>-2.1977306075279143E-4</v>
      </c>
      <c r="Z79" s="140">
        <f t="shared" si="38"/>
        <v>-6.7815854086959875E-5</v>
      </c>
      <c r="AA79" s="140">
        <f t="shared" si="38"/>
        <v>6.7717009399264315E-5</v>
      </c>
      <c r="AB79" s="140">
        <f t="shared" si="38"/>
        <v>-3.7312777800205852E-5</v>
      </c>
      <c r="AC79" s="140">
        <f t="shared" si="38"/>
        <v>5.3817607762573112E-3</v>
      </c>
      <c r="AD79" s="140">
        <f t="shared" si="38"/>
        <v>-8.3153099482798445E-4</v>
      </c>
      <c r="AE79" s="140">
        <f t="shared" si="38"/>
        <v>-4.1636061020780641E-3</v>
      </c>
      <c r="AF79" s="147"/>
      <c r="AG79" s="147"/>
      <c r="AH79" s="147"/>
      <c r="AI79" s="147"/>
      <c r="AJ79" s="147"/>
      <c r="AK79" s="147"/>
      <c r="AL79" s="147"/>
      <c r="AM79" s="147"/>
      <c r="AN79" s="161"/>
      <c r="AO79" s="147"/>
      <c r="AP79" s="193"/>
      <c r="AQ79" s="193"/>
      <c r="AR79" s="193"/>
      <c r="AS79" s="193"/>
      <c r="AT79" s="147"/>
      <c r="AU79" s="147"/>
      <c r="AV79" s="147"/>
      <c r="AW79" s="147"/>
      <c r="AX79" s="147"/>
      <c r="AY79" s="147"/>
      <c r="AZ79" s="147"/>
      <c r="BA79" s="147"/>
      <c r="BB79" s="147"/>
      <c r="BC79" s="147"/>
      <c r="BD79" s="147"/>
      <c r="BE79" s="147"/>
      <c r="BF79" s="147"/>
      <c r="BG79" s="147"/>
    </row>
    <row r="80" spans="1:59" ht="15.75" customHeight="1" x14ac:dyDescent="0.2">
      <c r="A80" s="189"/>
      <c r="B80" s="147"/>
      <c r="C80" s="186"/>
      <c r="D80" s="187"/>
      <c r="E80" s="187"/>
      <c r="F80" s="187"/>
      <c r="G80" s="187"/>
      <c r="H80" s="187"/>
      <c r="I80" s="187"/>
      <c r="J80" s="187"/>
      <c r="K80" s="187"/>
      <c r="L80" s="187"/>
      <c r="M80" s="187"/>
      <c r="N80" s="187"/>
      <c r="O80" s="187"/>
      <c r="P80" s="187"/>
      <c r="Q80" s="187"/>
      <c r="R80" s="188"/>
      <c r="S80" s="187"/>
      <c r="T80" s="187"/>
      <c r="U80" s="187"/>
      <c r="V80" s="187"/>
      <c r="W80" s="187"/>
      <c r="X80" s="187"/>
      <c r="Y80" s="187"/>
      <c r="Z80" s="187"/>
      <c r="AA80" s="187"/>
      <c r="AB80" s="187"/>
      <c r="AC80" s="187"/>
      <c r="AD80" s="187"/>
      <c r="AE80" s="187"/>
      <c r="AF80" s="161"/>
      <c r="AG80" s="147"/>
      <c r="AH80" s="147"/>
      <c r="AI80" s="147"/>
      <c r="AJ80" s="147"/>
      <c r="AK80" s="147"/>
      <c r="AL80" s="147"/>
      <c r="AM80" s="147"/>
      <c r="AN80" s="161"/>
      <c r="AO80" s="147"/>
      <c r="AP80" s="193"/>
      <c r="AQ80" s="193"/>
      <c r="AR80" s="193"/>
      <c r="AS80" s="193"/>
      <c r="AT80" s="147"/>
      <c r="AU80" s="147"/>
      <c r="AV80" s="147"/>
      <c r="AW80" s="147"/>
      <c r="AX80" s="147"/>
      <c r="AY80" s="147"/>
      <c r="AZ80" s="147"/>
      <c r="BA80" s="147"/>
      <c r="BB80" s="147"/>
      <c r="BC80" s="147"/>
      <c r="BD80" s="147"/>
      <c r="BE80" s="147"/>
      <c r="BF80" s="147"/>
      <c r="BG80" s="147"/>
    </row>
    <row r="81" spans="1:59" ht="15.75" customHeight="1" x14ac:dyDescent="0.2">
      <c r="A81" s="189"/>
      <c r="B81" s="211" t="s">
        <v>210</v>
      </c>
      <c r="C81" s="211"/>
      <c r="D81" s="158" t="s">
        <v>98</v>
      </c>
      <c r="E81" s="158" t="s">
        <v>99</v>
      </c>
      <c r="F81" s="158" t="s">
        <v>100</v>
      </c>
      <c r="G81" s="158" t="s">
        <v>101</v>
      </c>
      <c r="H81" s="159">
        <v>2018</v>
      </c>
      <c r="I81" s="158" t="s">
        <v>102</v>
      </c>
      <c r="J81" s="158" t="s">
        <v>103</v>
      </c>
      <c r="K81" s="158" t="s">
        <v>104</v>
      </c>
      <c r="L81" s="158" t="s">
        <v>105</v>
      </c>
      <c r="M81" s="159">
        <v>2019</v>
      </c>
      <c r="N81" s="158" t="s">
        <v>158</v>
      </c>
      <c r="O81" s="158" t="s">
        <v>107</v>
      </c>
      <c r="P81" s="158" t="s">
        <v>108</v>
      </c>
      <c r="Q81" s="158" t="s">
        <v>109</v>
      </c>
      <c r="R81" s="159">
        <v>2020</v>
      </c>
      <c r="S81" s="158" t="s">
        <v>110</v>
      </c>
      <c r="T81" s="158" t="s">
        <v>111</v>
      </c>
      <c r="U81" s="158" t="s">
        <v>112</v>
      </c>
      <c r="V81" s="158" t="s">
        <v>113</v>
      </c>
      <c r="W81" s="159">
        <v>2021</v>
      </c>
      <c r="X81" s="158" t="s">
        <v>114</v>
      </c>
      <c r="Y81" s="158" t="s">
        <v>115</v>
      </c>
      <c r="Z81" s="158" t="str">
        <f>$Z$4</f>
        <v>3Q22</v>
      </c>
      <c r="AA81" s="158" t="str">
        <f>$AA$4</f>
        <v>4Q22</v>
      </c>
      <c r="AB81" s="160">
        <v>2022</v>
      </c>
      <c r="AC81" s="158" t="str">
        <f>$AC$4</f>
        <v>1Q23</v>
      </c>
      <c r="AD81" s="158" t="str">
        <f t="shared" ref="AD81:AE81" si="39">AD$4</f>
        <v>2Q23</v>
      </c>
      <c r="AE81" s="158" t="str">
        <f t="shared" si="39"/>
        <v>3Q23</v>
      </c>
      <c r="AF81" s="147"/>
      <c r="AG81" s="147"/>
      <c r="AH81" s="147"/>
      <c r="AI81" s="147"/>
      <c r="AJ81" s="147"/>
      <c r="AK81" s="147"/>
      <c r="AL81" s="147"/>
      <c r="AM81" s="147"/>
      <c r="AN81" s="161"/>
      <c r="AO81" s="147"/>
      <c r="AP81" s="193"/>
      <c r="AQ81" s="193"/>
      <c r="AR81" s="193"/>
      <c r="AS81" s="193"/>
      <c r="AT81" s="147"/>
      <c r="AU81" s="147"/>
      <c r="AV81" s="147"/>
      <c r="AW81" s="147"/>
      <c r="AX81" s="147"/>
      <c r="AY81" s="147"/>
      <c r="AZ81" s="147"/>
      <c r="BA81" s="147"/>
      <c r="BB81" s="147"/>
      <c r="BC81" s="147"/>
      <c r="BD81" s="147"/>
      <c r="BE81" s="147"/>
      <c r="BF81" s="147"/>
      <c r="BG81" s="147"/>
    </row>
    <row r="82" spans="1:59" ht="15.75" customHeight="1" x14ac:dyDescent="0.2">
      <c r="A82" s="189"/>
      <c r="B82" s="189"/>
      <c r="C82" s="190" t="s">
        <v>19</v>
      </c>
      <c r="D82" s="212" t="s">
        <v>146</v>
      </c>
      <c r="E82" s="213" t="s">
        <v>146</v>
      </c>
      <c r="F82" s="212" t="s">
        <v>146</v>
      </c>
      <c r="G82" s="212" t="s">
        <v>146</v>
      </c>
      <c r="H82" s="212" t="s">
        <v>146</v>
      </c>
      <c r="I82" s="191">
        <f t="shared" ref="I82:AE82" si="40">I63/D63-1</f>
        <v>1.2289868982706897E-2</v>
      </c>
      <c r="J82" s="191">
        <f t="shared" si="40"/>
        <v>1.8098466134235602E-2</v>
      </c>
      <c r="K82" s="191">
        <f t="shared" si="40"/>
        <v>-7.4723543633947398E-2</v>
      </c>
      <c r="L82" s="191">
        <f t="shared" si="40"/>
        <v>2.0968171156382054E-2</v>
      </c>
      <c r="M82" s="191">
        <f t="shared" si="40"/>
        <v>-9.0095436581981714E-3</v>
      </c>
      <c r="N82" s="191">
        <f t="shared" si="40"/>
        <v>7.4728913355144977E-2</v>
      </c>
      <c r="O82" s="191">
        <f t="shared" si="40"/>
        <v>4.5966585033916596E-2</v>
      </c>
      <c r="P82" s="191">
        <f t="shared" si="40"/>
        <v>-1.2387429452733745E-2</v>
      </c>
      <c r="Q82" s="191">
        <f t="shared" si="40"/>
        <v>-8.0517161016530059E-3</v>
      </c>
      <c r="R82" s="191">
        <f t="shared" si="40"/>
        <v>2.2737906599228364E-2</v>
      </c>
      <c r="S82" s="191">
        <f t="shared" si="40"/>
        <v>0.11754275004178161</v>
      </c>
      <c r="T82" s="191">
        <f t="shared" si="40"/>
        <v>0.15564088917106234</v>
      </c>
      <c r="U82" s="191">
        <f t="shared" si="40"/>
        <v>9.5697314784828569E-2</v>
      </c>
      <c r="V82" s="191">
        <f t="shared" si="40"/>
        <v>0.14791981595356285</v>
      </c>
      <c r="W82" s="191">
        <f t="shared" si="40"/>
        <v>0.12890929008857133</v>
      </c>
      <c r="X82" s="191">
        <f t="shared" si="40"/>
        <v>-1.4787005860496305E-2</v>
      </c>
      <c r="Y82" s="191">
        <f t="shared" si="40"/>
        <v>-5.3716841587572173E-3</v>
      </c>
      <c r="Z82" s="191">
        <f t="shared" si="40"/>
        <v>4.0261731299317205E-2</v>
      </c>
      <c r="AA82" s="191">
        <f t="shared" si="40"/>
        <v>-7.8487677937402189E-3</v>
      </c>
      <c r="AB82" s="191">
        <f t="shared" si="40"/>
        <v>3.1172632169997883E-3</v>
      </c>
      <c r="AC82" s="191">
        <f t="shared" si="40"/>
        <v>5.1906041483286591E-2</v>
      </c>
      <c r="AD82" s="191">
        <f t="shared" si="40"/>
        <v>6.5800757374040231E-2</v>
      </c>
      <c r="AE82" s="191">
        <f t="shared" si="40"/>
        <v>0.10752034713476144</v>
      </c>
      <c r="AF82" s="189"/>
      <c r="AG82" s="189"/>
      <c r="AH82" s="189"/>
      <c r="AI82" s="189"/>
      <c r="AJ82" s="189"/>
      <c r="AK82" s="189"/>
      <c r="AL82" s="189"/>
      <c r="AM82" s="189"/>
      <c r="AN82" s="161"/>
      <c r="AO82" s="189"/>
      <c r="AP82" s="193"/>
      <c r="AQ82" s="193"/>
      <c r="AR82" s="193"/>
      <c r="AS82" s="193"/>
      <c r="AT82" s="189"/>
      <c r="AU82" s="189"/>
      <c r="AV82" s="189"/>
      <c r="AW82" s="189"/>
      <c r="AX82" s="189"/>
      <c r="AY82" s="189"/>
      <c r="AZ82" s="189"/>
      <c r="BA82" s="189"/>
      <c r="BB82" s="189"/>
      <c r="BC82" s="189"/>
      <c r="BD82" s="189"/>
      <c r="BE82" s="189"/>
      <c r="BF82" s="189"/>
      <c r="BG82" s="189"/>
    </row>
    <row r="83" spans="1:59" ht="15.75" customHeight="1" x14ac:dyDescent="0.2">
      <c r="A83" s="189"/>
      <c r="B83" s="189"/>
      <c r="C83" s="190" t="s">
        <v>27</v>
      </c>
      <c r="D83" s="212" t="s">
        <v>146</v>
      </c>
      <c r="E83" s="212" t="s">
        <v>146</v>
      </c>
      <c r="F83" s="212" t="s">
        <v>146</v>
      </c>
      <c r="G83" s="212" t="s">
        <v>146</v>
      </c>
      <c r="H83" s="212" t="s">
        <v>146</v>
      </c>
      <c r="I83" s="191">
        <f t="shared" ref="I83:AE83" si="41">I64/D64-1</f>
        <v>0.1700663998152836</v>
      </c>
      <c r="J83" s="191">
        <f t="shared" si="41"/>
        <v>0.23851059361906013</v>
      </c>
      <c r="K83" s="191">
        <f t="shared" si="41"/>
        <v>-0.18648032135404768</v>
      </c>
      <c r="L83" s="191">
        <f t="shared" si="41"/>
        <v>-0.19775361080002885</v>
      </c>
      <c r="M83" s="191">
        <f t="shared" si="41"/>
        <v>6.3287030973224745E-4</v>
      </c>
      <c r="N83" s="191">
        <f t="shared" si="41"/>
        <v>-0.48183942158425386</v>
      </c>
      <c r="O83" s="191">
        <f t="shared" si="41"/>
        <v>-0.51101817801160299</v>
      </c>
      <c r="P83" s="191">
        <f t="shared" si="41"/>
        <v>-0.35955784961291359</v>
      </c>
      <c r="Q83" s="191">
        <f t="shared" si="41"/>
        <v>-0.4531325755509743</v>
      </c>
      <c r="R83" s="191">
        <f t="shared" si="41"/>
        <v>-0.45862261124391479</v>
      </c>
      <c r="S83" s="191">
        <f t="shared" si="41"/>
        <v>-0.21965348669276619</v>
      </c>
      <c r="T83" s="191">
        <f t="shared" si="41"/>
        <v>-0.23908958454333895</v>
      </c>
      <c r="U83" s="191">
        <f t="shared" si="41"/>
        <v>-9.4059973662805718E-2</v>
      </c>
      <c r="V83" s="191">
        <f t="shared" si="41"/>
        <v>0.49616551911417206</v>
      </c>
      <c r="W83" s="191">
        <f t="shared" si="41"/>
        <v>-4.9596947487373977E-2</v>
      </c>
      <c r="X83" s="191">
        <f t="shared" si="41"/>
        <v>0.42705826694035909</v>
      </c>
      <c r="Y83" s="191">
        <f t="shared" si="41"/>
        <v>0.25056729732270222</v>
      </c>
      <c r="Z83" s="191">
        <f t="shared" si="41"/>
        <v>0.53082758195785384</v>
      </c>
      <c r="AA83" s="191">
        <f t="shared" si="41"/>
        <v>0.40579605096774674</v>
      </c>
      <c r="AB83" s="191">
        <f t="shared" si="41"/>
        <v>0.40525480153519156</v>
      </c>
      <c r="AC83" s="191">
        <f t="shared" si="41"/>
        <v>0.91729979047568855</v>
      </c>
      <c r="AD83" s="191">
        <f t="shared" si="41"/>
        <v>0.78394847511590626</v>
      </c>
      <c r="AE83" s="191">
        <f t="shared" si="41"/>
        <v>0.41337346636611438</v>
      </c>
      <c r="AF83" s="189"/>
      <c r="AG83" s="189"/>
      <c r="AH83" s="189"/>
      <c r="AI83" s="189"/>
      <c r="AJ83" s="189"/>
      <c r="AK83" s="189"/>
      <c r="AL83" s="189"/>
      <c r="AM83" s="189"/>
      <c r="AN83" s="161"/>
      <c r="AO83" s="189"/>
      <c r="AP83" s="193"/>
      <c r="AQ83" s="193"/>
      <c r="AR83" s="193"/>
      <c r="AS83" s="193"/>
      <c r="AT83" s="189"/>
      <c r="AU83" s="189"/>
      <c r="AV83" s="189"/>
      <c r="AW83" s="189"/>
      <c r="AX83" s="189"/>
      <c r="AY83" s="189"/>
      <c r="AZ83" s="189"/>
      <c r="BA83" s="189"/>
      <c r="BB83" s="189"/>
      <c r="BC83" s="189"/>
      <c r="BD83" s="189"/>
      <c r="BE83" s="189"/>
      <c r="BF83" s="189"/>
      <c r="BG83" s="189"/>
    </row>
    <row r="84" spans="1:59" ht="15.75" customHeight="1" x14ac:dyDescent="0.2">
      <c r="A84" s="189"/>
      <c r="B84" s="189"/>
      <c r="C84" s="190" t="s">
        <v>21</v>
      </c>
      <c r="D84" s="212" t="s">
        <v>146</v>
      </c>
      <c r="E84" s="212" t="s">
        <v>146</v>
      </c>
      <c r="F84" s="212" t="s">
        <v>146</v>
      </c>
      <c r="G84" s="212" t="s">
        <v>146</v>
      </c>
      <c r="H84" s="212" t="s">
        <v>146</v>
      </c>
      <c r="I84" s="191">
        <f t="shared" ref="I84:AE84" si="42">I65/D65-1</f>
        <v>0.10447516803845369</v>
      </c>
      <c r="J84" s="191">
        <f t="shared" si="42"/>
        <v>-9.9583760746765893E-2</v>
      </c>
      <c r="K84" s="191">
        <f t="shared" si="42"/>
        <v>-0.21088546123882845</v>
      </c>
      <c r="L84" s="191">
        <f t="shared" si="42"/>
        <v>-0.31100153587800206</v>
      </c>
      <c r="M84" s="191">
        <f t="shared" si="42"/>
        <v>-0.13632332058600294</v>
      </c>
      <c r="N84" s="191">
        <f t="shared" si="42"/>
        <v>-0.33060443415799201</v>
      </c>
      <c r="O84" s="191">
        <f t="shared" si="42"/>
        <v>-0.1996739347827271</v>
      </c>
      <c r="P84" s="191">
        <f t="shared" si="42"/>
        <v>-0.1144489582933772</v>
      </c>
      <c r="Q84" s="191">
        <f t="shared" si="42"/>
        <v>-3.191520378132906E-2</v>
      </c>
      <c r="R84" s="191">
        <f t="shared" si="42"/>
        <v>-0.18338065303025997</v>
      </c>
      <c r="S84" s="191">
        <f t="shared" si="42"/>
        <v>0.19181418263029681</v>
      </c>
      <c r="T84" s="191">
        <f t="shared" si="42"/>
        <v>0.20584663333657072</v>
      </c>
      <c r="U84" s="191">
        <f t="shared" si="42"/>
        <v>0.24971829427714698</v>
      </c>
      <c r="V84" s="191">
        <f t="shared" si="42"/>
        <v>0.53979913891530473</v>
      </c>
      <c r="W84" s="191">
        <f t="shared" si="42"/>
        <v>0.295737900065282</v>
      </c>
      <c r="X84" s="191">
        <f t="shared" si="42"/>
        <v>0.47624919310980207</v>
      </c>
      <c r="Y84" s="191">
        <f t="shared" si="42"/>
        <v>0.37320688405860314</v>
      </c>
      <c r="Z84" s="191">
        <f t="shared" si="42"/>
        <v>0.36606186724722001</v>
      </c>
      <c r="AA84" s="191">
        <f t="shared" si="42"/>
        <v>2.237664649319826E-2</v>
      </c>
      <c r="AB84" s="191">
        <f t="shared" si="42"/>
        <v>0.29258511194337666</v>
      </c>
      <c r="AC84" s="191">
        <f t="shared" si="42"/>
        <v>-0.14430617383347333</v>
      </c>
      <c r="AD84" s="191">
        <f t="shared" si="42"/>
        <v>-0.20468994940979479</v>
      </c>
      <c r="AE84" s="191">
        <f t="shared" si="42"/>
        <v>-0.40326973179533043</v>
      </c>
      <c r="AF84" s="189"/>
      <c r="AG84" s="189"/>
      <c r="AH84" s="189"/>
      <c r="AI84" s="189"/>
      <c r="AJ84" s="189"/>
      <c r="AK84" s="189"/>
      <c r="AL84" s="189"/>
      <c r="AM84" s="189"/>
      <c r="AN84" s="161"/>
      <c r="AO84" s="189"/>
      <c r="AP84" s="193"/>
      <c r="AQ84" s="193"/>
      <c r="AR84" s="193"/>
      <c r="AS84" s="193"/>
      <c r="AT84" s="189"/>
      <c r="AU84" s="189"/>
      <c r="AV84" s="189"/>
      <c r="AW84" s="189"/>
      <c r="AX84" s="189"/>
      <c r="AY84" s="189"/>
      <c r="AZ84" s="189"/>
      <c r="BA84" s="189"/>
      <c r="BB84" s="189"/>
      <c r="BC84" s="189"/>
      <c r="BD84" s="189"/>
      <c r="BE84" s="189"/>
      <c r="BF84" s="189"/>
      <c r="BG84" s="189"/>
    </row>
    <row r="85" spans="1:59" ht="15.75" customHeight="1" x14ac:dyDescent="0.2">
      <c r="A85" s="189"/>
      <c r="B85" s="189"/>
      <c r="C85" s="190" t="s">
        <v>23</v>
      </c>
      <c r="D85" s="212" t="s">
        <v>146</v>
      </c>
      <c r="E85" s="212" t="s">
        <v>146</v>
      </c>
      <c r="F85" s="212" t="s">
        <v>146</v>
      </c>
      <c r="G85" s="212" t="s">
        <v>146</v>
      </c>
      <c r="H85" s="212" t="s">
        <v>146</v>
      </c>
      <c r="I85" s="191">
        <f t="shared" ref="I85:AE85" si="43">I66/D66-1</f>
        <v>-2.0154769370969605E-2</v>
      </c>
      <c r="J85" s="191">
        <f t="shared" si="43"/>
        <v>-5.0877728898279129E-2</v>
      </c>
      <c r="K85" s="191">
        <f t="shared" si="43"/>
        <v>5.5279585365406447E-2</v>
      </c>
      <c r="L85" s="191">
        <f t="shared" si="43"/>
        <v>0.19876656301259521</v>
      </c>
      <c r="M85" s="191">
        <f t="shared" si="43"/>
        <v>4.5192568840246583E-2</v>
      </c>
      <c r="N85" s="191">
        <f t="shared" si="43"/>
        <v>0.32893933988681945</v>
      </c>
      <c r="O85" s="191">
        <f t="shared" si="43"/>
        <v>0.51121302888152886</v>
      </c>
      <c r="P85" s="191">
        <f t="shared" si="43"/>
        <v>0.3951965876563408</v>
      </c>
      <c r="Q85" s="191">
        <f t="shared" si="43"/>
        <v>0.44934345531748798</v>
      </c>
      <c r="R85" s="191">
        <f t="shared" si="43"/>
        <v>0.42301109943590087</v>
      </c>
      <c r="S85" s="191">
        <f t="shared" si="43"/>
        <v>0.35067931687072162</v>
      </c>
      <c r="T85" s="191">
        <f t="shared" si="43"/>
        <v>0.13655434084107387</v>
      </c>
      <c r="U85" s="191">
        <f t="shared" si="43"/>
        <v>0.17209030082593224</v>
      </c>
      <c r="V85" s="191">
        <f t="shared" si="43"/>
        <v>0.16235922429788174</v>
      </c>
      <c r="W85" s="191">
        <f t="shared" si="43"/>
        <v>0.19680867252663803</v>
      </c>
      <c r="X85" s="191">
        <f t="shared" si="43"/>
        <v>2.8974198530421935E-2</v>
      </c>
      <c r="Y85" s="191">
        <f t="shared" si="43"/>
        <v>3.3644935881723237E-2</v>
      </c>
      <c r="Z85" s="191">
        <f t="shared" si="43"/>
        <v>0.14807050869875726</v>
      </c>
      <c r="AA85" s="191">
        <f t="shared" si="43"/>
        <v>-1.4141077579394867E-3</v>
      </c>
      <c r="AB85" s="191">
        <f t="shared" si="43"/>
        <v>5.256081346847119E-2</v>
      </c>
      <c r="AC85" s="191">
        <f t="shared" si="43"/>
        <v>8.9290047140823336E-2</v>
      </c>
      <c r="AD85" s="191">
        <f t="shared" si="43"/>
        <v>0.16020381258323679</v>
      </c>
      <c r="AE85" s="191">
        <f t="shared" si="43"/>
        <v>1.5283349667360113E-2</v>
      </c>
      <c r="AF85" s="189"/>
      <c r="AG85" s="189"/>
      <c r="AH85" s="189"/>
      <c r="AI85" s="189"/>
      <c r="AJ85" s="189"/>
      <c r="AK85" s="189"/>
      <c r="AL85" s="189"/>
      <c r="AM85" s="189"/>
      <c r="AN85" s="161"/>
      <c r="AO85" s="189"/>
      <c r="AP85" s="193"/>
      <c r="AQ85" s="193"/>
      <c r="AR85" s="193"/>
      <c r="AS85" s="193"/>
      <c r="AT85" s="189"/>
      <c r="AU85" s="189"/>
      <c r="AV85" s="189"/>
      <c r="AW85" s="189"/>
      <c r="AX85" s="189"/>
      <c r="AY85" s="189"/>
      <c r="AZ85" s="189"/>
      <c r="BA85" s="189"/>
      <c r="BB85" s="189"/>
      <c r="BC85" s="189"/>
      <c r="BD85" s="189"/>
      <c r="BE85" s="189"/>
      <c r="BF85" s="189"/>
      <c r="BG85" s="189"/>
    </row>
    <row r="86" spans="1:59" ht="15.75" customHeight="1" x14ac:dyDescent="0.2">
      <c r="A86" s="189"/>
      <c r="B86" s="189"/>
      <c r="C86" s="190" t="s">
        <v>25</v>
      </c>
      <c r="D86" s="212" t="s">
        <v>146</v>
      </c>
      <c r="E86" s="212" t="s">
        <v>146</v>
      </c>
      <c r="F86" s="212" t="s">
        <v>146</v>
      </c>
      <c r="G86" s="212" t="s">
        <v>146</v>
      </c>
      <c r="H86" s="212" t="s">
        <v>146</v>
      </c>
      <c r="I86" s="191">
        <f t="shared" ref="I86:AE86" si="44">I67/D67-1</f>
        <v>5.9725982596251281E-2</v>
      </c>
      <c r="J86" s="191">
        <f t="shared" si="44"/>
        <v>-8.7905837286408772E-2</v>
      </c>
      <c r="K86" s="191">
        <f t="shared" si="44"/>
        <v>4.9334170388284582E-2</v>
      </c>
      <c r="L86" s="191">
        <f t="shared" si="44"/>
        <v>3.2097327265510067E-3</v>
      </c>
      <c r="M86" s="191">
        <f t="shared" si="44"/>
        <v>4.2234277771262541E-3</v>
      </c>
      <c r="N86" s="191">
        <f t="shared" si="44"/>
        <v>0.16026717179914707</v>
      </c>
      <c r="O86" s="191">
        <f t="shared" si="44"/>
        <v>0.200901605403909</v>
      </c>
      <c r="P86" s="191">
        <f t="shared" si="44"/>
        <v>3.0029403137860511E-2</v>
      </c>
      <c r="Q86" s="191">
        <f t="shared" si="44"/>
        <v>0.20871044620033885</v>
      </c>
      <c r="R86" s="191">
        <f t="shared" si="44"/>
        <v>0.1454121715219665</v>
      </c>
      <c r="S86" s="191">
        <f t="shared" si="44"/>
        <v>0.20999816241931857</v>
      </c>
      <c r="T86" s="191">
        <f t="shared" si="44"/>
        <v>0.12342351419128184</v>
      </c>
      <c r="U86" s="191">
        <f t="shared" si="44"/>
        <v>0.1114024095872761</v>
      </c>
      <c r="V86" s="191">
        <f t="shared" si="44"/>
        <v>9.7264315799542311E-2</v>
      </c>
      <c r="W86" s="191">
        <f t="shared" si="44"/>
        <v>0.1326607456854334</v>
      </c>
      <c r="X86" s="191">
        <f t="shared" si="44"/>
        <v>4.6236556378741689E-2</v>
      </c>
      <c r="Y86" s="191">
        <f t="shared" si="44"/>
        <v>-3.3149586162922073E-2</v>
      </c>
      <c r="Z86" s="191">
        <f t="shared" si="44"/>
        <v>0.1801840036274065</v>
      </c>
      <c r="AA86" s="191">
        <f t="shared" si="44"/>
        <v>0.1207707882184148</v>
      </c>
      <c r="AB86" s="191">
        <f t="shared" si="44"/>
        <v>8.0353417081661993E-2</v>
      </c>
      <c r="AC86" s="191">
        <f t="shared" si="44"/>
        <v>0.16708679047557373</v>
      </c>
      <c r="AD86" s="191">
        <f t="shared" si="44"/>
        <v>0.1381342745973646</v>
      </c>
      <c r="AE86" s="191">
        <f t="shared" si="44"/>
        <v>-6.6874760367378605E-2</v>
      </c>
      <c r="AF86" s="189"/>
      <c r="AG86" s="189"/>
      <c r="AH86" s="189"/>
      <c r="AI86" s="189"/>
      <c r="AJ86" s="189"/>
      <c r="AK86" s="189"/>
      <c r="AL86" s="189"/>
      <c r="AM86" s="189"/>
      <c r="AN86" s="161"/>
      <c r="AO86" s="189"/>
      <c r="AP86" s="193"/>
      <c r="AQ86" s="193"/>
      <c r="AR86" s="193"/>
      <c r="AS86" s="193"/>
      <c r="AT86" s="189"/>
      <c r="AU86" s="189"/>
      <c r="AV86" s="189"/>
      <c r="AW86" s="189"/>
      <c r="AX86" s="189"/>
      <c r="AY86" s="189"/>
      <c r="AZ86" s="189"/>
      <c r="BA86" s="189"/>
      <c r="BB86" s="189"/>
      <c r="BC86" s="189"/>
      <c r="BD86" s="189"/>
      <c r="BE86" s="189"/>
      <c r="BF86" s="189"/>
      <c r="BG86" s="189"/>
    </row>
    <row r="87" spans="1:59" ht="15.75" customHeight="1" x14ac:dyDescent="0.2">
      <c r="A87" s="189"/>
      <c r="B87" s="189"/>
      <c r="C87" s="190" t="s">
        <v>29</v>
      </c>
      <c r="D87" s="212" t="s">
        <v>146</v>
      </c>
      <c r="E87" s="212" t="s">
        <v>146</v>
      </c>
      <c r="F87" s="212" t="s">
        <v>146</v>
      </c>
      <c r="G87" s="212" t="s">
        <v>146</v>
      </c>
      <c r="H87" s="212" t="s">
        <v>146</v>
      </c>
      <c r="I87" s="191">
        <f t="shared" ref="I87:AE87" si="45">I68/D68-1</f>
        <v>-0.72401307109258384</v>
      </c>
      <c r="J87" s="191">
        <f t="shared" si="45"/>
        <v>-0.80938008356367763</v>
      </c>
      <c r="K87" s="191">
        <f t="shared" si="45"/>
        <v>-0.70810108431740049</v>
      </c>
      <c r="L87" s="191">
        <f t="shared" si="45"/>
        <v>-0.90018664797338432</v>
      </c>
      <c r="M87" s="191">
        <f t="shared" si="45"/>
        <v>-0.79618616641699846</v>
      </c>
      <c r="N87" s="191">
        <f t="shared" si="45"/>
        <v>-0.51303967844685749</v>
      </c>
      <c r="O87" s="191">
        <f t="shared" si="45"/>
        <v>-0.47608038153818133</v>
      </c>
      <c r="P87" s="191">
        <f t="shared" si="45"/>
        <v>-0.43243040777134101</v>
      </c>
      <c r="Q87" s="191">
        <f t="shared" si="45"/>
        <v>0.56847528487941412</v>
      </c>
      <c r="R87" s="191">
        <f t="shared" si="45"/>
        <v>-0.34941999619733832</v>
      </c>
      <c r="S87" s="191">
        <f t="shared" si="45"/>
        <v>3.6183557075035164</v>
      </c>
      <c r="T87" s="191">
        <f t="shared" si="45"/>
        <v>0.33278170836212473</v>
      </c>
      <c r="U87" s="191">
        <f t="shared" si="45"/>
        <v>1.1532601547270183</v>
      </c>
      <c r="V87" s="191">
        <f t="shared" si="45"/>
        <v>-0.48641785307164043</v>
      </c>
      <c r="W87" s="191">
        <f t="shared" si="45"/>
        <v>1.0892046038281191</v>
      </c>
      <c r="X87" s="191">
        <f t="shared" si="45"/>
        <v>-0.48688150771490524</v>
      </c>
      <c r="Y87" s="191">
        <f t="shared" si="45"/>
        <v>1.0622395075905131</v>
      </c>
      <c r="Z87" s="191">
        <f t="shared" si="45"/>
        <v>0.28826215109754583</v>
      </c>
      <c r="AA87" s="191">
        <f t="shared" si="45"/>
        <v>0.29447560265529615</v>
      </c>
      <c r="AB87" s="191">
        <f t="shared" si="45"/>
        <v>-2.9647020267697721E-2</v>
      </c>
      <c r="AC87" s="191">
        <f t="shared" si="45"/>
        <v>0.35092437229724616</v>
      </c>
      <c r="AD87" s="191">
        <f t="shared" si="45"/>
        <v>0.22287355889765759</v>
      </c>
      <c r="AE87" s="191">
        <f t="shared" si="45"/>
        <v>-0.4741064917010126</v>
      </c>
      <c r="AF87" s="189"/>
      <c r="AG87" s="189"/>
      <c r="AH87" s="189"/>
      <c r="AI87" s="189"/>
      <c r="AJ87" s="189"/>
      <c r="AK87" s="189"/>
      <c r="AL87" s="189"/>
      <c r="AM87" s="189"/>
      <c r="AN87" s="161"/>
      <c r="AO87" s="189"/>
      <c r="AP87" s="189"/>
      <c r="AQ87" s="189"/>
      <c r="AR87" s="189"/>
      <c r="AS87" s="189"/>
      <c r="AT87" s="189"/>
      <c r="AU87" s="189"/>
      <c r="AV87" s="189"/>
      <c r="AW87" s="189"/>
      <c r="AX87" s="189"/>
      <c r="AY87" s="189"/>
      <c r="AZ87" s="189"/>
      <c r="BA87" s="189"/>
      <c r="BB87" s="189"/>
      <c r="BC87" s="189"/>
      <c r="BD87" s="189"/>
      <c r="BE87" s="189"/>
      <c r="BF87" s="189"/>
      <c r="BG87" s="189"/>
    </row>
    <row r="88" spans="1:59" ht="15.75" customHeight="1" x14ac:dyDescent="0.2">
      <c r="A88" s="189"/>
      <c r="B88" s="189"/>
      <c r="C88" s="190" t="s">
        <v>159</v>
      </c>
      <c r="D88" s="140" t="s">
        <v>146</v>
      </c>
      <c r="E88" s="140" t="s">
        <v>146</v>
      </c>
      <c r="F88" s="140" t="s">
        <v>146</v>
      </c>
      <c r="G88" s="140" t="s">
        <v>146</v>
      </c>
      <c r="H88" s="140" t="s">
        <v>146</v>
      </c>
      <c r="I88" s="191">
        <f t="shared" ref="I88:AE88" si="46">I70/D70-1</f>
        <v>-2.1783850674124472E-2</v>
      </c>
      <c r="J88" s="191">
        <f t="shared" si="46"/>
        <v>-6.9964393174211326E-2</v>
      </c>
      <c r="K88" s="191">
        <f t="shared" si="46"/>
        <v>-6.6431596394233128E-2</v>
      </c>
      <c r="L88" s="191">
        <f t="shared" si="46"/>
        <v>-1.8247171825349962E-2</v>
      </c>
      <c r="M88" s="191">
        <f t="shared" si="46"/>
        <v>-4.4855627292617162E-2</v>
      </c>
      <c r="N88" s="191">
        <f t="shared" si="46"/>
        <v>7.2703752857406156E-2</v>
      </c>
      <c r="O88" s="191">
        <f t="shared" si="46"/>
        <v>0.15602274103429647</v>
      </c>
      <c r="P88" s="191">
        <f t="shared" si="46"/>
        <v>0.12519627595414762</v>
      </c>
      <c r="Q88" s="191">
        <f t="shared" si="46"/>
        <v>0.17516885662171022</v>
      </c>
      <c r="R88" s="191">
        <f t="shared" si="46"/>
        <v>0.13314970288935046</v>
      </c>
      <c r="S88" s="191">
        <f t="shared" si="46"/>
        <v>0.24778310179999208</v>
      </c>
      <c r="T88" s="191">
        <f t="shared" si="46"/>
        <v>0.14008134850525567</v>
      </c>
      <c r="U88" s="191">
        <f t="shared" si="46"/>
        <v>0.14727976805114773</v>
      </c>
      <c r="V88" s="191">
        <f t="shared" si="46"/>
        <v>0.18436045092265374</v>
      </c>
      <c r="W88" s="191">
        <f t="shared" si="46"/>
        <v>0.17799066495830806</v>
      </c>
      <c r="X88" s="191">
        <f t="shared" si="46"/>
        <v>4.3645768634523741E-2</v>
      </c>
      <c r="Y88" s="191">
        <f t="shared" si="46"/>
        <v>5.7985573517349565E-2</v>
      </c>
      <c r="Z88" s="191">
        <f t="shared" si="46"/>
        <v>0.13816407943815934</v>
      </c>
      <c r="AA88" s="191">
        <f t="shared" si="46"/>
        <v>1.0942253487346898E-2</v>
      </c>
      <c r="AB88" s="191">
        <f t="shared" si="46"/>
        <v>6.2269719994910266E-2</v>
      </c>
      <c r="AC88" s="191">
        <f t="shared" si="46"/>
        <v>7.7512574100411458E-2</v>
      </c>
      <c r="AD88" s="191">
        <f t="shared" si="46"/>
        <v>0.1000131656864427</v>
      </c>
      <c r="AE88" s="191">
        <f t="shared" si="46"/>
        <v>-7.9584128918519514E-4</v>
      </c>
      <c r="AF88" s="161"/>
      <c r="AG88" s="147"/>
      <c r="AH88" s="147"/>
      <c r="AI88" s="147"/>
      <c r="AJ88" s="147"/>
      <c r="AK88" s="147"/>
      <c r="AL88" s="147"/>
      <c r="AM88" s="147"/>
      <c r="AN88" s="161"/>
      <c r="AO88" s="147"/>
      <c r="AP88" s="147"/>
      <c r="AQ88" s="147"/>
      <c r="AR88" s="147"/>
      <c r="AS88" s="147"/>
      <c r="AT88" s="147"/>
      <c r="AU88" s="147"/>
      <c r="AV88" s="147"/>
      <c r="AW88" s="147"/>
      <c r="AX88" s="147"/>
      <c r="AY88" s="147"/>
      <c r="AZ88" s="147"/>
      <c r="BA88" s="147"/>
      <c r="BB88" s="147"/>
      <c r="BC88" s="147"/>
      <c r="BD88" s="147"/>
      <c r="BE88" s="147"/>
      <c r="BF88" s="147"/>
      <c r="BG88" s="147"/>
    </row>
    <row r="89" spans="1:59" ht="15.75" customHeight="1" x14ac:dyDescent="0.2">
      <c r="A89" s="147"/>
      <c r="B89" s="147"/>
      <c r="C89" s="186"/>
      <c r="D89" s="187"/>
      <c r="E89" s="187"/>
      <c r="F89" s="187"/>
      <c r="G89" s="187"/>
      <c r="H89" s="187"/>
      <c r="I89" s="187"/>
      <c r="J89" s="187"/>
      <c r="K89" s="187"/>
      <c r="L89" s="187"/>
      <c r="M89" s="187"/>
      <c r="N89" s="187"/>
      <c r="O89" s="187"/>
      <c r="P89" s="187"/>
      <c r="Q89" s="187"/>
      <c r="R89" s="188"/>
      <c r="S89" s="187"/>
      <c r="T89" s="187"/>
      <c r="U89" s="187"/>
      <c r="V89" s="187"/>
      <c r="W89" s="187"/>
      <c r="X89" s="187"/>
      <c r="Y89" s="187"/>
      <c r="Z89" s="187"/>
      <c r="AA89" s="187"/>
      <c r="AB89" s="187"/>
      <c r="AC89" s="187"/>
      <c r="AD89" s="187"/>
      <c r="AE89" s="187"/>
      <c r="AF89" s="161"/>
      <c r="AG89" s="147"/>
      <c r="AH89" s="147"/>
      <c r="AI89" s="147"/>
      <c r="AJ89" s="147"/>
      <c r="AK89" s="147"/>
      <c r="AL89" s="147"/>
      <c r="AM89" s="147"/>
      <c r="AN89" s="161"/>
      <c r="AO89" s="147"/>
      <c r="AP89" s="147"/>
      <c r="AQ89" s="147"/>
      <c r="AR89" s="147"/>
      <c r="AS89" s="147"/>
      <c r="AT89" s="147"/>
      <c r="AU89" s="147"/>
      <c r="AV89" s="147"/>
      <c r="AW89" s="147"/>
      <c r="AX89" s="147"/>
      <c r="AY89" s="147"/>
      <c r="AZ89" s="147"/>
      <c r="BA89" s="147"/>
      <c r="BB89" s="147"/>
      <c r="BC89" s="147"/>
      <c r="BD89" s="147"/>
      <c r="BE89" s="147"/>
      <c r="BF89" s="147"/>
      <c r="BG89" s="147"/>
    </row>
    <row r="90" spans="1:59" ht="15.75" customHeight="1" x14ac:dyDescent="0.2">
      <c r="A90" s="189"/>
      <c r="B90" s="211" t="s">
        <v>211</v>
      </c>
      <c r="C90" s="211"/>
      <c r="D90" s="158" t="s">
        <v>98</v>
      </c>
      <c r="E90" s="158" t="s">
        <v>99</v>
      </c>
      <c r="F90" s="158" t="s">
        <v>100</v>
      </c>
      <c r="G90" s="158" t="s">
        <v>101</v>
      </c>
      <c r="H90" s="159">
        <v>2018</v>
      </c>
      <c r="I90" s="158" t="s">
        <v>102</v>
      </c>
      <c r="J90" s="158" t="s">
        <v>103</v>
      </c>
      <c r="K90" s="158" t="s">
        <v>104</v>
      </c>
      <c r="L90" s="158" t="s">
        <v>105</v>
      </c>
      <c r="M90" s="159">
        <v>2019</v>
      </c>
      <c r="N90" s="158" t="s">
        <v>158</v>
      </c>
      <c r="O90" s="158" t="s">
        <v>107</v>
      </c>
      <c r="P90" s="158" t="s">
        <v>108</v>
      </c>
      <c r="Q90" s="158" t="s">
        <v>109</v>
      </c>
      <c r="R90" s="159">
        <v>2020</v>
      </c>
      <c r="S90" s="158" t="s">
        <v>110</v>
      </c>
      <c r="T90" s="158" t="s">
        <v>111</v>
      </c>
      <c r="U90" s="158" t="s">
        <v>112</v>
      </c>
      <c r="V90" s="158" t="s">
        <v>113</v>
      </c>
      <c r="W90" s="159">
        <v>2021</v>
      </c>
      <c r="X90" s="158" t="s">
        <v>114</v>
      </c>
      <c r="Y90" s="158" t="s">
        <v>115</v>
      </c>
      <c r="Z90" s="158" t="str">
        <f>$Z$4</f>
        <v>3Q22</v>
      </c>
      <c r="AA90" s="158" t="str">
        <f>$AA$4</f>
        <v>4Q22</v>
      </c>
      <c r="AB90" s="160">
        <v>2022</v>
      </c>
      <c r="AC90" s="158" t="str">
        <f>$AC$4</f>
        <v>1Q23</v>
      </c>
      <c r="AD90" s="158" t="str">
        <f t="shared" ref="AD90:AE90" si="47">AD$4</f>
        <v>2Q23</v>
      </c>
      <c r="AE90" s="158" t="str">
        <f t="shared" si="47"/>
        <v>3Q23</v>
      </c>
      <c r="AF90" s="147"/>
      <c r="AG90" s="147"/>
      <c r="AH90" s="147"/>
      <c r="AI90" s="147"/>
      <c r="AJ90" s="147"/>
      <c r="AK90" s="147"/>
      <c r="AL90" s="147"/>
      <c r="AM90" s="147"/>
      <c r="AN90" s="161"/>
      <c r="AO90" s="147"/>
      <c r="AP90" s="147"/>
      <c r="AQ90" s="147"/>
      <c r="AR90" s="147"/>
      <c r="AS90" s="147"/>
      <c r="AT90" s="147"/>
      <c r="AU90" s="147"/>
      <c r="AV90" s="147"/>
      <c r="AW90" s="147"/>
      <c r="AX90" s="147"/>
      <c r="AY90" s="147"/>
      <c r="AZ90" s="147"/>
      <c r="BA90" s="147"/>
      <c r="BB90" s="147"/>
      <c r="BC90" s="147"/>
      <c r="BD90" s="147"/>
      <c r="BE90" s="147"/>
      <c r="BF90" s="147"/>
      <c r="BG90" s="147"/>
    </row>
    <row r="91" spans="1:59" ht="15.75" customHeight="1" x14ac:dyDescent="0.2">
      <c r="A91" s="189"/>
      <c r="B91" s="189"/>
      <c r="C91" s="190" t="s">
        <v>19</v>
      </c>
      <c r="D91" s="172">
        <v>71.391250388341007</v>
      </c>
      <c r="E91" s="172">
        <v>66.904699821846123</v>
      </c>
      <c r="F91" s="172">
        <v>94.769922190669803</v>
      </c>
      <c r="G91" s="172">
        <v>72.450135763611286</v>
      </c>
      <c r="H91" s="172">
        <v>305.51600816446819</v>
      </c>
      <c r="I91" s="172">
        <v>76.384921810000009</v>
      </c>
      <c r="J91" s="172">
        <v>74.16784057000001</v>
      </c>
      <c r="K91" s="172">
        <v>92.225276269999995</v>
      </c>
      <c r="L91" s="172">
        <v>94.275412500000002</v>
      </c>
      <c r="M91" s="172">
        <v>337.05345115</v>
      </c>
      <c r="N91" s="172">
        <v>89.309000541859987</v>
      </c>
      <c r="O91" s="172">
        <v>82.223882094999979</v>
      </c>
      <c r="P91" s="172">
        <v>91.495195873349005</v>
      </c>
      <c r="Q91" s="172">
        <v>91.686249676395931</v>
      </c>
      <c r="R91" s="172">
        <v>351.34878412</v>
      </c>
      <c r="S91" s="172">
        <v>112.82515960000001</v>
      </c>
      <c r="T91" s="172">
        <v>108.03041314000001</v>
      </c>
      <c r="U91" s="172">
        <v>108.43273812999999</v>
      </c>
      <c r="V91" s="172">
        <v>101.72981003</v>
      </c>
      <c r="W91" s="172">
        <f t="shared" ref="W91:W97" si="48">SUM(S91:V91)</f>
        <v>431.01812090000004</v>
      </c>
      <c r="X91" s="172">
        <v>92.184657189999996</v>
      </c>
      <c r="Y91" s="172">
        <v>90.256807010000003</v>
      </c>
      <c r="Z91" s="172">
        <v>99.326951080000001</v>
      </c>
      <c r="AA91" s="172">
        <v>92.929821899999993</v>
      </c>
      <c r="AB91" s="172">
        <f t="shared" ref="AB91:AB98" si="49">SUM(X91:AA91)</f>
        <v>374.69823717999998</v>
      </c>
      <c r="AC91" s="172">
        <v>89.954233790000004</v>
      </c>
      <c r="AD91" s="172">
        <v>94.045282857877993</v>
      </c>
      <c r="AE91" s="172">
        <v>109.62446188</v>
      </c>
      <c r="AF91" s="147"/>
      <c r="AG91" s="147"/>
      <c r="AH91" s="147"/>
      <c r="AI91" s="147"/>
      <c r="AJ91" s="147"/>
      <c r="AK91" s="147"/>
      <c r="AL91" s="147"/>
      <c r="AM91" s="147"/>
      <c r="AN91" s="161"/>
      <c r="AO91" s="147"/>
      <c r="AP91" s="147"/>
      <c r="AQ91" s="147"/>
      <c r="AR91" s="147"/>
      <c r="AS91" s="147"/>
      <c r="AT91" s="147"/>
      <c r="AU91" s="147"/>
      <c r="AV91" s="147"/>
      <c r="AW91" s="147"/>
      <c r="AX91" s="147"/>
      <c r="AY91" s="147"/>
      <c r="AZ91" s="147"/>
      <c r="BA91" s="147"/>
      <c r="BB91" s="147"/>
      <c r="BC91" s="147"/>
      <c r="BD91" s="147"/>
      <c r="BE91" s="147"/>
      <c r="BF91" s="147"/>
      <c r="BG91" s="147"/>
    </row>
    <row r="92" spans="1:59" ht="15.75" customHeight="1" x14ac:dyDescent="0.2">
      <c r="A92" s="189"/>
      <c r="B92" s="189"/>
      <c r="C92" s="190" t="s">
        <v>27</v>
      </c>
      <c r="D92" s="172">
        <v>5.9536616196960024</v>
      </c>
      <c r="E92" s="172">
        <v>4.4709827707529977</v>
      </c>
      <c r="F92" s="172">
        <v>4.610889041826006</v>
      </c>
      <c r="G92" s="172">
        <v>3.0277068724409868</v>
      </c>
      <c r="H92" s="172">
        <v>18.063240304715993</v>
      </c>
      <c r="I92" s="172">
        <v>4.29385759</v>
      </c>
      <c r="J92" s="172">
        <v>4.9000622699999994</v>
      </c>
      <c r="K92" s="172">
        <v>1.5056698799999999</v>
      </c>
      <c r="L92" s="172">
        <v>-55.833561070000002</v>
      </c>
      <c r="M92" s="172">
        <v>-45.133971330000001</v>
      </c>
      <c r="N92" s="172">
        <v>-1.4579975299999994</v>
      </c>
      <c r="O92" s="172">
        <v>0.22628144000000158</v>
      </c>
      <c r="P92" s="172">
        <v>-1.8203191900000006</v>
      </c>
      <c r="Q92" s="172">
        <v>0.55870956999999843</v>
      </c>
      <c r="R92" s="172">
        <v>-2.4972404099999999</v>
      </c>
      <c r="S92" s="172">
        <v>-1.0996547299999999</v>
      </c>
      <c r="T92" s="172">
        <v>-0.84111980000000008</v>
      </c>
      <c r="U92" s="172">
        <v>-0.3089325</v>
      </c>
      <c r="V92" s="172">
        <v>0.41035790999999999</v>
      </c>
      <c r="W92" s="172">
        <f t="shared" si="48"/>
        <v>-1.8393491200000001</v>
      </c>
      <c r="X92" s="172">
        <v>-0.77601335000000005</v>
      </c>
      <c r="Y92" s="172">
        <v>0.43153730000000001</v>
      </c>
      <c r="Z92" s="172">
        <v>-0.70048065999999998</v>
      </c>
      <c r="AA92" s="172">
        <v>0.23803874999999999</v>
      </c>
      <c r="AB92" s="172">
        <f t="shared" si="49"/>
        <v>-0.80691796000000016</v>
      </c>
      <c r="AC92" s="172">
        <v>4.14251536</v>
      </c>
      <c r="AD92" s="172">
        <v>1.57440048510798</v>
      </c>
      <c r="AE92" s="172">
        <v>2.3087343800000002</v>
      </c>
      <c r="AF92" s="147"/>
      <c r="AG92" s="147"/>
      <c r="AH92" s="147"/>
      <c r="AI92" s="147"/>
      <c r="AJ92" s="147"/>
      <c r="AK92" s="147"/>
      <c r="AL92" s="147"/>
      <c r="AM92" s="147"/>
      <c r="AN92" s="161"/>
      <c r="AO92" s="147"/>
      <c r="AP92" s="147"/>
      <c r="AQ92" s="147"/>
      <c r="AR92" s="147"/>
      <c r="AS92" s="147"/>
      <c r="AT92" s="147"/>
      <c r="AU92" s="147"/>
      <c r="AV92" s="147"/>
      <c r="AW92" s="147"/>
      <c r="AX92" s="147"/>
      <c r="AY92" s="147"/>
      <c r="AZ92" s="147"/>
      <c r="BA92" s="147"/>
      <c r="BB92" s="147"/>
      <c r="BC92" s="147"/>
      <c r="BD92" s="147"/>
      <c r="BE92" s="147"/>
      <c r="BF92" s="147"/>
      <c r="BG92" s="147"/>
    </row>
    <row r="93" spans="1:59" ht="15.75" customHeight="1" x14ac:dyDescent="0.2">
      <c r="A93" s="189"/>
      <c r="B93" s="189"/>
      <c r="C93" s="190" t="s">
        <v>21</v>
      </c>
      <c r="D93" s="172">
        <v>5.6530081095839986</v>
      </c>
      <c r="E93" s="172">
        <v>5.3585679014109022</v>
      </c>
      <c r="F93" s="172">
        <v>9.7490411802250989</v>
      </c>
      <c r="G93" s="172">
        <v>5.4001289217338968</v>
      </c>
      <c r="H93" s="172">
        <v>26.160746112953895</v>
      </c>
      <c r="I93" s="172">
        <v>16.042227480000001</v>
      </c>
      <c r="J93" s="172">
        <v>6.6186363600000018</v>
      </c>
      <c r="K93" s="172">
        <v>10.877141050000001</v>
      </c>
      <c r="L93" s="172">
        <v>6.4100234199999999</v>
      </c>
      <c r="M93" s="172">
        <v>39.948028310000005</v>
      </c>
      <c r="N93" s="172">
        <v>4.3877289601349974</v>
      </c>
      <c r="O93" s="172">
        <v>7.4769757295220138</v>
      </c>
      <c r="P93" s="172">
        <v>7.8505095730380114</v>
      </c>
      <c r="Q93" s="172">
        <v>3.2999985509219947</v>
      </c>
      <c r="R93" s="172">
        <v>23.04542953</v>
      </c>
      <c r="S93" s="172">
        <v>10.21820129</v>
      </c>
      <c r="T93" s="172">
        <v>9.5024208800000007</v>
      </c>
      <c r="U93" s="172">
        <v>9.2950490099999996</v>
      </c>
      <c r="V93" s="172">
        <v>9.6844691600000008</v>
      </c>
      <c r="W93" s="172">
        <f t="shared" si="48"/>
        <v>38.700140339999997</v>
      </c>
      <c r="X93" s="172">
        <v>17.755275189999999</v>
      </c>
      <c r="Y93" s="172">
        <v>10.4097784</v>
      </c>
      <c r="Z93" s="172">
        <v>14.679113790000001</v>
      </c>
      <c r="AA93" s="172">
        <v>9.8328570099999997</v>
      </c>
      <c r="AB93" s="172">
        <f t="shared" si="49"/>
        <v>52.67702439</v>
      </c>
      <c r="AC93" s="172">
        <v>14.18764878</v>
      </c>
      <c r="AD93" s="172">
        <v>6.3950948499999996</v>
      </c>
      <c r="AE93" s="172">
        <v>2.3640943399999998</v>
      </c>
      <c r="AF93" s="147"/>
      <c r="AG93" s="147"/>
      <c r="AH93" s="147"/>
      <c r="AI93" s="147"/>
      <c r="AJ93" s="147"/>
      <c r="AK93" s="147"/>
      <c r="AL93" s="147"/>
      <c r="AM93" s="147"/>
      <c r="AN93" s="161"/>
      <c r="AO93" s="147"/>
      <c r="AP93" s="147"/>
      <c r="AQ93" s="147"/>
      <c r="AR93" s="147"/>
      <c r="AS93" s="147"/>
      <c r="AT93" s="147"/>
      <c r="AU93" s="147"/>
      <c r="AV93" s="147"/>
      <c r="AW93" s="147"/>
      <c r="AX93" s="147"/>
      <c r="AY93" s="147"/>
      <c r="AZ93" s="147"/>
      <c r="BA93" s="147"/>
      <c r="BB93" s="147"/>
      <c r="BC93" s="147"/>
      <c r="BD93" s="147"/>
      <c r="BE93" s="147"/>
      <c r="BF93" s="147"/>
      <c r="BG93" s="147"/>
    </row>
    <row r="94" spans="1:59" ht="15.75" customHeight="1" x14ac:dyDescent="0.2">
      <c r="A94" s="189"/>
      <c r="B94" s="189"/>
      <c r="C94" s="190" t="s">
        <v>23</v>
      </c>
      <c r="D94" s="172">
        <v>63.357870976671904</v>
      </c>
      <c r="E94" s="172">
        <v>72.59862797004449</v>
      </c>
      <c r="F94" s="172">
        <v>84.887974606452886</v>
      </c>
      <c r="G94" s="172">
        <v>70.100649311589635</v>
      </c>
      <c r="H94" s="172">
        <v>290.9451228647589</v>
      </c>
      <c r="I94" s="172">
        <v>57.948849850000002</v>
      </c>
      <c r="J94" s="172">
        <v>63.959369899999999</v>
      </c>
      <c r="K94" s="172">
        <v>92.252803079999993</v>
      </c>
      <c r="L94" s="172">
        <v>85.667191119999998</v>
      </c>
      <c r="M94" s="172">
        <v>299.82821394999996</v>
      </c>
      <c r="N94" s="172">
        <v>88.01367556244891</v>
      </c>
      <c r="O94" s="172">
        <v>121.32695968276497</v>
      </c>
      <c r="P94" s="172">
        <v>120.3127936733342</v>
      </c>
      <c r="Q94" s="172">
        <v>112.38995487375192</v>
      </c>
      <c r="R94" s="172">
        <v>440.23183153999997</v>
      </c>
      <c r="S94" s="172">
        <v>130.82170440000002</v>
      </c>
      <c r="T94" s="172">
        <v>125.85111778</v>
      </c>
      <c r="U94" s="172">
        <v>139.26215680000001</v>
      </c>
      <c r="V94" s="172">
        <v>138.33186471000002</v>
      </c>
      <c r="W94" s="172">
        <f t="shared" si="48"/>
        <v>534.26684369000009</v>
      </c>
      <c r="X94" s="172">
        <v>108.74079369</v>
      </c>
      <c r="Y94" s="172">
        <v>119.18094855</v>
      </c>
      <c r="Z94" s="172">
        <v>148.80775396000001</v>
      </c>
      <c r="AA94" s="172">
        <v>126.76758148</v>
      </c>
      <c r="AB94" s="172">
        <f t="shared" si="49"/>
        <v>503.49707768000002</v>
      </c>
      <c r="AC94" s="172">
        <v>126.70003912999999</v>
      </c>
      <c r="AD94" s="172">
        <v>123.589251610026</v>
      </c>
      <c r="AE94" s="172">
        <v>156.73225065</v>
      </c>
      <c r="AF94" s="147"/>
      <c r="AG94" s="147"/>
      <c r="AH94" s="147"/>
      <c r="AI94" s="147"/>
      <c r="AJ94" s="147"/>
      <c r="AK94" s="147"/>
      <c r="AL94" s="147"/>
      <c r="AM94" s="147"/>
      <c r="AN94" s="161"/>
      <c r="AO94" s="147"/>
      <c r="AP94" s="147"/>
      <c r="AQ94" s="147"/>
      <c r="AR94" s="147"/>
      <c r="AS94" s="147"/>
      <c r="AT94" s="147"/>
      <c r="AU94" s="147"/>
      <c r="AV94" s="147"/>
      <c r="AW94" s="147"/>
      <c r="AX94" s="147"/>
      <c r="AY94" s="147"/>
      <c r="AZ94" s="147"/>
      <c r="BA94" s="147"/>
      <c r="BB94" s="147"/>
      <c r="BC94" s="147"/>
      <c r="BD94" s="147"/>
      <c r="BE94" s="147"/>
      <c r="BF94" s="147"/>
      <c r="BG94" s="147"/>
    </row>
    <row r="95" spans="1:59" ht="15.75" customHeight="1" x14ac:dyDescent="0.2">
      <c r="A95" s="189"/>
      <c r="B95" s="189"/>
      <c r="C95" s="190" t="s">
        <v>25</v>
      </c>
      <c r="D95" s="172">
        <v>-0.70688927234900156</v>
      </c>
      <c r="E95" s="172">
        <v>0.85488747777201957</v>
      </c>
      <c r="F95" s="172">
        <v>1.5594598886289812</v>
      </c>
      <c r="G95" s="172">
        <v>2.9977434158650453</v>
      </c>
      <c r="H95" s="172">
        <v>4.7052015099170443</v>
      </c>
      <c r="I95" s="172">
        <v>0.50174646000000001</v>
      </c>
      <c r="J95" s="172">
        <v>0.35358305000000001</v>
      </c>
      <c r="K95" s="172">
        <v>2.41290307</v>
      </c>
      <c r="L95" s="172">
        <v>2.8033614600000001</v>
      </c>
      <c r="M95" s="172">
        <v>6.0715940400000008</v>
      </c>
      <c r="N95" s="172">
        <v>-1.0028119726550009</v>
      </c>
      <c r="O95" s="172">
        <v>2.9236961147260088</v>
      </c>
      <c r="P95" s="172">
        <v>3.0965557365949969</v>
      </c>
      <c r="Q95" s="172">
        <v>2.6786071566159735</v>
      </c>
      <c r="R95" s="172">
        <v>12.707244469999999</v>
      </c>
      <c r="S95" s="172">
        <v>2.5691450099999997</v>
      </c>
      <c r="T95" s="172">
        <v>2.6878682700000001</v>
      </c>
      <c r="U95" s="172">
        <v>2.8457232400000003</v>
      </c>
      <c r="V95" s="172">
        <v>2.81997461</v>
      </c>
      <c r="W95" s="172">
        <f t="shared" si="48"/>
        <v>10.92271113</v>
      </c>
      <c r="X95" s="172">
        <v>2.4212903699999999</v>
      </c>
      <c r="Y95" s="172">
        <v>2.3581276400000002</v>
      </c>
      <c r="Z95" s="172">
        <v>1.6087355000000001</v>
      </c>
      <c r="AA95" s="172">
        <v>2.18855222</v>
      </c>
      <c r="AB95" s="172">
        <f t="shared" si="49"/>
        <v>8.5767057300000005</v>
      </c>
      <c r="AC95" s="172">
        <v>-1.32432415</v>
      </c>
      <c r="AD95" s="172">
        <v>-1.38367488264702</v>
      </c>
      <c r="AE95" s="172">
        <v>0.89796105999999998</v>
      </c>
      <c r="AF95" s="147"/>
      <c r="AG95" s="147"/>
      <c r="AH95" s="147"/>
      <c r="AI95" s="147"/>
      <c r="AJ95" s="147"/>
      <c r="AK95" s="147"/>
      <c r="AL95" s="147"/>
      <c r="AM95" s="147"/>
      <c r="AN95" s="161"/>
      <c r="AO95" s="147"/>
      <c r="AP95" s="147"/>
      <c r="AQ95" s="147"/>
      <c r="AR95" s="147"/>
      <c r="AS95" s="147"/>
      <c r="AT95" s="147"/>
      <c r="AU95" s="147"/>
      <c r="AV95" s="147"/>
      <c r="AW95" s="147"/>
      <c r="AX95" s="147"/>
      <c r="AY95" s="147"/>
      <c r="AZ95" s="147"/>
      <c r="BA95" s="147"/>
      <c r="BB95" s="147"/>
      <c r="BC95" s="147"/>
      <c r="BD95" s="147"/>
      <c r="BE95" s="147"/>
      <c r="BF95" s="147"/>
      <c r="BG95" s="147"/>
    </row>
    <row r="96" spans="1:59" ht="15.75" customHeight="1" x14ac:dyDescent="0.2">
      <c r="A96" s="189"/>
      <c r="B96" s="189"/>
      <c r="C96" s="190" t="s">
        <v>29</v>
      </c>
      <c r="D96" s="172">
        <v>1.9025613706179967</v>
      </c>
      <c r="E96" s="172">
        <v>1.0186354182230104</v>
      </c>
      <c r="F96" s="172">
        <v>2.1170314551381999</v>
      </c>
      <c r="G96" s="172">
        <v>4.8977933657711317</v>
      </c>
      <c r="H96" s="172">
        <v>9.9360216097503375</v>
      </c>
      <c r="I96" s="172">
        <v>0.58798238000000003</v>
      </c>
      <c r="J96" s="172">
        <v>-2.6126995000000002</v>
      </c>
      <c r="K96" s="172">
        <v>4.0903700000000003E-3</v>
      </c>
      <c r="L96" s="172">
        <v>-2.2431772000000003</v>
      </c>
      <c r="M96" s="172">
        <v>-4.2638039499999998</v>
      </c>
      <c r="N96" s="172">
        <v>-0.76262981361594495</v>
      </c>
      <c r="O96" s="172">
        <v>1.7742650001840288</v>
      </c>
      <c r="P96" s="172">
        <v>-0.81886128363200572</v>
      </c>
      <c r="Q96" s="172">
        <v>-14.391646761687547</v>
      </c>
      <c r="R96" s="172">
        <v>-14.093670509999999</v>
      </c>
      <c r="S96" s="172">
        <v>0.75599305000000006</v>
      </c>
      <c r="T96" s="172">
        <v>0.78040506999999992</v>
      </c>
      <c r="U96" s="172">
        <v>-9.7012639999999997E-2</v>
      </c>
      <c r="V96" s="172">
        <v>1.8923639699999999</v>
      </c>
      <c r="W96" s="172">
        <f t="shared" si="48"/>
        <v>3.3317494499999998</v>
      </c>
      <c r="X96" s="172">
        <v>1.6632834400000001</v>
      </c>
      <c r="Y96" s="172">
        <v>1.4896719599999999</v>
      </c>
      <c r="Z96" s="172">
        <v>-0.34705487000000002</v>
      </c>
      <c r="AA96" s="172">
        <v>1.3152156800000001</v>
      </c>
      <c r="AB96" s="172">
        <f t="shared" si="49"/>
        <v>4.1211162100000003</v>
      </c>
      <c r="AC96" s="172">
        <v>1.5194689800000001</v>
      </c>
      <c r="AD96" s="172">
        <v>-3.7120205819900004E-3</v>
      </c>
      <c r="AE96" s="172">
        <v>-1.06348383</v>
      </c>
      <c r="AF96" s="147"/>
      <c r="AG96" s="147"/>
      <c r="AH96" s="147"/>
      <c r="AI96" s="147"/>
      <c r="AJ96" s="147"/>
      <c r="AK96" s="147"/>
      <c r="AL96" s="147"/>
      <c r="AM96" s="147"/>
      <c r="AN96" s="161"/>
      <c r="AO96" s="147"/>
      <c r="AP96" s="147"/>
      <c r="AQ96" s="147"/>
      <c r="AR96" s="147"/>
      <c r="AS96" s="147"/>
      <c r="AT96" s="147"/>
      <c r="AU96" s="147"/>
      <c r="AV96" s="147"/>
      <c r="AW96" s="147"/>
      <c r="AX96" s="147"/>
      <c r="AY96" s="147"/>
      <c r="AZ96" s="147"/>
      <c r="BA96" s="147"/>
      <c r="BB96" s="147"/>
      <c r="BC96" s="147"/>
      <c r="BD96" s="147"/>
      <c r="BE96" s="147"/>
      <c r="BF96" s="147"/>
      <c r="BG96" s="147"/>
    </row>
    <row r="97" spans="1:59" ht="15.75" customHeight="1" x14ac:dyDescent="0.2">
      <c r="A97" s="189"/>
      <c r="B97" s="189"/>
      <c r="C97" s="190" t="s">
        <v>208</v>
      </c>
      <c r="D97" s="172">
        <v>-13.395355068122198</v>
      </c>
      <c r="E97" s="172">
        <v>-18.907906819969771</v>
      </c>
      <c r="F97" s="172">
        <v>-16.756291836664634</v>
      </c>
      <c r="G97" s="172">
        <v>-20.400467584130901</v>
      </c>
      <c r="H97" s="172">
        <v>-69.460021308887491</v>
      </c>
      <c r="I97" s="172">
        <v>-15.02114302</v>
      </c>
      <c r="J97" s="172">
        <v>-18.187849789999998</v>
      </c>
      <c r="K97" s="172">
        <v>-17.64778355</v>
      </c>
      <c r="L97" s="172">
        <v>-28.829342870000001</v>
      </c>
      <c r="M97" s="172">
        <v>-79.686119230000003</v>
      </c>
      <c r="N97" s="172">
        <v>-16.437359650378976</v>
      </c>
      <c r="O97" s="172">
        <v>-15.061777953056021</v>
      </c>
      <c r="P97" s="172">
        <v>-15.067475371639013</v>
      </c>
      <c r="Q97" s="172">
        <v>-26.94606126997995</v>
      </c>
      <c r="R97" s="172">
        <v>-80.474655479999996</v>
      </c>
      <c r="S97" s="172">
        <v>-16.401625970000001</v>
      </c>
      <c r="T97" s="172">
        <v>-27.632106440000001</v>
      </c>
      <c r="U97" s="172">
        <v>-24.671390769999999</v>
      </c>
      <c r="V97" s="172">
        <v>-57.222634679999999</v>
      </c>
      <c r="W97" s="172">
        <f t="shared" si="48"/>
        <v>-125.92775786</v>
      </c>
      <c r="X97" s="172">
        <v>-4.4049159800000002</v>
      </c>
      <c r="Y97" s="172">
        <v>-4.7395316899999997</v>
      </c>
      <c r="Z97" s="172">
        <v>-2.5154365699999999</v>
      </c>
      <c r="AA97" s="172">
        <v>-9.4473768800000002</v>
      </c>
      <c r="AB97" s="172">
        <f t="shared" si="49"/>
        <v>-21.10726112</v>
      </c>
      <c r="AC97" s="172">
        <v>-7.5649708899999997</v>
      </c>
      <c r="AD97" s="172">
        <v>14.659352714735</v>
      </c>
      <c r="AE97" s="172">
        <v>-2.8889439100000001</v>
      </c>
      <c r="AF97" s="147"/>
      <c r="AG97" s="147"/>
      <c r="AH97" s="147"/>
      <c r="AI97" s="147"/>
      <c r="AJ97" s="147"/>
      <c r="AK97" s="147"/>
      <c r="AL97" s="147"/>
      <c r="AM97" s="147"/>
      <c r="AN97" s="161"/>
      <c r="AO97" s="147"/>
      <c r="AP97" s="147"/>
      <c r="AQ97" s="147"/>
      <c r="AR97" s="147"/>
      <c r="AS97" s="147"/>
      <c r="AT97" s="147"/>
      <c r="AU97" s="147"/>
      <c r="AV97" s="147"/>
      <c r="AW97" s="147"/>
      <c r="AX97" s="147"/>
      <c r="AY97" s="147"/>
      <c r="AZ97" s="147"/>
      <c r="BA97" s="147"/>
      <c r="BB97" s="147"/>
      <c r="BC97" s="147"/>
      <c r="BD97" s="147"/>
      <c r="BE97" s="147"/>
      <c r="BF97" s="147"/>
      <c r="BG97" s="147"/>
    </row>
    <row r="98" spans="1:59" ht="15.75" customHeight="1" x14ac:dyDescent="0.2">
      <c r="A98" s="189"/>
      <c r="B98" s="189"/>
      <c r="C98" s="190" t="s">
        <v>212</v>
      </c>
      <c r="D98" s="172">
        <v>-1.6</v>
      </c>
      <c r="E98" s="172">
        <v>-2.9</v>
      </c>
      <c r="F98" s="172">
        <v>-2.1</v>
      </c>
      <c r="G98" s="172">
        <v>-8.5</v>
      </c>
      <c r="H98" s="172">
        <f>SUM(D98:G98)</f>
        <v>-15.1</v>
      </c>
      <c r="I98" s="172">
        <v>-4.8</v>
      </c>
      <c r="J98" s="172">
        <v>2.5</v>
      </c>
      <c r="K98" s="172">
        <v>-2.1</v>
      </c>
      <c r="L98" s="172">
        <v>6.8</v>
      </c>
      <c r="M98" s="172">
        <f>SUM(I98:L98)</f>
        <v>2.3999999999999995</v>
      </c>
      <c r="N98" s="172">
        <v>-20.755774623940663</v>
      </c>
      <c r="O98" s="172">
        <v>-8.8213611674358994</v>
      </c>
      <c r="P98" s="172">
        <v>-2.5582720601457778</v>
      </c>
      <c r="Q98" s="172">
        <v>3.3687220727818254</v>
      </c>
      <c r="R98" s="172">
        <v>-19.100000000000001</v>
      </c>
      <c r="S98" s="172">
        <v>-10.2396025</v>
      </c>
      <c r="T98" s="172">
        <v>2.1829537499999998</v>
      </c>
      <c r="U98" s="172">
        <v>-15.7024714</v>
      </c>
      <c r="V98" s="172">
        <v>-8.03832828</v>
      </c>
      <c r="W98" s="172">
        <v>-31.891265679999997</v>
      </c>
      <c r="X98" s="172">
        <v>21.428275679999999</v>
      </c>
      <c r="Y98" s="172">
        <v>-18.186691230000001</v>
      </c>
      <c r="Z98" s="172">
        <v>-12.837073910000001</v>
      </c>
      <c r="AA98" s="172">
        <v>26.89252347</v>
      </c>
      <c r="AB98" s="172">
        <f t="shared" si="49"/>
        <v>17.297034009999997</v>
      </c>
      <c r="AC98" s="172">
        <v>12.0674036</v>
      </c>
      <c r="AD98" s="172">
        <v>18.322319942844398</v>
      </c>
      <c r="AE98" s="172">
        <v>0.41546678999999997</v>
      </c>
      <c r="AF98" s="147"/>
      <c r="AG98" s="147"/>
      <c r="AH98" s="147"/>
      <c r="AI98" s="147"/>
      <c r="AJ98" s="147"/>
      <c r="AK98" s="147"/>
      <c r="AL98" s="147"/>
      <c r="AM98" s="147"/>
      <c r="AN98" s="161"/>
      <c r="AO98" s="147"/>
      <c r="AP98" s="147"/>
      <c r="AQ98" s="147"/>
      <c r="AR98" s="147"/>
      <c r="AS98" s="147"/>
      <c r="AT98" s="147"/>
      <c r="AU98" s="147"/>
      <c r="AV98" s="147"/>
      <c r="AW98" s="147"/>
      <c r="AX98" s="147"/>
      <c r="AY98" s="147"/>
      <c r="AZ98" s="147"/>
      <c r="BA98" s="147"/>
      <c r="BB98" s="147"/>
      <c r="BC98" s="147"/>
      <c r="BD98" s="147"/>
      <c r="BE98" s="147"/>
      <c r="BF98" s="147"/>
      <c r="BG98" s="147"/>
    </row>
    <row r="99" spans="1:59" ht="15.75" customHeight="1" x14ac:dyDescent="0.2">
      <c r="A99" s="162"/>
      <c r="B99" s="162"/>
      <c r="C99" s="214" t="s">
        <v>189</v>
      </c>
      <c r="D99" s="215">
        <f t="shared" ref="D99:AE99" si="50">SUM(D91,D92,D94,D96,D95,D93,D97,D98)</f>
        <v>132.5561081244397</v>
      </c>
      <c r="E99" s="215">
        <f t="shared" si="50"/>
        <v>129.39849454007975</v>
      </c>
      <c r="F99" s="215">
        <f t="shared" si="50"/>
        <v>178.83802652627637</v>
      </c>
      <c r="G99" s="215">
        <f t="shared" si="50"/>
        <v>129.97369006688109</v>
      </c>
      <c r="H99" s="215">
        <f t="shared" si="50"/>
        <v>570.76631925767686</v>
      </c>
      <c r="I99" s="215">
        <f t="shared" si="50"/>
        <v>135.93844254999999</v>
      </c>
      <c r="J99" s="215">
        <f t="shared" si="50"/>
        <v>131.69894286000002</v>
      </c>
      <c r="K99" s="215">
        <f t="shared" si="50"/>
        <v>179.53010017</v>
      </c>
      <c r="L99" s="215">
        <f t="shared" si="50"/>
        <v>109.04990735999998</v>
      </c>
      <c r="M99" s="215">
        <f t="shared" si="50"/>
        <v>556.21739293999997</v>
      </c>
      <c r="N99" s="215">
        <f t="shared" si="50"/>
        <v>141.29383147385334</v>
      </c>
      <c r="O99" s="215">
        <f t="shared" si="50"/>
        <v>192.06892094170507</v>
      </c>
      <c r="P99" s="215">
        <f t="shared" si="50"/>
        <v>202.49012695089942</v>
      </c>
      <c r="Q99" s="215">
        <f t="shared" si="50"/>
        <v>172.64453386880015</v>
      </c>
      <c r="R99" s="215">
        <f t="shared" si="50"/>
        <v>711.16772325999989</v>
      </c>
      <c r="S99" s="215">
        <f t="shared" si="50"/>
        <v>229.44932015000006</v>
      </c>
      <c r="T99" s="215">
        <f t="shared" si="50"/>
        <v>220.56195264999997</v>
      </c>
      <c r="U99" s="215">
        <f t="shared" si="50"/>
        <v>219.05585987000001</v>
      </c>
      <c r="V99" s="215">
        <f t="shared" si="50"/>
        <v>189.60787743</v>
      </c>
      <c r="W99" s="215">
        <f t="shared" si="50"/>
        <v>858.58119285000009</v>
      </c>
      <c r="X99" s="215">
        <f t="shared" si="50"/>
        <v>239.01264622999997</v>
      </c>
      <c r="Y99" s="215">
        <f t="shared" si="50"/>
        <v>201.20064793999998</v>
      </c>
      <c r="Z99" s="215">
        <f t="shared" si="50"/>
        <v>248.02250831999999</v>
      </c>
      <c r="AA99" s="215">
        <f t="shared" si="50"/>
        <v>250.71721363</v>
      </c>
      <c r="AB99" s="215">
        <f t="shared" si="50"/>
        <v>938.95301611999992</v>
      </c>
      <c r="AC99" s="215">
        <f t="shared" si="50"/>
        <v>239.68201459999997</v>
      </c>
      <c r="AD99" s="215">
        <f t="shared" si="50"/>
        <v>257.19831555736238</v>
      </c>
      <c r="AE99" s="215">
        <f t="shared" si="50"/>
        <v>268.39054135999999</v>
      </c>
      <c r="AF99" s="147"/>
      <c r="AG99" s="147"/>
      <c r="AH99" s="147"/>
      <c r="AI99" s="147"/>
      <c r="AJ99" s="147"/>
      <c r="AK99" s="147"/>
      <c r="AL99" s="147"/>
      <c r="AM99" s="147"/>
      <c r="AN99" s="161"/>
      <c r="AO99" s="147"/>
      <c r="AP99" s="147"/>
      <c r="AQ99" s="147"/>
      <c r="AR99" s="147"/>
      <c r="AS99" s="147"/>
      <c r="AT99" s="147"/>
      <c r="AU99" s="147"/>
      <c r="AV99" s="147"/>
      <c r="AW99" s="147"/>
      <c r="AX99" s="147"/>
      <c r="AY99" s="147"/>
      <c r="AZ99" s="147"/>
      <c r="BA99" s="147"/>
      <c r="BB99" s="147"/>
      <c r="BC99" s="147"/>
      <c r="BD99" s="147"/>
      <c r="BE99" s="147"/>
      <c r="BF99" s="147"/>
      <c r="BG99" s="147"/>
    </row>
    <row r="100" spans="1:59" ht="15.75" customHeight="1" x14ac:dyDescent="0.2">
      <c r="A100" s="189"/>
      <c r="B100" s="189"/>
      <c r="C100" s="55"/>
      <c r="D100" s="172"/>
      <c r="E100" s="172"/>
      <c r="F100" s="172"/>
      <c r="G100" s="172"/>
      <c r="H100" s="207"/>
      <c r="I100" s="172"/>
      <c r="J100" s="172"/>
      <c r="K100" s="172"/>
      <c r="L100" s="172"/>
      <c r="M100" s="207"/>
      <c r="N100" s="172"/>
      <c r="O100" s="172"/>
      <c r="P100" s="172"/>
      <c r="Q100" s="172"/>
      <c r="R100" s="207"/>
      <c r="S100" s="172"/>
      <c r="T100" s="172"/>
      <c r="U100" s="172"/>
      <c r="V100" s="172"/>
      <c r="W100" s="207"/>
      <c r="X100" s="172"/>
      <c r="Y100" s="172"/>
      <c r="Z100" s="172"/>
      <c r="AA100" s="172"/>
      <c r="AB100" s="207"/>
      <c r="AC100" s="172"/>
      <c r="AD100" s="172"/>
      <c r="AE100" s="172"/>
      <c r="AF100" s="147"/>
      <c r="AG100" s="147"/>
      <c r="AH100" s="147"/>
      <c r="AI100" s="147"/>
      <c r="AJ100" s="147"/>
      <c r="AK100" s="147"/>
      <c r="AL100" s="147"/>
      <c r="AM100" s="147"/>
      <c r="AN100" s="161"/>
      <c r="AO100" s="147"/>
      <c r="AP100" s="147"/>
      <c r="AQ100" s="147"/>
      <c r="AR100" s="147"/>
      <c r="AS100" s="147"/>
      <c r="AT100" s="147"/>
      <c r="AU100" s="147"/>
      <c r="AV100" s="147"/>
      <c r="AW100" s="147"/>
      <c r="AX100" s="147"/>
      <c r="AY100" s="147"/>
      <c r="AZ100" s="147"/>
      <c r="BA100" s="147"/>
      <c r="BB100" s="147"/>
      <c r="BC100" s="147"/>
      <c r="BD100" s="147"/>
      <c r="BE100" s="147"/>
      <c r="BF100" s="147"/>
      <c r="BG100" s="147"/>
    </row>
    <row r="101" spans="1:59" ht="15.75" customHeight="1" x14ac:dyDescent="0.2">
      <c r="A101" s="189"/>
      <c r="B101" s="189"/>
      <c r="C101" s="55" t="s">
        <v>193</v>
      </c>
      <c r="D101" s="172"/>
      <c r="E101" s="172"/>
      <c r="F101" s="172"/>
      <c r="G101" s="172"/>
      <c r="H101" s="207"/>
      <c r="I101" s="172"/>
      <c r="J101" s="172"/>
      <c r="K101" s="172"/>
      <c r="L101" s="172"/>
      <c r="M101" s="207"/>
      <c r="N101" s="172"/>
      <c r="O101" s="172"/>
      <c r="P101" s="172"/>
      <c r="Q101" s="172"/>
      <c r="R101" s="207"/>
      <c r="S101" s="172"/>
      <c r="T101" s="172"/>
      <c r="U101" s="172"/>
      <c r="V101" s="172"/>
      <c r="W101" s="207"/>
      <c r="X101" s="172"/>
      <c r="Y101" s="172"/>
      <c r="Z101" s="172"/>
      <c r="AA101" s="172"/>
      <c r="AB101" s="207"/>
      <c r="AC101" s="172"/>
      <c r="AD101" s="172"/>
      <c r="AE101" s="172"/>
      <c r="AF101" s="147"/>
      <c r="AG101" s="147"/>
      <c r="AH101" s="147"/>
      <c r="AI101" s="147"/>
      <c r="AJ101" s="147"/>
      <c r="AK101" s="147"/>
      <c r="AL101" s="147"/>
      <c r="AM101" s="147"/>
      <c r="AN101" s="161"/>
      <c r="AO101" s="147"/>
      <c r="AP101" s="147"/>
      <c r="AQ101" s="147"/>
      <c r="AR101" s="147"/>
      <c r="AS101" s="147"/>
      <c r="AT101" s="147"/>
      <c r="AU101" s="147"/>
      <c r="AV101" s="147"/>
      <c r="AW101" s="147"/>
      <c r="AX101" s="147"/>
      <c r="AY101" s="147"/>
      <c r="AZ101" s="147"/>
      <c r="BA101" s="147"/>
      <c r="BB101" s="147"/>
      <c r="BC101" s="147"/>
      <c r="BD101" s="147"/>
      <c r="BE101" s="147"/>
      <c r="BF101" s="147"/>
      <c r="BG101" s="147"/>
    </row>
    <row r="102" spans="1:59" ht="15.75" customHeight="1" x14ac:dyDescent="0.2">
      <c r="A102" s="147"/>
      <c r="B102" s="147"/>
      <c r="C102" s="186"/>
      <c r="D102" s="187"/>
      <c r="E102" s="187"/>
      <c r="F102" s="187"/>
      <c r="G102" s="187"/>
      <c r="H102" s="187"/>
      <c r="I102" s="187"/>
      <c r="J102" s="187"/>
      <c r="K102" s="187"/>
      <c r="L102" s="187"/>
      <c r="M102" s="187"/>
      <c r="N102" s="187"/>
      <c r="O102" s="187"/>
      <c r="P102" s="187"/>
      <c r="Q102" s="187"/>
      <c r="R102" s="188"/>
      <c r="S102" s="187"/>
      <c r="T102" s="187"/>
      <c r="U102" s="187"/>
      <c r="V102" s="187"/>
      <c r="W102" s="187"/>
      <c r="X102" s="187"/>
      <c r="Y102" s="187"/>
      <c r="Z102" s="187"/>
      <c r="AA102" s="187"/>
      <c r="AB102" s="187"/>
      <c r="AC102" s="187"/>
      <c r="AD102" s="187"/>
      <c r="AE102" s="187"/>
      <c r="AF102" s="161"/>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row>
    <row r="103" spans="1:59" ht="15.75" customHeight="1" x14ac:dyDescent="0.2">
      <c r="A103" s="210"/>
      <c r="B103" s="211" t="s">
        <v>213</v>
      </c>
      <c r="C103" s="211"/>
      <c r="D103" s="158" t="s">
        <v>98</v>
      </c>
      <c r="E103" s="158" t="s">
        <v>99</v>
      </c>
      <c r="F103" s="158" t="s">
        <v>100</v>
      </c>
      <c r="G103" s="158" t="s">
        <v>101</v>
      </c>
      <c r="H103" s="159">
        <v>2018</v>
      </c>
      <c r="I103" s="158" t="s">
        <v>102</v>
      </c>
      <c r="J103" s="158" t="s">
        <v>103</v>
      </c>
      <c r="K103" s="158" t="s">
        <v>104</v>
      </c>
      <c r="L103" s="158" t="s">
        <v>105</v>
      </c>
      <c r="M103" s="159">
        <v>2019</v>
      </c>
      <c r="N103" s="158" t="s">
        <v>158</v>
      </c>
      <c r="O103" s="158" t="s">
        <v>107</v>
      </c>
      <c r="P103" s="158" t="s">
        <v>108</v>
      </c>
      <c r="Q103" s="158" t="s">
        <v>109</v>
      </c>
      <c r="R103" s="159">
        <v>2020</v>
      </c>
      <c r="S103" s="158" t="s">
        <v>110</v>
      </c>
      <c r="T103" s="158" t="s">
        <v>111</v>
      </c>
      <c r="U103" s="158" t="s">
        <v>112</v>
      </c>
      <c r="V103" s="158" t="s">
        <v>113</v>
      </c>
      <c r="W103" s="159">
        <v>2021</v>
      </c>
      <c r="X103" s="158" t="s">
        <v>114</v>
      </c>
      <c r="Y103" s="158" t="s">
        <v>115</v>
      </c>
      <c r="Z103" s="158" t="str">
        <f>$Z$4</f>
        <v>3Q22</v>
      </c>
      <c r="AA103" s="158" t="str">
        <f>$AA$4</f>
        <v>4Q22</v>
      </c>
      <c r="AB103" s="160">
        <v>2022</v>
      </c>
      <c r="AC103" s="158" t="str">
        <f>$AC$4</f>
        <v>1Q23</v>
      </c>
      <c r="AD103" s="158" t="str">
        <f t="shared" ref="AD103:AE103" si="51">AD$4</f>
        <v>2Q23</v>
      </c>
      <c r="AE103" s="158" t="str">
        <f t="shared" si="51"/>
        <v>3Q23</v>
      </c>
      <c r="AF103" s="147"/>
      <c r="AG103" s="147"/>
      <c r="AH103" s="147"/>
      <c r="AI103" s="147"/>
      <c r="AJ103" s="147"/>
      <c r="AK103" s="147"/>
      <c r="AL103" s="147"/>
      <c r="AM103" s="147"/>
      <c r="AN103" s="209"/>
      <c r="AO103" s="147"/>
      <c r="AP103" s="147"/>
      <c r="AQ103" s="147"/>
      <c r="AR103" s="147"/>
      <c r="AS103" s="147"/>
      <c r="AT103" s="147"/>
      <c r="AU103" s="147"/>
      <c r="AV103" s="147"/>
      <c r="AW103" s="147"/>
      <c r="AX103" s="147"/>
      <c r="AY103" s="147"/>
      <c r="AZ103" s="147"/>
      <c r="BA103" s="147"/>
      <c r="BB103" s="147"/>
      <c r="BC103" s="147"/>
      <c r="BD103" s="147"/>
      <c r="BE103" s="147"/>
      <c r="BF103" s="147"/>
      <c r="BG103" s="147"/>
    </row>
    <row r="104" spans="1:59" ht="15.75" customHeight="1" x14ac:dyDescent="0.2">
      <c r="A104" s="189"/>
      <c r="B104" s="189"/>
      <c r="C104" s="190" t="s">
        <v>214</v>
      </c>
      <c r="D104" s="191">
        <f t="shared" ref="D104:AE104" si="52">D91/D$99</f>
        <v>0.53857382657403485</v>
      </c>
      <c r="E104" s="191">
        <f t="shared" si="52"/>
        <v>0.51704388107176269</v>
      </c>
      <c r="F104" s="191">
        <f t="shared" si="52"/>
        <v>0.52992042034609133</v>
      </c>
      <c r="G104" s="191">
        <f t="shared" si="52"/>
        <v>0.55742154990237125</v>
      </c>
      <c r="H104" s="191">
        <f t="shared" si="52"/>
        <v>0.53527336469645581</v>
      </c>
      <c r="I104" s="191">
        <f t="shared" si="52"/>
        <v>0.56190817238401569</v>
      </c>
      <c r="J104" s="191">
        <f t="shared" si="52"/>
        <v>0.56316200388064375</v>
      </c>
      <c r="K104" s="191">
        <f t="shared" si="52"/>
        <v>0.51370369750069966</v>
      </c>
      <c r="L104" s="191">
        <f t="shared" si="52"/>
        <v>0.86451620897553072</v>
      </c>
      <c r="M104" s="191">
        <f t="shared" si="52"/>
        <v>0.60597431045519012</v>
      </c>
      <c r="N104" s="191">
        <f t="shared" si="52"/>
        <v>0.6320799684619407</v>
      </c>
      <c r="O104" s="191">
        <f t="shared" si="52"/>
        <v>0.42809571528730456</v>
      </c>
      <c r="P104" s="191">
        <f t="shared" si="52"/>
        <v>0.45185015808467099</v>
      </c>
      <c r="Q104" s="191">
        <f t="shared" si="52"/>
        <v>0.53106951967603078</v>
      </c>
      <c r="R104" s="191">
        <f t="shared" si="52"/>
        <v>0.49404489634233356</v>
      </c>
      <c r="S104" s="191">
        <f t="shared" si="52"/>
        <v>0.49172148135475735</v>
      </c>
      <c r="T104" s="191">
        <f t="shared" si="52"/>
        <v>0.48979623113615023</v>
      </c>
      <c r="U104" s="191">
        <f t="shared" si="52"/>
        <v>0.49500039941570173</v>
      </c>
      <c r="V104" s="191">
        <f t="shared" si="52"/>
        <v>0.53652733952236198</v>
      </c>
      <c r="W104" s="191">
        <f t="shared" si="52"/>
        <v>0.50201206885194583</v>
      </c>
      <c r="X104" s="191">
        <f t="shared" si="52"/>
        <v>0.3856894546964324</v>
      </c>
      <c r="Y104" s="191">
        <f t="shared" si="52"/>
        <v>0.44859103553640378</v>
      </c>
      <c r="Z104" s="191">
        <f t="shared" si="52"/>
        <v>0.40047555261334522</v>
      </c>
      <c r="AA104" s="191">
        <f t="shared" si="52"/>
        <v>0.37065592966082772</v>
      </c>
      <c r="AB104" s="191">
        <f t="shared" si="52"/>
        <v>0.39905962358835734</v>
      </c>
      <c r="AC104" s="191">
        <f t="shared" si="52"/>
        <v>0.37530656582690464</v>
      </c>
      <c r="AD104" s="191">
        <f t="shared" si="52"/>
        <v>0.36565279463077699</v>
      </c>
      <c r="AE104" s="191">
        <f t="shared" si="52"/>
        <v>0.40845128641458917</v>
      </c>
      <c r="AF104" s="189"/>
      <c r="AG104" s="189"/>
      <c r="AH104" s="189"/>
      <c r="AI104" s="189"/>
      <c r="AJ104" s="189"/>
      <c r="AK104" s="189"/>
      <c r="AL104" s="189"/>
      <c r="AM104" s="189"/>
      <c r="AN104" s="147"/>
      <c r="AO104" s="189"/>
      <c r="AP104" s="189"/>
      <c r="AQ104" s="189"/>
      <c r="AR104" s="189"/>
      <c r="AS104" s="189"/>
      <c r="AT104" s="189"/>
      <c r="AU104" s="189"/>
      <c r="AV104" s="189"/>
      <c r="AW104" s="189"/>
      <c r="AX104" s="189"/>
      <c r="AY104" s="189"/>
      <c r="AZ104" s="189"/>
      <c r="BA104" s="189"/>
      <c r="BB104" s="189"/>
      <c r="BC104" s="189"/>
      <c r="BD104" s="189"/>
      <c r="BE104" s="189"/>
      <c r="BF104" s="189"/>
      <c r="BG104" s="189"/>
    </row>
    <row r="105" spans="1:59" ht="15.75" customHeight="1" x14ac:dyDescent="0.2">
      <c r="A105" s="189"/>
      <c r="B105" s="189"/>
      <c r="C105" s="190" t="s">
        <v>215</v>
      </c>
      <c r="D105" s="191">
        <f t="shared" ref="D105:AE105" si="53">D92/D$99</f>
        <v>4.4914275954050217E-2</v>
      </c>
      <c r="E105" s="191">
        <f t="shared" si="53"/>
        <v>3.4552046271049623E-2</v>
      </c>
      <c r="F105" s="191">
        <f t="shared" si="53"/>
        <v>2.5782486708152842E-2</v>
      </c>
      <c r="G105" s="191">
        <f t="shared" si="53"/>
        <v>2.3294767355477922E-2</v>
      </c>
      <c r="H105" s="191">
        <f t="shared" si="53"/>
        <v>3.1647347951800228E-2</v>
      </c>
      <c r="I105" s="191">
        <f t="shared" si="53"/>
        <v>3.1586779349930108E-2</v>
      </c>
      <c r="J105" s="191">
        <f t="shared" si="53"/>
        <v>3.7206542160394672E-2</v>
      </c>
      <c r="K105" s="191">
        <f t="shared" si="53"/>
        <v>8.3867266746593273E-3</v>
      </c>
      <c r="L105" s="191">
        <f t="shared" si="53"/>
        <v>-0.51200007796136848</v>
      </c>
      <c r="M105" s="191">
        <f t="shared" si="53"/>
        <v>-8.114448038281441E-2</v>
      </c>
      <c r="N105" s="191">
        <f t="shared" si="53"/>
        <v>-1.0318904334261785E-2</v>
      </c>
      <c r="O105" s="191">
        <f t="shared" si="53"/>
        <v>1.178126262648606E-3</v>
      </c>
      <c r="P105" s="191">
        <f t="shared" si="53"/>
        <v>-8.9896688663808223E-3</v>
      </c>
      <c r="Q105" s="191">
        <f t="shared" si="53"/>
        <v>3.2361845317650504E-3</v>
      </c>
      <c r="R105" s="191">
        <f t="shared" si="53"/>
        <v>-3.5114647759218109E-3</v>
      </c>
      <c r="S105" s="191">
        <f t="shared" si="53"/>
        <v>-4.7925822106647002E-3</v>
      </c>
      <c r="T105" s="191">
        <f t="shared" si="53"/>
        <v>-3.8135308011837199E-3</v>
      </c>
      <c r="U105" s="191">
        <f t="shared" si="53"/>
        <v>-1.4102909649773251E-3</v>
      </c>
      <c r="V105" s="191">
        <f t="shared" si="53"/>
        <v>2.1642450491092973E-3</v>
      </c>
      <c r="W105" s="191">
        <f t="shared" si="53"/>
        <v>-2.1423123815400725E-3</v>
      </c>
      <c r="X105" s="191">
        <f t="shared" si="53"/>
        <v>-3.2467459870439181E-3</v>
      </c>
      <c r="Y105" s="191">
        <f t="shared" si="53"/>
        <v>2.1448106873328196E-3</v>
      </c>
      <c r="Z105" s="191">
        <f t="shared" si="53"/>
        <v>-2.8242624620836267E-3</v>
      </c>
      <c r="AA105" s="191">
        <f t="shared" si="53"/>
        <v>9.4943121995320814E-4</v>
      </c>
      <c r="AB105" s="191">
        <f t="shared" si="53"/>
        <v>-8.5938055062051639E-4</v>
      </c>
      <c r="AC105" s="191">
        <f t="shared" si="53"/>
        <v>1.7283380093885446E-2</v>
      </c>
      <c r="AD105" s="191">
        <f t="shared" si="53"/>
        <v>6.1213483521311979E-3</v>
      </c>
      <c r="AE105" s="191">
        <f t="shared" si="53"/>
        <v>8.6021450990824162E-3</v>
      </c>
      <c r="AF105" s="189"/>
      <c r="AG105" s="189"/>
      <c r="AH105" s="189"/>
      <c r="AI105" s="189"/>
      <c r="AJ105" s="189"/>
      <c r="AK105" s="189"/>
      <c r="AL105" s="189"/>
      <c r="AM105" s="189"/>
      <c r="AN105" s="147"/>
      <c r="AO105" s="189"/>
      <c r="AP105" s="189"/>
      <c r="AQ105" s="189"/>
      <c r="AR105" s="189"/>
      <c r="AS105" s="189"/>
      <c r="AT105" s="189"/>
      <c r="AU105" s="189"/>
      <c r="AV105" s="189"/>
      <c r="AW105" s="189"/>
      <c r="AX105" s="189"/>
      <c r="AY105" s="189"/>
      <c r="AZ105" s="189"/>
      <c r="BA105" s="189"/>
      <c r="BB105" s="189"/>
      <c r="BC105" s="189"/>
      <c r="BD105" s="189"/>
      <c r="BE105" s="189"/>
      <c r="BF105" s="189"/>
      <c r="BG105" s="189"/>
    </row>
    <row r="106" spans="1:59" ht="15.75" customHeight="1" x14ac:dyDescent="0.2">
      <c r="A106" s="189"/>
      <c r="B106" s="189"/>
      <c r="C106" s="190" t="s">
        <v>216</v>
      </c>
      <c r="D106" s="191">
        <f t="shared" ref="D106:AE106" si="54">D93/D$99</f>
        <v>4.2646153312506159E-2</v>
      </c>
      <c r="E106" s="191">
        <f t="shared" si="54"/>
        <v>4.1411362013575398E-2</v>
      </c>
      <c r="F106" s="191">
        <f t="shared" si="54"/>
        <v>5.4513245139129786E-2</v>
      </c>
      <c r="G106" s="191">
        <f t="shared" si="54"/>
        <v>4.1547861870776547E-2</v>
      </c>
      <c r="H106" s="191">
        <f t="shared" si="54"/>
        <v>4.5834425105843402E-2</v>
      </c>
      <c r="I106" s="191">
        <f t="shared" si="54"/>
        <v>0.11801097010582164</v>
      </c>
      <c r="J106" s="191">
        <f t="shared" si="54"/>
        <v>5.0255804764020112E-2</v>
      </c>
      <c r="K106" s="191">
        <f t="shared" si="54"/>
        <v>6.0586726346725461E-2</v>
      </c>
      <c r="L106" s="191">
        <f t="shared" si="54"/>
        <v>5.8780640673439279E-2</v>
      </c>
      <c r="M106" s="191">
        <f t="shared" si="54"/>
        <v>7.1820890207777557E-2</v>
      </c>
      <c r="N106" s="191">
        <f t="shared" si="54"/>
        <v>3.1053931472917511E-2</v>
      </c>
      <c r="O106" s="191">
        <f t="shared" si="54"/>
        <v>3.8928607985418702E-2</v>
      </c>
      <c r="P106" s="191">
        <f t="shared" si="54"/>
        <v>3.8769838763257986E-2</v>
      </c>
      <c r="Q106" s="191">
        <f t="shared" si="54"/>
        <v>1.9114410847376161E-2</v>
      </c>
      <c r="R106" s="191">
        <f t="shared" si="54"/>
        <v>3.2405055483057534E-2</v>
      </c>
      <c r="S106" s="191">
        <f t="shared" si="54"/>
        <v>4.4533587126429311E-2</v>
      </c>
      <c r="T106" s="191">
        <f t="shared" si="54"/>
        <v>4.3082774548514148E-2</v>
      </c>
      <c r="U106" s="191">
        <f t="shared" si="54"/>
        <v>4.2432323040872778E-2</v>
      </c>
      <c r="V106" s="191">
        <f t="shared" si="54"/>
        <v>5.1076301740550528E-2</v>
      </c>
      <c r="W106" s="191">
        <f t="shared" si="54"/>
        <v>4.5074526046322533E-2</v>
      </c>
      <c r="X106" s="191">
        <f t="shared" si="54"/>
        <v>7.4285923653237315E-2</v>
      </c>
      <c r="Y106" s="191">
        <f t="shared" si="54"/>
        <v>5.1738294615752425E-2</v>
      </c>
      <c r="Z106" s="191">
        <f t="shared" si="54"/>
        <v>5.918460340325616E-2</v>
      </c>
      <c r="AA106" s="191">
        <f t="shared" si="54"/>
        <v>3.9218914679352644E-2</v>
      </c>
      <c r="AB106" s="191">
        <f t="shared" si="54"/>
        <v>5.6101874625926737E-2</v>
      </c>
      <c r="AC106" s="191">
        <f t="shared" si="54"/>
        <v>5.9193631210407896E-2</v>
      </c>
      <c r="AD106" s="191">
        <f t="shared" si="54"/>
        <v>2.4864450749381817E-2</v>
      </c>
      <c r="AE106" s="191">
        <f t="shared" si="54"/>
        <v>8.8084115335084479E-3</v>
      </c>
      <c r="AF106" s="189"/>
      <c r="AG106" s="189"/>
      <c r="AH106" s="189"/>
      <c r="AI106" s="189"/>
      <c r="AJ106" s="189"/>
      <c r="AK106" s="189"/>
      <c r="AL106" s="189"/>
      <c r="AM106" s="189"/>
      <c r="AN106" s="147"/>
      <c r="AO106" s="189"/>
      <c r="AP106" s="189"/>
      <c r="AQ106" s="189"/>
      <c r="AR106" s="189"/>
      <c r="AS106" s="189"/>
      <c r="AT106" s="189"/>
      <c r="AU106" s="189"/>
      <c r="AV106" s="189"/>
      <c r="AW106" s="189"/>
      <c r="AX106" s="189"/>
      <c r="AY106" s="189"/>
      <c r="AZ106" s="189"/>
      <c r="BA106" s="189"/>
      <c r="BB106" s="189"/>
      <c r="BC106" s="189"/>
      <c r="BD106" s="189"/>
      <c r="BE106" s="189"/>
      <c r="BF106" s="189"/>
      <c r="BG106" s="189"/>
    </row>
    <row r="107" spans="1:59" ht="15.75" customHeight="1" x14ac:dyDescent="0.2">
      <c r="A107" s="189"/>
      <c r="B107" s="189"/>
      <c r="C107" s="190" t="s">
        <v>217</v>
      </c>
      <c r="D107" s="191">
        <f t="shared" ref="D107:AE107" si="55">D94/D$99</f>
        <v>0.47797021105352183</v>
      </c>
      <c r="E107" s="191">
        <f t="shared" si="55"/>
        <v>0.56104692893129349</v>
      </c>
      <c r="F107" s="191">
        <f t="shared" si="55"/>
        <v>0.47466400885373472</v>
      </c>
      <c r="G107" s="191">
        <f t="shared" si="55"/>
        <v>0.53934491877177337</v>
      </c>
      <c r="H107" s="191">
        <f t="shared" si="55"/>
        <v>0.50974472923201597</v>
      </c>
      <c r="I107" s="191">
        <f t="shared" si="55"/>
        <v>0.42628743395147867</v>
      </c>
      <c r="J107" s="191">
        <f t="shared" si="55"/>
        <v>0.48564831661550051</v>
      </c>
      <c r="K107" s="191">
        <f t="shared" si="55"/>
        <v>0.51385702449140447</v>
      </c>
      <c r="L107" s="191">
        <f t="shared" si="55"/>
        <v>0.78557784407089859</v>
      </c>
      <c r="M107" s="191">
        <f t="shared" si="55"/>
        <v>0.53904861256710623</v>
      </c>
      <c r="N107" s="191">
        <f t="shared" si="55"/>
        <v>0.62291237093910912</v>
      </c>
      <c r="O107" s="191">
        <f t="shared" si="55"/>
        <v>0.6316844968353259</v>
      </c>
      <c r="P107" s="191">
        <f t="shared" si="55"/>
        <v>0.59416622175612588</v>
      </c>
      <c r="Q107" s="191">
        <f t="shared" si="55"/>
        <v>0.65099051997303181</v>
      </c>
      <c r="R107" s="191">
        <f t="shared" si="55"/>
        <v>0.61902673186850055</v>
      </c>
      <c r="S107" s="191">
        <f t="shared" si="55"/>
        <v>0.57015511884923742</v>
      </c>
      <c r="T107" s="191">
        <f t="shared" si="55"/>
        <v>0.57059305228271884</v>
      </c>
      <c r="U107" s="191">
        <f t="shared" si="55"/>
        <v>0.63573810297814426</v>
      </c>
      <c r="V107" s="191">
        <f t="shared" si="55"/>
        <v>0.72956813073902893</v>
      </c>
      <c r="W107" s="191">
        <f t="shared" si="55"/>
        <v>0.62226711712207294</v>
      </c>
      <c r="X107" s="191">
        <f t="shared" si="55"/>
        <v>0.45495832712282347</v>
      </c>
      <c r="Y107" s="191">
        <f t="shared" si="55"/>
        <v>0.59234873132983612</v>
      </c>
      <c r="Z107" s="191">
        <f t="shared" si="55"/>
        <v>0.59997681245932499</v>
      </c>
      <c r="AA107" s="191">
        <f t="shared" si="55"/>
        <v>0.50561977633924782</v>
      </c>
      <c r="AB107" s="191">
        <f t="shared" si="55"/>
        <v>0.53623245150282595</v>
      </c>
      <c r="AC107" s="191">
        <f t="shared" si="55"/>
        <v>0.52861721536113959</v>
      </c>
      <c r="AD107" s="191">
        <f t="shared" si="55"/>
        <v>0.48052123258350871</v>
      </c>
      <c r="AE107" s="191">
        <f t="shared" si="55"/>
        <v>0.58397084284639711</v>
      </c>
      <c r="AF107" s="189"/>
      <c r="AG107" s="189"/>
      <c r="AH107" s="189"/>
      <c r="AI107" s="189"/>
      <c r="AJ107" s="189"/>
      <c r="AK107" s="189"/>
      <c r="AL107" s="189"/>
      <c r="AM107" s="189"/>
      <c r="AN107" s="147"/>
      <c r="AO107" s="189"/>
      <c r="AP107" s="189"/>
      <c r="AQ107" s="189"/>
      <c r="AR107" s="189"/>
      <c r="AS107" s="189"/>
      <c r="AT107" s="189"/>
      <c r="AU107" s="189"/>
      <c r="AV107" s="189"/>
      <c r="AW107" s="189"/>
      <c r="AX107" s="189"/>
      <c r="AY107" s="189"/>
      <c r="AZ107" s="189"/>
      <c r="BA107" s="189"/>
      <c r="BB107" s="189"/>
      <c r="BC107" s="189"/>
      <c r="BD107" s="189"/>
      <c r="BE107" s="189"/>
      <c r="BF107" s="189"/>
      <c r="BG107" s="189"/>
    </row>
    <row r="108" spans="1:59" ht="15.75" customHeight="1" x14ac:dyDescent="0.2">
      <c r="A108" s="189"/>
      <c r="B108" s="189"/>
      <c r="C108" s="190" t="s">
        <v>218</v>
      </c>
      <c r="D108" s="191">
        <f t="shared" ref="D108:AE108" si="56">D95/D$99</f>
        <v>-5.3327551808129061E-3</v>
      </c>
      <c r="E108" s="191">
        <f t="shared" si="56"/>
        <v>6.6066261497905419E-3</v>
      </c>
      <c r="F108" s="191">
        <f t="shared" si="56"/>
        <v>8.7199569292935163E-3</v>
      </c>
      <c r="G108" s="191">
        <f t="shared" si="56"/>
        <v>2.3064232571395674E-2</v>
      </c>
      <c r="H108" s="191">
        <f t="shared" si="56"/>
        <v>8.2436565563933431E-3</v>
      </c>
      <c r="I108" s="191">
        <f t="shared" si="56"/>
        <v>3.6909828492072867E-3</v>
      </c>
      <c r="J108" s="191">
        <f t="shared" si="56"/>
        <v>2.6847827501232835E-3</v>
      </c>
      <c r="K108" s="191">
        <f t="shared" si="56"/>
        <v>1.3440103178882999E-2</v>
      </c>
      <c r="L108" s="191">
        <f t="shared" si="56"/>
        <v>2.5707142058777083E-2</v>
      </c>
      <c r="M108" s="191">
        <f t="shared" si="56"/>
        <v>1.091586512228134E-2</v>
      </c>
      <c r="N108" s="191">
        <f t="shared" si="56"/>
        <v>-7.0973514002313177E-3</v>
      </c>
      <c r="O108" s="191">
        <f t="shared" si="56"/>
        <v>1.5222119749469416E-2</v>
      </c>
      <c r="P108" s="191">
        <f t="shared" si="56"/>
        <v>1.5292378859270811E-2</v>
      </c>
      <c r="Q108" s="191">
        <f t="shared" si="56"/>
        <v>1.551515762816771E-2</v>
      </c>
      <c r="R108" s="191">
        <f t="shared" si="56"/>
        <v>1.7868140038400315E-2</v>
      </c>
      <c r="S108" s="191">
        <f t="shared" si="56"/>
        <v>1.1197004237451862E-2</v>
      </c>
      <c r="T108" s="191">
        <f t="shared" si="56"/>
        <v>1.2186454815555879E-2</v>
      </c>
      <c r="U108" s="191">
        <f t="shared" si="56"/>
        <v>1.2990856495182605E-2</v>
      </c>
      <c r="V108" s="191">
        <f t="shared" si="56"/>
        <v>1.4872665884048444E-2</v>
      </c>
      <c r="W108" s="191">
        <f t="shared" si="56"/>
        <v>1.2721815037367433E-2</v>
      </c>
      <c r="X108" s="191">
        <f t="shared" si="56"/>
        <v>1.0130386020118832E-2</v>
      </c>
      <c r="Y108" s="191">
        <f t="shared" si="56"/>
        <v>1.172027855846278E-2</v>
      </c>
      <c r="Z108" s="191">
        <f t="shared" si="56"/>
        <v>6.4862480058640514E-3</v>
      </c>
      <c r="AA108" s="191">
        <f t="shared" si="56"/>
        <v>8.729166172171135E-3</v>
      </c>
      <c r="AB108" s="191">
        <f t="shared" si="56"/>
        <v>9.1343289629562067E-3</v>
      </c>
      <c r="AC108" s="191">
        <f t="shared" si="56"/>
        <v>-5.5253380284296062E-3</v>
      </c>
      <c r="AD108" s="191">
        <f t="shared" si="56"/>
        <v>-5.3797976073386138E-3</v>
      </c>
      <c r="AE108" s="191">
        <f t="shared" si="56"/>
        <v>3.3457254322369688E-3</v>
      </c>
      <c r="AF108" s="189"/>
      <c r="AG108" s="189"/>
      <c r="AH108" s="189"/>
      <c r="AI108" s="189"/>
      <c r="AJ108" s="189"/>
      <c r="AK108" s="189"/>
      <c r="AL108" s="189"/>
      <c r="AM108" s="189"/>
      <c r="AN108" s="147"/>
      <c r="AO108" s="189"/>
      <c r="AP108" s="189"/>
      <c r="AQ108" s="189"/>
      <c r="AR108" s="189"/>
      <c r="AS108" s="189"/>
      <c r="AT108" s="189"/>
      <c r="AU108" s="189"/>
      <c r="AV108" s="189"/>
      <c r="AW108" s="189"/>
      <c r="AX108" s="189"/>
      <c r="AY108" s="189"/>
      <c r="AZ108" s="189"/>
      <c r="BA108" s="189"/>
      <c r="BB108" s="189"/>
      <c r="BC108" s="189"/>
      <c r="BD108" s="189"/>
      <c r="BE108" s="189"/>
      <c r="BF108" s="189"/>
      <c r="BG108" s="189"/>
    </row>
    <row r="109" spans="1:59" ht="15.75" customHeight="1" x14ac:dyDescent="0.2">
      <c r="A109" s="189"/>
      <c r="B109" s="189"/>
      <c r="C109" s="190" t="s">
        <v>219</v>
      </c>
      <c r="D109" s="191">
        <f t="shared" ref="D109:AE109" si="57">D96/D$99</f>
        <v>1.4352875906947487E-2</v>
      </c>
      <c r="E109" s="191">
        <f t="shared" si="57"/>
        <v>7.8720809066870501E-3</v>
      </c>
      <c r="F109" s="191">
        <f t="shared" si="57"/>
        <v>1.1837703067178211E-2</v>
      </c>
      <c r="G109" s="191">
        <f t="shared" si="57"/>
        <v>3.7682960014837265E-2</v>
      </c>
      <c r="H109" s="191">
        <f t="shared" si="57"/>
        <v>1.7408212913951997E-2</v>
      </c>
      <c r="I109" s="191">
        <f t="shared" si="57"/>
        <v>4.32535763225132E-3</v>
      </c>
      <c r="J109" s="191">
        <f t="shared" si="57"/>
        <v>-1.983842423683977E-2</v>
      </c>
      <c r="K109" s="191">
        <f t="shared" si="57"/>
        <v>2.2783756017106667E-5</v>
      </c>
      <c r="L109" s="191">
        <f t="shared" si="57"/>
        <v>-2.0570188955729533E-2</v>
      </c>
      <c r="M109" s="191">
        <f t="shared" si="57"/>
        <v>-7.6657148879555855E-3</v>
      </c>
      <c r="N109" s="191">
        <f t="shared" si="57"/>
        <v>-5.3974742255968253E-3</v>
      </c>
      <c r="O109" s="191">
        <f t="shared" si="57"/>
        <v>9.2376475667426527E-3</v>
      </c>
      <c r="P109" s="191">
        <f t="shared" si="57"/>
        <v>-4.043956591674054E-3</v>
      </c>
      <c r="Q109" s="191">
        <f t="shared" si="57"/>
        <v>-8.3359990838889605E-2</v>
      </c>
      <c r="R109" s="191">
        <f t="shared" si="57"/>
        <v>-1.9817646455317844E-2</v>
      </c>
      <c r="S109" s="191">
        <f t="shared" si="57"/>
        <v>3.2948149487031717E-3</v>
      </c>
      <c r="T109" s="191">
        <f t="shared" si="57"/>
        <v>3.5382578936376677E-3</v>
      </c>
      <c r="U109" s="191">
        <f t="shared" si="57"/>
        <v>-4.4286713013554042E-4</v>
      </c>
      <c r="V109" s="191">
        <f t="shared" si="57"/>
        <v>9.980407964319038E-3</v>
      </c>
      <c r="W109" s="191">
        <f t="shared" si="57"/>
        <v>3.8805292705521429E-3</v>
      </c>
      <c r="X109" s="191">
        <f t="shared" si="57"/>
        <v>6.9589767162338166E-3</v>
      </c>
      <c r="Y109" s="191">
        <f t="shared" si="57"/>
        <v>7.403912339508145E-3</v>
      </c>
      <c r="Z109" s="191">
        <f t="shared" si="57"/>
        <v>-1.3992877999291417E-3</v>
      </c>
      <c r="AA109" s="191">
        <f t="shared" si="57"/>
        <v>5.2458132449611176E-3</v>
      </c>
      <c r="AB109" s="191">
        <f t="shared" si="57"/>
        <v>4.3890547655190812E-3</v>
      </c>
      <c r="AC109" s="191">
        <f t="shared" si="57"/>
        <v>6.3395202286488138E-3</v>
      </c>
      <c r="AD109" s="191">
        <f t="shared" si="57"/>
        <v>-1.4432522911146814E-5</v>
      </c>
      <c r="AE109" s="191">
        <f t="shared" si="57"/>
        <v>-3.9624489917232907E-3</v>
      </c>
      <c r="AF109" s="189"/>
      <c r="AG109" s="189"/>
      <c r="AH109" s="189"/>
      <c r="AI109" s="189"/>
      <c r="AJ109" s="189"/>
      <c r="AK109" s="189"/>
      <c r="AL109" s="189"/>
      <c r="AM109" s="189"/>
      <c r="AN109" s="147"/>
      <c r="AO109" s="189"/>
      <c r="AP109" s="189"/>
      <c r="AQ109" s="189"/>
      <c r="AR109" s="189"/>
      <c r="AS109" s="189"/>
      <c r="AT109" s="189"/>
      <c r="AU109" s="189"/>
      <c r="AV109" s="189"/>
      <c r="AW109" s="189"/>
      <c r="AX109" s="189"/>
      <c r="AY109" s="189"/>
      <c r="AZ109" s="189"/>
      <c r="BA109" s="189"/>
      <c r="BB109" s="189"/>
      <c r="BC109" s="189"/>
      <c r="BD109" s="189"/>
      <c r="BE109" s="189"/>
      <c r="BF109" s="189"/>
      <c r="BG109" s="189"/>
    </row>
    <row r="110" spans="1:59" ht="15.75" customHeight="1" x14ac:dyDescent="0.2">
      <c r="A110" s="189"/>
      <c r="B110" s="189"/>
      <c r="C110" s="190" t="s">
        <v>220</v>
      </c>
      <c r="D110" s="191">
        <f t="shared" ref="D110:AE110" si="58">D97/D$99</f>
        <v>-0.1010542272072973</v>
      </c>
      <c r="E110" s="191">
        <f t="shared" si="58"/>
        <v>-0.14612153632214983</v>
      </c>
      <c r="F110" s="191">
        <f t="shared" si="58"/>
        <v>-9.3695351945760036E-2</v>
      </c>
      <c r="G110" s="191">
        <f t="shared" si="58"/>
        <v>-0.15695843961676667</v>
      </c>
      <c r="H110" s="191">
        <f t="shared" si="58"/>
        <v>-0.1216960758988465</v>
      </c>
      <c r="I110" s="191">
        <f t="shared" si="58"/>
        <v>-0.11049959627479931</v>
      </c>
      <c r="J110" s="191">
        <f t="shared" si="58"/>
        <v>-0.13810171437240948</v>
      </c>
      <c r="K110" s="191">
        <f t="shared" si="58"/>
        <v>-9.8299859094876152E-2</v>
      </c>
      <c r="L110" s="191">
        <f t="shared" si="58"/>
        <v>-0.26436833893702821</v>
      </c>
      <c r="M110" s="191">
        <f t="shared" si="58"/>
        <v>-0.14326434275778907</v>
      </c>
      <c r="N110" s="191">
        <f t="shared" si="58"/>
        <v>-0.11633458785085558</v>
      </c>
      <c r="O110" s="191">
        <f t="shared" si="58"/>
        <v>-7.8418610773720268E-2</v>
      </c>
      <c r="P110" s="191">
        <f t="shared" si="58"/>
        <v>-7.4410913749353477E-2</v>
      </c>
      <c r="Q110" s="191">
        <f t="shared" si="58"/>
        <v>-0.15607827636441357</v>
      </c>
      <c r="R110" s="191">
        <f t="shared" si="58"/>
        <v>-0.11315847562808866</v>
      </c>
      <c r="S110" s="191">
        <f t="shared" si="58"/>
        <v>-7.1482565122780103E-2</v>
      </c>
      <c r="T110" s="191">
        <f t="shared" si="58"/>
        <v>-0.12528047611116397</v>
      </c>
      <c r="U110" s="191">
        <f t="shared" si="58"/>
        <v>-0.11262602509077539</v>
      </c>
      <c r="V110" s="191">
        <f t="shared" si="58"/>
        <v>-0.30179460608711062</v>
      </c>
      <c r="W110" s="191">
        <f t="shared" si="58"/>
        <v>-0.14666959736445151</v>
      </c>
      <c r="X110" s="191">
        <f t="shared" si="58"/>
        <v>-1.8429635625895648E-2</v>
      </c>
      <c r="Y110" s="191">
        <f t="shared" si="58"/>
        <v>-2.3556244666833155E-2</v>
      </c>
      <c r="Z110" s="191">
        <f t="shared" si="58"/>
        <v>-1.0141968916605624E-2</v>
      </c>
      <c r="AA110" s="191">
        <f t="shared" si="58"/>
        <v>-3.768140505080006E-2</v>
      </c>
      <c r="AB110" s="191">
        <f t="shared" si="58"/>
        <v>-2.2479571136818685E-2</v>
      </c>
      <c r="AC110" s="191">
        <f t="shared" si="58"/>
        <v>-3.1562530474491431E-2</v>
      </c>
      <c r="AD110" s="191">
        <f t="shared" si="58"/>
        <v>5.6996301406435752E-2</v>
      </c>
      <c r="AE110" s="191">
        <f t="shared" si="58"/>
        <v>-1.0763955746581158E-2</v>
      </c>
      <c r="AF110" s="189"/>
      <c r="AG110" s="189"/>
      <c r="AH110" s="189"/>
      <c r="AI110" s="189"/>
      <c r="AJ110" s="189"/>
      <c r="AK110" s="189"/>
      <c r="AL110" s="189"/>
      <c r="AM110" s="189"/>
      <c r="AN110" s="147"/>
      <c r="AO110" s="189"/>
      <c r="AP110" s="189"/>
      <c r="AQ110" s="189"/>
      <c r="AR110" s="189"/>
      <c r="AS110" s="189"/>
      <c r="AT110" s="189"/>
      <c r="AU110" s="189"/>
      <c r="AV110" s="189"/>
      <c r="AW110" s="189"/>
      <c r="AX110" s="189"/>
      <c r="AY110" s="189"/>
      <c r="AZ110" s="189"/>
      <c r="BA110" s="189"/>
      <c r="BB110" s="189"/>
      <c r="BC110" s="189"/>
      <c r="BD110" s="189"/>
      <c r="BE110" s="189"/>
      <c r="BF110" s="189"/>
      <c r="BG110" s="189"/>
    </row>
    <row r="111" spans="1:59" ht="15.75" customHeight="1" x14ac:dyDescent="0.2">
      <c r="A111" s="147"/>
      <c r="B111" s="147"/>
      <c r="C111" s="186"/>
      <c r="D111" s="187"/>
      <c r="E111" s="187"/>
      <c r="F111" s="187"/>
      <c r="G111" s="187"/>
      <c r="H111" s="187"/>
      <c r="I111" s="187"/>
      <c r="J111" s="187"/>
      <c r="K111" s="187"/>
      <c r="L111" s="187"/>
      <c r="M111" s="187"/>
      <c r="N111" s="187"/>
      <c r="O111" s="187"/>
      <c r="P111" s="187"/>
      <c r="Q111" s="187"/>
      <c r="R111" s="188"/>
      <c r="S111" s="187"/>
      <c r="T111" s="187"/>
      <c r="U111" s="187"/>
      <c r="V111" s="187"/>
      <c r="W111" s="187"/>
      <c r="X111" s="187"/>
      <c r="Y111" s="187"/>
      <c r="Z111" s="187"/>
      <c r="AA111" s="187"/>
      <c r="AB111" s="187"/>
      <c r="AC111" s="187"/>
      <c r="AD111" s="187"/>
      <c r="AE111" s="187"/>
      <c r="AF111" s="161"/>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row>
    <row r="112" spans="1:59" ht="15.75" customHeight="1" x14ac:dyDescent="0.2">
      <c r="A112" s="210"/>
      <c r="B112" s="211" t="s">
        <v>221</v>
      </c>
      <c r="C112" s="211"/>
      <c r="D112" s="158" t="s">
        <v>98</v>
      </c>
      <c r="E112" s="158" t="s">
        <v>99</v>
      </c>
      <c r="F112" s="158" t="s">
        <v>100</v>
      </c>
      <c r="G112" s="158" t="s">
        <v>101</v>
      </c>
      <c r="H112" s="159">
        <v>2018</v>
      </c>
      <c r="I112" s="158" t="s">
        <v>102</v>
      </c>
      <c r="J112" s="158" t="s">
        <v>103</v>
      </c>
      <c r="K112" s="158" t="s">
        <v>104</v>
      </c>
      <c r="L112" s="158" t="s">
        <v>105</v>
      </c>
      <c r="M112" s="159">
        <v>2019</v>
      </c>
      <c r="N112" s="158" t="s">
        <v>158</v>
      </c>
      <c r="O112" s="158" t="s">
        <v>107</v>
      </c>
      <c r="P112" s="158" t="s">
        <v>108</v>
      </c>
      <c r="Q112" s="158" t="s">
        <v>109</v>
      </c>
      <c r="R112" s="159">
        <v>2020</v>
      </c>
      <c r="S112" s="158" t="s">
        <v>110</v>
      </c>
      <c r="T112" s="158" t="s">
        <v>111</v>
      </c>
      <c r="U112" s="158" t="s">
        <v>112</v>
      </c>
      <c r="V112" s="158" t="s">
        <v>113</v>
      </c>
      <c r="W112" s="159">
        <v>2021</v>
      </c>
      <c r="X112" s="158" t="s">
        <v>114</v>
      </c>
      <c r="Y112" s="158" t="s">
        <v>115</v>
      </c>
      <c r="Z112" s="158" t="str">
        <f>$Z$4</f>
        <v>3Q22</v>
      </c>
      <c r="AA112" s="158" t="str">
        <f>$AA$4</f>
        <v>4Q22</v>
      </c>
      <c r="AB112" s="160">
        <v>2022</v>
      </c>
      <c r="AC112" s="158" t="str">
        <f>$AC$4</f>
        <v>1Q23</v>
      </c>
      <c r="AD112" s="158" t="str">
        <f t="shared" ref="AD112:AE112" si="59">AD$4</f>
        <v>2Q23</v>
      </c>
      <c r="AE112" s="158" t="str">
        <f t="shared" si="59"/>
        <v>3Q23</v>
      </c>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row>
    <row r="113" spans="1:59" ht="15.75" customHeight="1" x14ac:dyDescent="0.2">
      <c r="A113" s="195"/>
      <c r="B113" s="195"/>
      <c r="C113" s="196" t="s">
        <v>214</v>
      </c>
      <c r="D113" s="191" t="s">
        <v>146</v>
      </c>
      <c r="E113" s="191" t="s">
        <v>146</v>
      </c>
      <c r="F113" s="191" t="s">
        <v>146</v>
      </c>
      <c r="G113" s="191" t="s">
        <v>146</v>
      </c>
      <c r="H113" s="191" t="s">
        <v>146</v>
      </c>
      <c r="I113" s="191">
        <v>6.9947947329999996E-2</v>
      </c>
      <c r="J113" s="191">
        <v>0.1085594998</v>
      </c>
      <c r="K113" s="191">
        <v>-2.685077567E-2</v>
      </c>
      <c r="L113" s="191">
        <v>0.30124549119999999</v>
      </c>
      <c r="M113" s="191">
        <v>0.1032268102</v>
      </c>
      <c r="N113" s="191">
        <v>0.16919672660000001</v>
      </c>
      <c r="O113" s="191">
        <v>0.10861906540000001</v>
      </c>
      <c r="P113" s="191">
        <v>-7.9162722649999996E-3</v>
      </c>
      <c r="Q113" s="191">
        <v>-2.7463818559999999E-2</v>
      </c>
      <c r="R113" s="191">
        <v>4.2412658649999997E-2</v>
      </c>
      <c r="S113" s="191">
        <v>0.26331230799999999</v>
      </c>
      <c r="T113" s="191">
        <v>0.31385687940000001</v>
      </c>
      <c r="U113" s="191">
        <v>0.18511947100000001</v>
      </c>
      <c r="V113" s="191">
        <v>0.109542711</v>
      </c>
      <c r="W113" s="191">
        <v>0.22675284609999999</v>
      </c>
      <c r="X113" s="191">
        <v>-0.1829423728</v>
      </c>
      <c r="Y113" s="191">
        <v>-0.1645240966</v>
      </c>
      <c r="Z113" s="191">
        <v>-8.3976363659999997E-2</v>
      </c>
      <c r="AA113" s="191">
        <v>-8.6503534480000005E-2</v>
      </c>
      <c r="AB113" s="191">
        <v>-0.13066709030000001</v>
      </c>
      <c r="AC113" s="191">
        <v>-2.419516943E-2</v>
      </c>
      <c r="AD113" s="191">
        <v>4.197440585E-2</v>
      </c>
      <c r="AE113" s="191">
        <v>0.1036728772</v>
      </c>
      <c r="AF113" s="195"/>
      <c r="AG113" s="195"/>
      <c r="AH113" s="195"/>
      <c r="AJ113" s="195"/>
      <c r="AK113" s="195"/>
      <c r="AL113" s="195"/>
      <c r="AM113" s="195"/>
      <c r="AN113" s="147"/>
      <c r="AO113" s="195"/>
      <c r="AP113" s="195"/>
      <c r="AQ113" s="195"/>
      <c r="AR113" s="195"/>
      <c r="AS113" s="195"/>
      <c r="AT113" s="195"/>
      <c r="AU113" s="195"/>
      <c r="AV113" s="195"/>
      <c r="AW113" s="195"/>
      <c r="AX113" s="195"/>
      <c r="AY113" s="195"/>
      <c r="AZ113" s="195"/>
      <c r="BA113" s="195"/>
      <c r="BB113" s="195"/>
      <c r="BC113" s="195"/>
      <c r="BD113" s="195"/>
      <c r="BE113" s="195"/>
      <c r="BF113" s="195"/>
      <c r="BG113" s="195"/>
    </row>
    <row r="114" spans="1:59" ht="15.75" customHeight="1" x14ac:dyDescent="0.2">
      <c r="A114" s="195"/>
      <c r="B114" s="195"/>
      <c r="C114" s="196" t="s">
        <v>215</v>
      </c>
      <c r="D114" s="191" t="s">
        <v>146</v>
      </c>
      <c r="E114" s="191" t="s">
        <v>146</v>
      </c>
      <c r="F114" s="191" t="s">
        <v>146</v>
      </c>
      <c r="G114" s="191" t="s">
        <v>146</v>
      </c>
      <c r="H114" s="191" t="s">
        <v>368</v>
      </c>
      <c r="I114" s="191">
        <v>-0.27878709540000002</v>
      </c>
      <c r="J114" s="191">
        <v>9.5969839570000007E-2</v>
      </c>
      <c r="K114" s="191">
        <v>-0.67345345629999998</v>
      </c>
      <c r="L114" s="191" t="s">
        <v>347</v>
      </c>
      <c r="M114" s="191" t="s">
        <v>347</v>
      </c>
      <c r="N114" s="191" t="s">
        <v>347</v>
      </c>
      <c r="O114" s="191">
        <v>-0.95382070109999995</v>
      </c>
      <c r="P114" s="191" t="s">
        <v>347</v>
      </c>
      <c r="Q114" s="191" t="s">
        <v>347</v>
      </c>
      <c r="R114" s="191">
        <v>-0.94467049240000001</v>
      </c>
      <c r="S114" s="191">
        <v>-0.2457773711</v>
      </c>
      <c r="T114" s="191" t="s">
        <v>347</v>
      </c>
      <c r="U114" s="191">
        <v>-0.83028663229999999</v>
      </c>
      <c r="V114" s="191">
        <v>-0.26552553950000002</v>
      </c>
      <c r="W114" s="191">
        <v>-0.26344731859999998</v>
      </c>
      <c r="X114" s="191">
        <v>-0.29431181550000002</v>
      </c>
      <c r="Y114" s="191" t="s">
        <v>347</v>
      </c>
      <c r="Z114" s="191">
        <v>1.2674230129999999</v>
      </c>
      <c r="AA114" s="191">
        <v>-0.41992406090000001</v>
      </c>
      <c r="AB114" s="191">
        <v>-0.5613024459</v>
      </c>
      <c r="AC114" s="191" t="s">
        <v>347</v>
      </c>
      <c r="AD114" s="191">
        <v>2.6483531899999999</v>
      </c>
      <c r="AE114" s="191" t="s">
        <v>347</v>
      </c>
      <c r="AF114" s="195"/>
      <c r="AG114" s="195"/>
      <c r="AH114" s="195"/>
      <c r="AI114" s="195"/>
      <c r="AJ114" s="195"/>
      <c r="AK114" s="195"/>
      <c r="AL114" s="195"/>
      <c r="AM114" s="195"/>
      <c r="AN114" s="147"/>
      <c r="AO114" s="195"/>
      <c r="AP114" s="195"/>
      <c r="AQ114" s="195"/>
      <c r="AR114" s="195"/>
      <c r="AS114" s="195"/>
      <c r="AT114" s="195"/>
      <c r="AU114" s="195"/>
      <c r="AV114" s="195"/>
      <c r="AW114" s="195"/>
      <c r="AX114" s="195"/>
      <c r="AY114" s="195"/>
      <c r="AZ114" s="195"/>
      <c r="BA114" s="195"/>
      <c r="BB114" s="195"/>
      <c r="BC114" s="195"/>
      <c r="BD114" s="195"/>
      <c r="BE114" s="195"/>
      <c r="BF114" s="195"/>
      <c r="BG114" s="195"/>
    </row>
    <row r="115" spans="1:59" ht="15.75" customHeight="1" x14ac:dyDescent="0.2">
      <c r="A115" s="195"/>
      <c r="B115" s="195"/>
      <c r="C115" s="196" t="s">
        <v>216</v>
      </c>
      <c r="D115" s="191" t="s">
        <v>146</v>
      </c>
      <c r="E115" s="191" t="s">
        <v>146</v>
      </c>
      <c r="F115" s="191" t="s">
        <v>146</v>
      </c>
      <c r="G115" s="191" t="s">
        <v>146</v>
      </c>
      <c r="H115" s="191" t="s">
        <v>146</v>
      </c>
      <c r="I115" s="191">
        <v>1.8378214159999999</v>
      </c>
      <c r="J115" s="191">
        <v>0.23515022699999999</v>
      </c>
      <c r="K115" s="191">
        <v>0.1157139301</v>
      </c>
      <c r="L115" s="191">
        <v>0.18701303490000001</v>
      </c>
      <c r="M115" s="191">
        <v>0.52702174999999996</v>
      </c>
      <c r="N115" s="191">
        <v>-0.72648879550000001</v>
      </c>
      <c r="O115" s="191">
        <v>0.12968522860000001</v>
      </c>
      <c r="P115" s="191">
        <v>-0.27825615780000001</v>
      </c>
      <c r="Q115" s="191">
        <v>-0.4851815142</v>
      </c>
      <c r="R115" s="191">
        <v>-0.42311471919999999</v>
      </c>
      <c r="S115" s="191">
        <v>1.328813239</v>
      </c>
      <c r="T115" s="191">
        <v>0.27089096229999998</v>
      </c>
      <c r="U115" s="191">
        <v>0.1840058182</v>
      </c>
      <c r="V115" s="191">
        <v>1.934688913</v>
      </c>
      <c r="W115" s="191">
        <v>0.67929785340000004</v>
      </c>
      <c r="X115" s="191">
        <v>0.73761258819999997</v>
      </c>
      <c r="Y115" s="191">
        <v>9.5486984999999996E-2</v>
      </c>
      <c r="Z115" s="191">
        <v>0.57924006360000002</v>
      </c>
      <c r="AA115" s="191">
        <v>1.532224922E-2</v>
      </c>
      <c r="AB115" s="191">
        <v>0.36115848490000002</v>
      </c>
      <c r="AC115" s="191">
        <v>-0.200933321</v>
      </c>
      <c r="AD115" s="191">
        <v>-0.3856646507</v>
      </c>
      <c r="AE115" s="191">
        <v>-0.83894842879999998</v>
      </c>
      <c r="AF115" s="195"/>
      <c r="AG115" s="195"/>
      <c r="AH115" s="195"/>
      <c r="AI115" s="195"/>
      <c r="AJ115" s="195"/>
      <c r="AK115" s="195"/>
      <c r="AL115" s="195"/>
      <c r="AM115" s="195"/>
      <c r="AN115" s="189"/>
      <c r="AO115" s="195"/>
      <c r="AP115" s="195"/>
      <c r="AQ115" s="195"/>
      <c r="AR115" s="195"/>
      <c r="AS115" s="195"/>
      <c r="AT115" s="195"/>
      <c r="AU115" s="195"/>
      <c r="AV115" s="195"/>
      <c r="AW115" s="195"/>
      <c r="AX115" s="195"/>
      <c r="AY115" s="195"/>
      <c r="AZ115" s="195"/>
      <c r="BA115" s="195"/>
      <c r="BB115" s="195"/>
      <c r="BC115" s="195"/>
      <c r="BD115" s="195"/>
      <c r="BE115" s="195"/>
      <c r="BF115" s="195"/>
      <c r="BG115" s="195"/>
    </row>
    <row r="116" spans="1:59" ht="15.75" customHeight="1" x14ac:dyDescent="0.2">
      <c r="A116" s="195"/>
      <c r="B116" s="195"/>
      <c r="C116" s="196" t="s">
        <v>217</v>
      </c>
      <c r="D116" s="191" t="s">
        <v>146</v>
      </c>
      <c r="E116" s="191" t="s">
        <v>146</v>
      </c>
      <c r="F116" s="191" t="s">
        <v>146</v>
      </c>
      <c r="G116" s="191" t="s">
        <v>146</v>
      </c>
      <c r="H116" s="191" t="s">
        <v>146</v>
      </c>
      <c r="I116" s="191">
        <v>-8.5372520310000005E-2</v>
      </c>
      <c r="J116" s="191">
        <v>-0.11900029400000001</v>
      </c>
      <c r="K116" s="191">
        <v>8.6759385029999997E-2</v>
      </c>
      <c r="L116" s="191">
        <v>0.2220598805</v>
      </c>
      <c r="M116" s="191">
        <v>3.0531843940000001E-2</v>
      </c>
      <c r="N116" s="191">
        <v>0.51881660789999995</v>
      </c>
      <c r="O116" s="191">
        <v>0.89693800720000005</v>
      </c>
      <c r="P116" s="191">
        <v>0.30416409750000001</v>
      </c>
      <c r="Q116" s="191">
        <v>0.31193696679999999</v>
      </c>
      <c r="R116" s="191">
        <v>0.46828020529999997</v>
      </c>
      <c r="S116" s="191">
        <v>0.4863792878</v>
      </c>
      <c r="T116" s="191">
        <v>3.7288976080000001E-2</v>
      </c>
      <c r="U116" s="191">
        <v>0.15750081560000001</v>
      </c>
      <c r="V116" s="191">
        <v>0.23082053790000001</v>
      </c>
      <c r="W116" s="191">
        <v>0.21360339119999999</v>
      </c>
      <c r="X116" s="191">
        <v>-0.16878629440000001</v>
      </c>
      <c r="Y116" s="191">
        <v>-5.3000476659999997E-2</v>
      </c>
      <c r="Z116" s="191">
        <v>6.8544085340000005E-2</v>
      </c>
      <c r="AA116" s="191">
        <v>-8.3598115690000002E-2</v>
      </c>
      <c r="AB116" s="191">
        <v>-5.7592505269999997E-2</v>
      </c>
      <c r="AC116" s="191">
        <v>0.16515646819999999</v>
      </c>
      <c r="AD116" s="191">
        <v>3.6988319980000003E-2</v>
      </c>
      <c r="AE116" s="191">
        <v>5.3253251119999997E-2</v>
      </c>
      <c r="AF116" s="195"/>
      <c r="AG116" s="195"/>
      <c r="AH116" s="195"/>
      <c r="AI116" s="195"/>
      <c r="AJ116" s="195"/>
      <c r="AK116" s="195"/>
      <c r="AL116" s="195"/>
      <c r="AM116" s="195"/>
      <c r="AN116" s="189"/>
      <c r="AO116" s="195"/>
      <c r="AP116" s="195"/>
      <c r="AQ116" s="195"/>
      <c r="AR116" s="195"/>
      <c r="AS116" s="195"/>
      <c r="AT116" s="195"/>
      <c r="AU116" s="195"/>
      <c r="AV116" s="195"/>
      <c r="AW116" s="195"/>
      <c r="AX116" s="195"/>
      <c r="AY116" s="195"/>
      <c r="AZ116" s="195"/>
      <c r="BA116" s="195"/>
      <c r="BB116" s="195"/>
      <c r="BC116" s="195"/>
      <c r="BD116" s="195"/>
      <c r="BE116" s="195"/>
      <c r="BF116" s="195"/>
      <c r="BG116" s="195"/>
    </row>
    <row r="117" spans="1:59" ht="15.75" customHeight="1" x14ac:dyDescent="0.2">
      <c r="A117" s="195"/>
      <c r="B117" s="195"/>
      <c r="C117" s="196" t="s">
        <v>218</v>
      </c>
      <c r="D117" s="191" t="s">
        <v>146</v>
      </c>
      <c r="E117" s="191" t="s">
        <v>146</v>
      </c>
      <c r="F117" s="191" t="s">
        <v>146</v>
      </c>
      <c r="G117" s="191" t="s">
        <v>146</v>
      </c>
      <c r="H117" s="191" t="s">
        <v>146</v>
      </c>
      <c r="I117" s="191" t="s">
        <v>347</v>
      </c>
      <c r="J117" s="191">
        <v>-0.58639814099999998</v>
      </c>
      <c r="K117" s="191">
        <v>0.54726844060000002</v>
      </c>
      <c r="L117" s="191">
        <v>-6.484275967E-2</v>
      </c>
      <c r="M117" s="191">
        <v>0.2904004275</v>
      </c>
      <c r="N117" s="191" t="s">
        <v>347</v>
      </c>
      <c r="O117" s="191">
        <v>7.2687677329999998</v>
      </c>
      <c r="P117" s="191">
        <v>0.28333200580000001</v>
      </c>
      <c r="Q117" s="191">
        <v>-4.4501683129999997E-2</v>
      </c>
      <c r="R117" s="191">
        <v>1.0929008739999999</v>
      </c>
      <c r="S117" s="191" t="s">
        <v>347</v>
      </c>
      <c r="T117" s="191">
        <v>-8.0660860589999994E-2</v>
      </c>
      <c r="U117" s="191">
        <v>-8.1003707970000005E-2</v>
      </c>
      <c r="V117" s="191">
        <v>5.2776478639999999E-2</v>
      </c>
      <c r="W117" s="191">
        <v>-0.14043432820000001</v>
      </c>
      <c r="X117" s="191">
        <v>-5.7550134160000002E-2</v>
      </c>
      <c r="Y117" s="191">
        <v>-0.1226773773</v>
      </c>
      <c r="Z117" s="191">
        <v>-0.43468307900000003</v>
      </c>
      <c r="AA117" s="191">
        <v>-0.2239106649</v>
      </c>
      <c r="AB117" s="191">
        <v>-0.21478233490000001</v>
      </c>
      <c r="AC117" s="191" t="s">
        <v>347</v>
      </c>
      <c r="AD117" s="191" t="s">
        <v>347</v>
      </c>
      <c r="AE117" s="191">
        <v>-0.44182181599999998</v>
      </c>
      <c r="AF117" s="195"/>
      <c r="AG117" s="195"/>
      <c r="AH117" s="195"/>
      <c r="AI117" s="195"/>
      <c r="AJ117" s="195"/>
      <c r="AK117" s="195"/>
      <c r="AL117" s="195"/>
      <c r="AM117" s="195"/>
      <c r="AN117" s="189"/>
      <c r="AO117" s="195"/>
      <c r="AP117" s="195"/>
      <c r="AQ117" s="195"/>
      <c r="AR117" s="195"/>
      <c r="AS117" s="195"/>
      <c r="AT117" s="195"/>
      <c r="AU117" s="195"/>
      <c r="AV117" s="195"/>
      <c r="AW117" s="195"/>
      <c r="AX117" s="195"/>
      <c r="AY117" s="195"/>
      <c r="AZ117" s="195"/>
      <c r="BA117" s="195"/>
      <c r="BB117" s="195"/>
      <c r="BC117" s="195"/>
      <c r="BD117" s="195"/>
      <c r="BE117" s="195"/>
      <c r="BF117" s="195"/>
      <c r="BG117" s="195"/>
    </row>
    <row r="118" spans="1:59" ht="15.75" customHeight="1" x14ac:dyDescent="0.2">
      <c r="A118" s="195"/>
      <c r="B118" s="195"/>
      <c r="C118" s="196" t="s">
        <v>219</v>
      </c>
      <c r="D118" s="191" t="s">
        <v>146</v>
      </c>
      <c r="E118" s="191" t="s">
        <v>146</v>
      </c>
      <c r="F118" s="191" t="s">
        <v>146</v>
      </c>
      <c r="G118" s="191" t="s">
        <v>146</v>
      </c>
      <c r="H118" s="191" t="s">
        <v>146</v>
      </c>
      <c r="I118" s="191">
        <v>-0.69095221360000003</v>
      </c>
      <c r="J118" s="191" t="s">
        <v>347</v>
      </c>
      <c r="K118" s="191" t="s">
        <v>347</v>
      </c>
      <c r="L118" s="191" t="s">
        <v>347</v>
      </c>
      <c r="M118" s="191" t="s">
        <v>347</v>
      </c>
      <c r="N118" s="191" t="s">
        <v>347</v>
      </c>
      <c r="O118" s="191" t="s">
        <v>347</v>
      </c>
      <c r="P118" s="191" t="s">
        <v>347</v>
      </c>
      <c r="Q118" s="191">
        <v>5.4157422610000001</v>
      </c>
      <c r="R118" s="191">
        <v>2.3054217960000001</v>
      </c>
      <c r="S118" s="191" t="s">
        <v>347</v>
      </c>
      <c r="T118" s="191">
        <v>-0.56015303809999994</v>
      </c>
      <c r="U118" s="191">
        <v>-0.88152738210000003</v>
      </c>
      <c r="V118" s="191" t="s">
        <v>347</v>
      </c>
      <c r="W118" s="191" t="s">
        <v>347</v>
      </c>
      <c r="X118" s="191">
        <v>1.2001305959999999</v>
      </c>
      <c r="Y118" s="191">
        <v>0.90884454400000003</v>
      </c>
      <c r="Z118" s="191">
        <v>2.577419087</v>
      </c>
      <c r="AA118" s="191">
        <v>-0.30498799339999999</v>
      </c>
      <c r="AB118" s="191">
        <v>0.23692260530000001</v>
      </c>
      <c r="AC118" s="191">
        <v>-8.6464192780000004E-2</v>
      </c>
      <c r="AD118" s="191" t="s">
        <v>347</v>
      </c>
      <c r="AE118" s="191">
        <v>2.06431035</v>
      </c>
      <c r="AF118" s="195"/>
      <c r="AG118" s="195"/>
      <c r="AH118" s="195"/>
      <c r="AI118" s="195"/>
      <c r="AJ118" s="195"/>
      <c r="AK118" s="195"/>
      <c r="AL118" s="195"/>
      <c r="AM118" s="195"/>
      <c r="AN118" s="189"/>
      <c r="AO118" s="195"/>
      <c r="AP118" s="195"/>
      <c r="AQ118" s="195"/>
      <c r="AR118" s="195"/>
      <c r="AS118" s="195"/>
      <c r="AT118" s="195"/>
      <c r="AU118" s="195"/>
      <c r="AV118" s="195"/>
      <c r="AW118" s="195"/>
      <c r="AX118" s="195"/>
      <c r="AY118" s="195"/>
      <c r="AZ118" s="195"/>
      <c r="BA118" s="195"/>
      <c r="BB118" s="195"/>
      <c r="BC118" s="195"/>
      <c r="BD118" s="195"/>
      <c r="BE118" s="195"/>
      <c r="BF118" s="195"/>
      <c r="BG118" s="195"/>
    </row>
    <row r="119" spans="1:59" ht="15.75" customHeight="1" x14ac:dyDescent="0.2">
      <c r="A119" s="189"/>
      <c r="B119" s="189"/>
      <c r="C119" s="190" t="s">
        <v>220</v>
      </c>
      <c r="D119" s="191" t="s">
        <v>146</v>
      </c>
      <c r="E119" s="191" t="s">
        <v>146</v>
      </c>
      <c r="F119" s="191" t="s">
        <v>146</v>
      </c>
      <c r="G119" s="191" t="s">
        <v>146</v>
      </c>
      <c r="H119" s="191" t="s">
        <v>146</v>
      </c>
      <c r="I119" s="191">
        <v>0.12136953020000001</v>
      </c>
      <c r="J119" s="191">
        <v>-3.8082323799999998E-2</v>
      </c>
      <c r="K119" s="191">
        <v>5.3203400970000002E-2</v>
      </c>
      <c r="L119" s="191">
        <v>0.41317069090000003</v>
      </c>
      <c r="M119" s="191">
        <v>0.14722278699999999</v>
      </c>
      <c r="N119" s="191">
        <v>9.4281548909999999E-2</v>
      </c>
      <c r="O119" s="191">
        <v>-0.17187693279999999</v>
      </c>
      <c r="P119" s="191">
        <v>-0.14621145890000001</v>
      </c>
      <c r="Q119" s="191">
        <v>-6.5325165700000007E-2</v>
      </c>
      <c r="R119" s="191">
        <v>9.8955283260000002E-3</v>
      </c>
      <c r="S119" s="191">
        <v>-2.173930676E-3</v>
      </c>
      <c r="T119" s="191">
        <v>0.83458463709999997</v>
      </c>
      <c r="U119" s="191">
        <v>0.63739380099999998</v>
      </c>
      <c r="V119" s="191">
        <v>1.1235992189999999</v>
      </c>
      <c r="W119" s="191">
        <v>0.56481263709999996</v>
      </c>
      <c r="X119" s="191">
        <v>-0.73143418900000001</v>
      </c>
      <c r="Y119" s="191">
        <v>-0.82847736559999996</v>
      </c>
      <c r="Z119" s="191">
        <v>-0.89804236839999996</v>
      </c>
      <c r="AA119" s="191">
        <v>-0.83490139990000001</v>
      </c>
      <c r="AB119" s="191">
        <v>-0.83238595299999996</v>
      </c>
      <c r="AC119" s="191">
        <v>0.71739277759999998</v>
      </c>
      <c r="AD119" s="191" t="s">
        <v>347</v>
      </c>
      <c r="AE119" s="191">
        <v>0.14848608960000001</v>
      </c>
      <c r="AF119" s="195"/>
      <c r="AG119" s="195"/>
      <c r="AH119" s="195"/>
      <c r="AI119" s="195"/>
      <c r="AJ119" s="195"/>
      <c r="AK119" s="195"/>
      <c r="AL119" s="195"/>
      <c r="AM119" s="195"/>
      <c r="AN119" s="189"/>
      <c r="AO119" s="195"/>
      <c r="AP119" s="195"/>
      <c r="AQ119" s="195"/>
      <c r="AR119" s="195"/>
      <c r="AS119" s="195"/>
      <c r="AT119" s="195"/>
      <c r="AU119" s="195"/>
      <c r="AV119" s="195"/>
      <c r="AW119" s="195"/>
      <c r="AX119" s="195"/>
      <c r="AY119" s="195"/>
      <c r="AZ119" s="195"/>
      <c r="BA119" s="195"/>
      <c r="BB119" s="195"/>
      <c r="BC119" s="195"/>
      <c r="BD119" s="195"/>
      <c r="BE119" s="195"/>
      <c r="BF119" s="195"/>
      <c r="BG119" s="195"/>
    </row>
    <row r="120" spans="1:59" ht="15.75" customHeight="1" x14ac:dyDescent="0.2">
      <c r="A120" s="189"/>
      <c r="B120" s="189"/>
      <c r="C120" s="190"/>
      <c r="D120" s="191"/>
      <c r="E120" s="191"/>
      <c r="F120" s="191"/>
      <c r="G120" s="191"/>
      <c r="H120" s="191"/>
      <c r="I120" s="191"/>
      <c r="J120" s="191"/>
      <c r="K120" s="191"/>
      <c r="L120" s="191"/>
      <c r="M120" s="191"/>
      <c r="N120" s="191"/>
      <c r="O120" s="191"/>
      <c r="P120" s="191"/>
      <c r="Q120" s="191"/>
      <c r="R120" s="216"/>
      <c r="S120" s="191"/>
      <c r="T120" s="191"/>
      <c r="U120" s="191"/>
      <c r="V120" s="191"/>
      <c r="W120" s="191"/>
      <c r="X120" s="191"/>
      <c r="Y120" s="191"/>
      <c r="Z120" s="191"/>
      <c r="AA120" s="191"/>
      <c r="AB120" s="191"/>
      <c r="AC120" s="191"/>
      <c r="AD120" s="191"/>
      <c r="AE120" s="191"/>
      <c r="AF120" s="195"/>
      <c r="AG120" s="195"/>
      <c r="AH120" s="195"/>
      <c r="AI120" s="195"/>
      <c r="AJ120" s="195"/>
      <c r="AK120" s="195"/>
      <c r="AL120" s="195"/>
      <c r="AM120" s="195"/>
      <c r="AN120" s="189"/>
      <c r="AO120" s="195"/>
      <c r="AP120" s="195"/>
      <c r="AQ120" s="195"/>
      <c r="AR120" s="195"/>
      <c r="AS120" s="195"/>
      <c r="AT120" s="195"/>
      <c r="AU120" s="195"/>
      <c r="AV120" s="195"/>
      <c r="AW120" s="195"/>
      <c r="AX120" s="195"/>
      <c r="AY120" s="195"/>
      <c r="AZ120" s="195"/>
      <c r="BA120" s="195"/>
      <c r="BB120" s="195"/>
      <c r="BC120" s="195"/>
      <c r="BD120" s="195"/>
      <c r="BE120" s="195"/>
      <c r="BF120" s="195"/>
      <c r="BG120" s="195"/>
    </row>
    <row r="121" spans="1:59" ht="15.75" customHeight="1" x14ac:dyDescent="0.2">
      <c r="A121" s="210"/>
      <c r="B121" s="211" t="s">
        <v>222</v>
      </c>
      <c r="C121" s="211"/>
      <c r="D121" s="158" t="s">
        <v>98</v>
      </c>
      <c r="E121" s="158" t="s">
        <v>99</v>
      </c>
      <c r="F121" s="158" t="s">
        <v>100</v>
      </c>
      <c r="G121" s="158" t="s">
        <v>101</v>
      </c>
      <c r="H121" s="159">
        <v>2018</v>
      </c>
      <c r="I121" s="158" t="s">
        <v>102</v>
      </c>
      <c r="J121" s="158" t="s">
        <v>103</v>
      </c>
      <c r="K121" s="158" t="s">
        <v>104</v>
      </c>
      <c r="L121" s="158" t="s">
        <v>105</v>
      </c>
      <c r="M121" s="159">
        <v>2019</v>
      </c>
      <c r="N121" s="158" t="s">
        <v>158</v>
      </c>
      <c r="O121" s="158" t="s">
        <v>107</v>
      </c>
      <c r="P121" s="158" t="s">
        <v>108</v>
      </c>
      <c r="Q121" s="158" t="s">
        <v>109</v>
      </c>
      <c r="R121" s="159">
        <v>2020</v>
      </c>
      <c r="S121" s="158" t="s">
        <v>110</v>
      </c>
      <c r="T121" s="158" t="s">
        <v>111</v>
      </c>
      <c r="U121" s="158" t="s">
        <v>112</v>
      </c>
      <c r="V121" s="158" t="s">
        <v>113</v>
      </c>
      <c r="W121" s="159">
        <v>2021</v>
      </c>
      <c r="X121" s="158" t="s">
        <v>114</v>
      </c>
      <c r="Y121" s="158" t="s">
        <v>115</v>
      </c>
      <c r="Z121" s="158" t="str">
        <f>$Z$4</f>
        <v>3Q22</v>
      </c>
      <c r="AA121" s="158" t="str">
        <f>$AA$4</f>
        <v>4Q22</v>
      </c>
      <c r="AB121" s="160">
        <v>2022</v>
      </c>
      <c r="AC121" s="158" t="str">
        <f>$AC$4</f>
        <v>1Q23</v>
      </c>
      <c r="AD121" s="158" t="str">
        <f t="shared" ref="AD121:AE121" si="60">AD$4</f>
        <v>2Q23</v>
      </c>
      <c r="AE121" s="158" t="str">
        <f t="shared" si="60"/>
        <v>3Q23</v>
      </c>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row>
    <row r="122" spans="1:59" ht="15.75" customHeight="1" x14ac:dyDescent="0.2">
      <c r="A122" s="195"/>
      <c r="B122" s="195"/>
      <c r="C122" s="196" t="s">
        <v>214</v>
      </c>
      <c r="D122" s="140">
        <f>$D$91/D63</f>
        <v>0.46975807281385384</v>
      </c>
      <c r="E122" s="140">
        <f t="shared" ref="E122:AE122" si="61">E91/E63</f>
        <v>0.43671630093866448</v>
      </c>
      <c r="F122" s="140">
        <f t="shared" si="61"/>
        <v>0.49614192544872504</v>
      </c>
      <c r="G122" s="140">
        <f t="shared" si="61"/>
        <v>0.42071505212508314</v>
      </c>
      <c r="H122" s="140">
        <f t="shared" si="61"/>
        <v>0.45708912158856974</v>
      </c>
      <c r="I122" s="140">
        <f t="shared" si="61"/>
        <v>0.4965145865302647</v>
      </c>
      <c r="J122" s="140">
        <f t="shared" si="61"/>
        <v>0.47551982468779935</v>
      </c>
      <c r="K122" s="140">
        <f t="shared" si="61"/>
        <v>0.5218117532202331</v>
      </c>
      <c r="L122" s="140">
        <f t="shared" si="61"/>
        <v>0.53621021705521144</v>
      </c>
      <c r="M122" s="140">
        <f t="shared" si="61"/>
        <v>0.50885754787720505</v>
      </c>
      <c r="N122" s="140">
        <f t="shared" si="61"/>
        <v>0.54015782218801744</v>
      </c>
      <c r="O122" s="140">
        <f t="shared" si="61"/>
        <v>0.50400304480528224</v>
      </c>
      <c r="P122" s="140">
        <f t="shared" si="61"/>
        <v>0.52417411923371848</v>
      </c>
      <c r="Q122" s="140">
        <f t="shared" si="61"/>
        <v>0.52571675903744086</v>
      </c>
      <c r="R122" s="140">
        <f t="shared" si="61"/>
        <v>0.5186466111537289</v>
      </c>
      <c r="S122" s="140">
        <f t="shared" si="61"/>
        <v>0.61061469461355022</v>
      </c>
      <c r="T122" s="140">
        <f t="shared" si="61"/>
        <v>0.57300487880955597</v>
      </c>
      <c r="U122" s="140">
        <f t="shared" si="61"/>
        <v>0.56695306860912298</v>
      </c>
      <c r="V122" s="140">
        <f t="shared" si="61"/>
        <v>0.50814106521113112</v>
      </c>
      <c r="W122" s="140">
        <f t="shared" si="61"/>
        <v>0.56359816678751429</v>
      </c>
      <c r="X122" s="140">
        <f t="shared" si="61"/>
        <v>0.50639546623464404</v>
      </c>
      <c r="Y122" s="140">
        <f t="shared" si="61"/>
        <v>0.4813172530244893</v>
      </c>
      <c r="Z122" s="140">
        <f t="shared" si="61"/>
        <v>0.49924206179536712</v>
      </c>
      <c r="AA122" s="140">
        <f t="shared" si="61"/>
        <v>0.46785716933656729</v>
      </c>
      <c r="AB122" s="140">
        <f t="shared" si="61"/>
        <v>0.48843186355867779</v>
      </c>
      <c r="AC122" s="140">
        <f t="shared" si="61"/>
        <v>0.46975977191964735</v>
      </c>
      <c r="AD122" s="140">
        <f t="shared" si="61"/>
        <v>0.47055723621335338</v>
      </c>
      <c r="AE122" s="140">
        <f t="shared" si="61"/>
        <v>0.497507719994981</v>
      </c>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row>
    <row r="123" spans="1:59" ht="15.75" customHeight="1" x14ac:dyDescent="0.2">
      <c r="A123" s="189"/>
      <c r="B123" s="189"/>
      <c r="C123" s="190" t="s">
        <v>215</v>
      </c>
      <c r="D123" s="140">
        <f t="shared" ref="D123:AE123" si="62">D92/D64</f>
        <v>0.34944392348289599</v>
      </c>
      <c r="E123" s="140">
        <f t="shared" si="62"/>
        <v>0.22790052043254491</v>
      </c>
      <c r="F123" s="140">
        <f t="shared" si="62"/>
        <v>0.22474296593573492</v>
      </c>
      <c r="G123" s="140">
        <f t="shared" si="62"/>
        <v>0.16170230859597945</v>
      </c>
      <c r="H123" s="140">
        <f t="shared" si="62"/>
        <v>0.23800022081847114</v>
      </c>
      <c r="I123" s="140">
        <f t="shared" si="62"/>
        <v>0.21539244875725461</v>
      </c>
      <c r="J123" s="140">
        <f t="shared" si="62"/>
        <v>0.20167134468136627</v>
      </c>
      <c r="K123" s="140">
        <f t="shared" si="62"/>
        <v>9.0211755995525861E-2</v>
      </c>
      <c r="L123" s="140">
        <f t="shared" si="62"/>
        <v>-3.716977658261567</v>
      </c>
      <c r="M123" s="140">
        <f t="shared" si="62"/>
        <v>-0.59430650509145611</v>
      </c>
      <c r="N123" s="140">
        <f t="shared" si="62"/>
        <v>-0.14114817153347733</v>
      </c>
      <c r="O123" s="140">
        <f t="shared" si="62"/>
        <v>1.9045782233196321E-2</v>
      </c>
      <c r="P123" s="140">
        <f t="shared" si="62"/>
        <v>-0.17029465390796614</v>
      </c>
      <c r="Q123" s="140">
        <f t="shared" si="62"/>
        <v>6.8014056627375141E-2</v>
      </c>
      <c r="R123" s="140">
        <f t="shared" si="62"/>
        <v>-6.0738935494534574E-2</v>
      </c>
      <c r="S123" s="140">
        <f t="shared" si="62"/>
        <v>-0.13642291364462492</v>
      </c>
      <c r="T123" s="140">
        <f t="shared" si="62"/>
        <v>-9.304096542183446E-2</v>
      </c>
      <c r="U123" s="140">
        <f t="shared" si="62"/>
        <v>-3.1901978468318389E-2</v>
      </c>
      <c r="V123" s="140">
        <f t="shared" si="62"/>
        <v>3.3388409844619688E-2</v>
      </c>
      <c r="W123" s="140">
        <f t="shared" si="62"/>
        <v>-4.7072056096112536E-2</v>
      </c>
      <c r="X123" s="140">
        <f t="shared" si="62"/>
        <v>-6.746188329202471E-2</v>
      </c>
      <c r="Y123" s="140">
        <f t="shared" si="62"/>
        <v>3.817048024780232E-2</v>
      </c>
      <c r="Z123" s="140">
        <f t="shared" si="62"/>
        <v>-4.7252401900505898E-2</v>
      </c>
      <c r="AA123" s="140">
        <f t="shared" si="62"/>
        <v>1.3777114526319441E-2</v>
      </c>
      <c r="AB123" s="140">
        <f t="shared" si="62"/>
        <v>-1.4695125646406418E-2</v>
      </c>
      <c r="AC123" s="140">
        <f t="shared" si="62"/>
        <v>0.18782931338484388</v>
      </c>
      <c r="AD123" s="140">
        <f t="shared" si="62"/>
        <v>7.8062452656423961E-2</v>
      </c>
      <c r="AE123" s="140">
        <f t="shared" si="62"/>
        <v>0.11019065797009273</v>
      </c>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row>
    <row r="124" spans="1:59" ht="15.75" customHeight="1" x14ac:dyDescent="0.2">
      <c r="A124" s="195"/>
      <c r="B124" s="195"/>
      <c r="C124" s="196" t="s">
        <v>216</v>
      </c>
      <c r="D124" s="140">
        <f t="shared" ref="D124:AE124" si="63">D93/D65</f>
        <v>0.11654775518963859</v>
      </c>
      <c r="E124" s="140">
        <f t="shared" si="63"/>
        <v>0.10740050908617084</v>
      </c>
      <c r="F124" s="140">
        <f t="shared" si="63"/>
        <v>0.17587615400146489</v>
      </c>
      <c r="G124" s="140">
        <f t="shared" si="63"/>
        <v>0.10056745998084982</v>
      </c>
      <c r="H124" s="140">
        <f t="shared" si="63"/>
        <v>0.12606070956590851</v>
      </c>
      <c r="I124" s="140">
        <f t="shared" si="63"/>
        <v>0.29945599980161297</v>
      </c>
      <c r="J124" s="140">
        <f t="shared" si="63"/>
        <v>0.14732715537346838</v>
      </c>
      <c r="K124" s="140">
        <f t="shared" si="63"/>
        <v>0.24866792506672855</v>
      </c>
      <c r="L124" s="140">
        <f t="shared" si="63"/>
        <v>0.17325856601397566</v>
      </c>
      <c r="M124" s="140">
        <f t="shared" si="63"/>
        <v>0.22288137437584885</v>
      </c>
      <c r="N124" s="140">
        <f t="shared" si="63"/>
        <v>0.12235601095273735</v>
      </c>
      <c r="O124" s="140">
        <f t="shared" si="63"/>
        <v>0.20795687961922657</v>
      </c>
      <c r="P124" s="140">
        <f t="shared" si="63"/>
        <v>0.20266990292431761</v>
      </c>
      <c r="Q124" s="140">
        <f t="shared" si="63"/>
        <v>9.2137293089158287E-2</v>
      </c>
      <c r="R124" s="140">
        <f t="shared" si="63"/>
        <v>0.15745032826430172</v>
      </c>
      <c r="S124" s="140">
        <f t="shared" si="63"/>
        <v>0.23908450015849109</v>
      </c>
      <c r="T124" s="140">
        <f t="shared" si="63"/>
        <v>0.21917423953432935</v>
      </c>
      <c r="U124" s="140">
        <f t="shared" si="63"/>
        <v>0.19201314834489874</v>
      </c>
      <c r="V124" s="140">
        <f t="shared" si="63"/>
        <v>0.17560361326380114</v>
      </c>
      <c r="W124" s="140">
        <f t="shared" si="63"/>
        <v>0.20405824222263225</v>
      </c>
      <c r="X124" s="140">
        <f t="shared" si="63"/>
        <v>0.28141335423022146</v>
      </c>
      <c r="Y124" s="140">
        <f t="shared" si="63"/>
        <v>0.17484803611437463</v>
      </c>
      <c r="Z124" s="140">
        <f t="shared" si="63"/>
        <v>0.22197739639795708</v>
      </c>
      <c r="AA124" s="140">
        <f t="shared" si="63"/>
        <v>0.17439194860438428</v>
      </c>
      <c r="AB124" s="140">
        <f t="shared" si="63"/>
        <v>0.21488380551922762</v>
      </c>
      <c r="AC124" s="140">
        <f t="shared" si="63"/>
        <v>0.26279029660134862</v>
      </c>
      <c r="AD124" s="140">
        <f t="shared" si="63"/>
        <v>0.13506094795285778</v>
      </c>
      <c r="AE124" s="140">
        <f t="shared" si="63"/>
        <v>5.9909494071456203E-2</v>
      </c>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row>
    <row r="125" spans="1:59" ht="15.75" customHeight="1" x14ac:dyDescent="0.2">
      <c r="A125" s="189"/>
      <c r="B125" s="189"/>
      <c r="C125" s="190" t="s">
        <v>217</v>
      </c>
      <c r="D125" s="140">
        <f t="shared" ref="D125:AE125" si="64">D94/D66</f>
        <v>0.45207343295892827</v>
      </c>
      <c r="E125" s="140">
        <f t="shared" si="64"/>
        <v>0.4664654014934741</v>
      </c>
      <c r="F125" s="140">
        <f t="shared" si="64"/>
        <v>0.52654438614092725</v>
      </c>
      <c r="G125" s="140">
        <f t="shared" si="64"/>
        <v>0.47880988368751232</v>
      </c>
      <c r="H125" s="140">
        <f t="shared" si="64"/>
        <v>0.48216959553065752</v>
      </c>
      <c r="I125" s="140">
        <f t="shared" si="64"/>
        <v>0.42198377018907152</v>
      </c>
      <c r="J125" s="140">
        <f t="shared" si="64"/>
        <v>0.43298518442016293</v>
      </c>
      <c r="K125" s="140">
        <f t="shared" si="64"/>
        <v>0.542251609157127</v>
      </c>
      <c r="L125" s="140">
        <f t="shared" si="64"/>
        <v>0.48811367224503954</v>
      </c>
      <c r="M125" s="140">
        <f t="shared" si="64"/>
        <v>0.47540629084593261</v>
      </c>
      <c r="N125" s="140">
        <f t="shared" si="64"/>
        <v>0.48227630803178939</v>
      </c>
      <c r="O125" s="140">
        <f t="shared" si="64"/>
        <v>0.54350117237182105</v>
      </c>
      <c r="P125" s="140">
        <f t="shared" si="64"/>
        <v>0.50687128018131167</v>
      </c>
      <c r="Q125" s="140">
        <f t="shared" si="64"/>
        <v>0.44183755636241062</v>
      </c>
      <c r="R125" s="140">
        <f t="shared" si="64"/>
        <v>0.49053000824210458</v>
      </c>
      <c r="S125" s="140">
        <f t="shared" si="64"/>
        <v>0.53072961605752322</v>
      </c>
      <c r="T125" s="140">
        <f t="shared" si="64"/>
        <v>0.49603239750911915</v>
      </c>
      <c r="U125" s="140">
        <f t="shared" si="64"/>
        <v>0.50056204695475004</v>
      </c>
      <c r="V125" s="140">
        <f t="shared" si="64"/>
        <v>0.46786116323547172</v>
      </c>
      <c r="W125" s="140">
        <f t="shared" si="64"/>
        <v>0.49741357593292074</v>
      </c>
      <c r="X125" s="140">
        <f t="shared" si="64"/>
        <v>0.42872768965064245</v>
      </c>
      <c r="Y125" s="140">
        <f t="shared" si="64"/>
        <v>0.45445242142432196</v>
      </c>
      <c r="Z125" s="140">
        <f t="shared" si="64"/>
        <v>0.46588829742192678</v>
      </c>
      <c r="AA125" s="140">
        <f t="shared" si="64"/>
        <v>0.42935600724399881</v>
      </c>
      <c r="AB125" s="140">
        <f t="shared" si="64"/>
        <v>0.4453579080107215</v>
      </c>
      <c r="AC125" s="140">
        <f t="shared" si="64"/>
        <v>0.45858753784023759</v>
      </c>
      <c r="AD125" s="140">
        <f t="shared" si="64"/>
        <v>0.40618885051981474</v>
      </c>
      <c r="AE125" s="140">
        <f t="shared" si="64"/>
        <v>0.48331174157287093</v>
      </c>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row>
    <row r="126" spans="1:59" ht="15.75" customHeight="1" x14ac:dyDescent="0.2">
      <c r="A126" s="195"/>
      <c r="B126" s="195"/>
      <c r="C126" s="196" t="s">
        <v>218</v>
      </c>
      <c r="D126" s="140">
        <f t="shared" ref="D126:AE126" si="65">D95/D67</f>
        <v>-9.2356293745002455E-2</v>
      </c>
      <c r="E126" s="140">
        <f t="shared" si="65"/>
        <v>9.1545678655138268E-2</v>
      </c>
      <c r="F126" s="140">
        <f t="shared" si="65"/>
        <v>0.15804103407036366</v>
      </c>
      <c r="G126" s="140">
        <f t="shared" si="65"/>
        <v>0.31643465563405848</v>
      </c>
      <c r="H126" s="140">
        <f t="shared" si="65"/>
        <v>0.12950127903491424</v>
      </c>
      <c r="I126" s="140">
        <f t="shared" si="65"/>
        <v>6.1859419462580507E-2</v>
      </c>
      <c r="J126" s="140">
        <f t="shared" si="65"/>
        <v>4.1512668777531313E-2</v>
      </c>
      <c r="K126" s="140">
        <f t="shared" si="65"/>
        <v>0.23303530108104725</v>
      </c>
      <c r="L126" s="140">
        <f t="shared" si="65"/>
        <v>0.29496938641484755</v>
      </c>
      <c r="M126" s="140">
        <f t="shared" si="65"/>
        <v>0.16640570336215968</v>
      </c>
      <c r="N126" s="140">
        <f t="shared" si="65"/>
        <v>-0.10655725608342578</v>
      </c>
      <c r="O126" s="140">
        <f t="shared" si="65"/>
        <v>0.28583408877788907</v>
      </c>
      <c r="P126" s="140">
        <f t="shared" si="65"/>
        <v>0.29034283821867934</v>
      </c>
      <c r="Q126" s="140">
        <f t="shared" si="65"/>
        <v>0.23317640145691634</v>
      </c>
      <c r="R126" s="140">
        <f t="shared" si="65"/>
        <v>0.30405704652439591</v>
      </c>
      <c r="S126" s="140">
        <f t="shared" si="65"/>
        <v>0.22561471683946099</v>
      </c>
      <c r="T126" s="140">
        <f t="shared" si="65"/>
        <v>0.2339086389690129</v>
      </c>
      <c r="U126" s="140">
        <f t="shared" si="65"/>
        <v>0.24007865147600763</v>
      </c>
      <c r="V126" s="140">
        <f t="shared" si="65"/>
        <v>0.22372242247639654</v>
      </c>
      <c r="W126" s="140">
        <f t="shared" si="65"/>
        <v>0.23074605566302892</v>
      </c>
      <c r="X126" s="140">
        <f t="shared" si="65"/>
        <v>0.20323373172221834</v>
      </c>
      <c r="Y126" s="140">
        <f t="shared" si="65"/>
        <v>0.21224931764637878</v>
      </c>
      <c r="Z126" s="140">
        <f t="shared" si="65"/>
        <v>0.11499946078616861</v>
      </c>
      <c r="AA126" s="140">
        <f t="shared" si="65"/>
        <v>0.15491890752864432</v>
      </c>
      <c r="AB126" s="140">
        <f t="shared" si="65"/>
        <v>0.16770982179786734</v>
      </c>
      <c r="AC126" s="140">
        <f t="shared" si="65"/>
        <v>-9.5244534177644086E-2</v>
      </c>
      <c r="AD126" s="140">
        <f t="shared" si="65"/>
        <v>-0.1094257543476886</v>
      </c>
      <c r="AE126" s="140">
        <f t="shared" si="65"/>
        <v>6.8790541142302708E-2</v>
      </c>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row>
    <row r="127" spans="1:59" ht="15.75" customHeight="1" x14ac:dyDescent="0.2">
      <c r="A127" s="189"/>
      <c r="B127" s="189"/>
      <c r="C127" s="190" t="s">
        <v>219</v>
      </c>
      <c r="D127" s="140">
        <f t="shared" ref="D127:AE127" si="66">D96/D68</f>
        <v>8.6627611804404758E-2</v>
      </c>
      <c r="E127" s="140">
        <f t="shared" si="66"/>
        <v>3.5104323600503619E-2</v>
      </c>
      <c r="F127" s="140">
        <f t="shared" si="66"/>
        <v>0.16729967276616217</v>
      </c>
      <c r="G127" s="140">
        <f t="shared" si="66"/>
        <v>0.21985192364275175</v>
      </c>
      <c r="H127" s="140">
        <f t="shared" si="66"/>
        <v>0.11565384757963773</v>
      </c>
      <c r="I127" s="140">
        <f t="shared" si="66"/>
        <v>9.700485371401274E-2</v>
      </c>
      <c r="J127" s="140">
        <f t="shared" si="66"/>
        <v>-0.4723490258724668</v>
      </c>
      <c r="K127" s="140">
        <f t="shared" si="66"/>
        <v>1.1073831051489874E-3</v>
      </c>
      <c r="L127" s="140">
        <f t="shared" si="66"/>
        <v>-1.0087992545890716</v>
      </c>
      <c r="M127" s="140">
        <f t="shared" si="66"/>
        <v>-0.24350681926657636</v>
      </c>
      <c r="N127" s="140">
        <f t="shared" si="66"/>
        <v>-0.25837432613316624</v>
      </c>
      <c r="O127" s="140">
        <f t="shared" si="66"/>
        <v>0.61224801579048171</v>
      </c>
      <c r="P127" s="140">
        <f t="shared" si="66"/>
        <v>-0.39059485361929036</v>
      </c>
      <c r="Q127" s="140">
        <f t="shared" si="66"/>
        <v>-4.1264252444761595</v>
      </c>
      <c r="R127" s="140">
        <f t="shared" si="66"/>
        <v>-1.2371925714935539</v>
      </c>
      <c r="S127" s="140">
        <f t="shared" si="66"/>
        <v>5.545822958407385E-2</v>
      </c>
      <c r="T127" s="140">
        <f t="shared" si="66"/>
        <v>0.20205516627896827</v>
      </c>
      <c r="U127" s="140">
        <f t="shared" si="66"/>
        <v>-2.1490573147802144E-2</v>
      </c>
      <c r="V127" s="140">
        <f t="shared" si="66"/>
        <v>1.0564726124079455</v>
      </c>
      <c r="W127" s="140">
        <f t="shared" si="66"/>
        <v>0.13999242935271169</v>
      </c>
      <c r="X127" s="140">
        <f t="shared" si="66"/>
        <v>0.23779175681013789</v>
      </c>
      <c r="Y127" s="140">
        <f t="shared" si="66"/>
        <v>0.1870257554102342</v>
      </c>
      <c r="Z127" s="140">
        <f t="shared" si="66"/>
        <v>-5.967790523102455E-2</v>
      </c>
      <c r="AA127" s="140">
        <f t="shared" si="66"/>
        <v>0.56722672003813146</v>
      </c>
      <c r="AB127" s="140">
        <f t="shared" si="66"/>
        <v>0.17845032071645672</v>
      </c>
      <c r="AC127" s="140">
        <f t="shared" si="66"/>
        <v>0.16080195824653978</v>
      </c>
      <c r="AD127" s="140">
        <f t="shared" si="66"/>
        <v>-3.8110056730519066E-4</v>
      </c>
      <c r="AE127" s="140">
        <f t="shared" si="66"/>
        <v>-0.34773508277355419</v>
      </c>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row>
    <row r="128" spans="1:59" ht="15.75" customHeight="1" x14ac:dyDescent="0.2">
      <c r="A128" s="189"/>
      <c r="B128" s="189"/>
      <c r="C128" s="190" t="s">
        <v>222</v>
      </c>
      <c r="D128" s="140">
        <f t="shared" ref="D128:AE128" si="67">D99/D70</f>
        <v>0.34227256517874022</v>
      </c>
      <c r="E128" s="140">
        <f t="shared" si="67"/>
        <v>0.31100155990688189</v>
      </c>
      <c r="F128" s="140">
        <f t="shared" si="67"/>
        <v>0.39624462125795173</v>
      </c>
      <c r="G128" s="140">
        <f t="shared" si="67"/>
        <v>0.30742274269601655</v>
      </c>
      <c r="H128" s="140">
        <f t="shared" si="67"/>
        <v>0.34025430128893797</v>
      </c>
      <c r="I128" s="140">
        <f t="shared" si="67"/>
        <v>0.358822614828744</v>
      </c>
      <c r="J128" s="140">
        <f t="shared" si="67"/>
        <v>0.34034239962841295</v>
      </c>
      <c r="K128" s="140">
        <f t="shared" si="67"/>
        <v>0.42608342463378579</v>
      </c>
      <c r="L128" s="140">
        <f t="shared" si="67"/>
        <v>0.26272638106997331</v>
      </c>
      <c r="M128" s="140">
        <f t="shared" si="67"/>
        <v>0.34715292606924836</v>
      </c>
      <c r="N128" s="140">
        <f t="shared" si="67"/>
        <v>0.34768096859422198</v>
      </c>
      <c r="O128" s="140">
        <f t="shared" si="67"/>
        <v>0.42936287136074541</v>
      </c>
      <c r="P128" s="140">
        <f t="shared" si="67"/>
        <v>0.42710330597605228</v>
      </c>
      <c r="Q128" s="140">
        <f t="shared" si="67"/>
        <v>0.35394105551906485</v>
      </c>
      <c r="R128" s="140">
        <f t="shared" si="67"/>
        <v>0.39170671211484004</v>
      </c>
      <c r="S128" s="140">
        <f t="shared" si="67"/>
        <v>0.45248625584105401</v>
      </c>
      <c r="T128" s="140">
        <f t="shared" si="67"/>
        <v>0.43247613521390921</v>
      </c>
      <c r="U128" s="140">
        <f t="shared" si="67"/>
        <v>0.4027305922053524</v>
      </c>
      <c r="V128" s="140">
        <f t="shared" si="67"/>
        <v>0.3282090778699453</v>
      </c>
      <c r="W128" s="140">
        <f t="shared" si="67"/>
        <v>0.40144725990111857</v>
      </c>
      <c r="X128" s="140">
        <f t="shared" si="67"/>
        <v>0.45163374142874657</v>
      </c>
      <c r="Y128" s="140">
        <f t="shared" si="67"/>
        <v>0.37289037931065883</v>
      </c>
      <c r="Z128" s="140">
        <f t="shared" si="67"/>
        <v>0.40063230492021851</v>
      </c>
      <c r="AA128" s="140">
        <f t="shared" si="67"/>
        <v>0.42929122987856355</v>
      </c>
      <c r="AB128" s="140">
        <f t="shared" si="67"/>
        <v>0.4132912266200624</v>
      </c>
      <c r="AC128" s="140">
        <f t="shared" si="67"/>
        <v>0.42031859119843096</v>
      </c>
      <c r="AD128" s="140">
        <f t="shared" si="67"/>
        <v>0.43333327633755242</v>
      </c>
      <c r="AE128" s="140">
        <f t="shared" si="67"/>
        <v>0.43387821394812082</v>
      </c>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row>
    <row r="129" spans="1:59" ht="15.75" customHeight="1" x14ac:dyDescent="0.2">
      <c r="A129" s="147"/>
      <c r="B129" s="147"/>
      <c r="C129" s="186"/>
      <c r="D129" s="187"/>
      <c r="E129" s="187"/>
      <c r="F129" s="187"/>
      <c r="G129" s="187"/>
      <c r="H129" s="187"/>
      <c r="I129" s="187"/>
      <c r="J129" s="187"/>
      <c r="K129" s="187"/>
      <c r="L129" s="187"/>
      <c r="M129" s="187"/>
      <c r="N129" s="187"/>
      <c r="O129" s="187"/>
      <c r="P129" s="187"/>
      <c r="Q129" s="187"/>
      <c r="R129" s="188"/>
      <c r="S129" s="187"/>
      <c r="T129" s="187"/>
      <c r="U129" s="187"/>
      <c r="V129" s="187"/>
      <c r="W129" s="187"/>
      <c r="X129" s="187"/>
      <c r="Y129" s="187"/>
      <c r="Z129" s="187"/>
      <c r="AA129" s="187"/>
      <c r="AB129" s="187"/>
      <c r="AC129" s="187"/>
      <c r="AD129" s="187"/>
      <c r="AE129" s="187"/>
      <c r="AF129" s="161"/>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row>
    <row r="130" spans="1:59" ht="15.75" customHeight="1" x14ac:dyDescent="0.2">
      <c r="A130" s="210"/>
      <c r="B130" s="211" t="s">
        <v>223</v>
      </c>
      <c r="C130" s="211"/>
      <c r="D130" s="158" t="s">
        <v>98</v>
      </c>
      <c r="E130" s="158" t="s">
        <v>99</v>
      </c>
      <c r="F130" s="158" t="s">
        <v>100</v>
      </c>
      <c r="G130" s="158" t="s">
        <v>101</v>
      </c>
      <c r="H130" s="159">
        <v>2018</v>
      </c>
      <c r="I130" s="158" t="s">
        <v>102</v>
      </c>
      <c r="J130" s="158" t="s">
        <v>103</v>
      </c>
      <c r="K130" s="158" t="s">
        <v>104</v>
      </c>
      <c r="L130" s="158" t="s">
        <v>105</v>
      </c>
      <c r="M130" s="159">
        <v>2019</v>
      </c>
      <c r="N130" s="158" t="s">
        <v>158</v>
      </c>
      <c r="O130" s="158" t="s">
        <v>107</v>
      </c>
      <c r="P130" s="158" t="s">
        <v>108</v>
      </c>
      <c r="Q130" s="158" t="s">
        <v>109</v>
      </c>
      <c r="R130" s="159">
        <v>2020</v>
      </c>
      <c r="S130" s="158" t="s">
        <v>110</v>
      </c>
      <c r="T130" s="158" t="s">
        <v>111</v>
      </c>
      <c r="U130" s="158" t="s">
        <v>112</v>
      </c>
      <c r="V130" s="158" t="s">
        <v>113</v>
      </c>
      <c r="W130" s="159">
        <v>2021</v>
      </c>
      <c r="X130" s="158" t="s">
        <v>114</v>
      </c>
      <c r="Y130" s="158" t="s">
        <v>115</v>
      </c>
      <c r="Z130" s="158" t="str">
        <f>$Z$4</f>
        <v>3Q22</v>
      </c>
      <c r="AA130" s="158" t="str">
        <f>$AA$4</f>
        <v>4Q22</v>
      </c>
      <c r="AB130" s="160">
        <v>2022</v>
      </c>
      <c r="AC130" s="158" t="str">
        <f>$AC$4</f>
        <v>1Q23</v>
      </c>
      <c r="AD130" s="158" t="str">
        <f t="shared" ref="AD130:AE130" si="68">AD$4</f>
        <v>2Q23</v>
      </c>
      <c r="AE130" s="158" t="str">
        <f t="shared" si="68"/>
        <v>3Q23</v>
      </c>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row>
    <row r="131" spans="1:59" ht="15.75" customHeight="1" x14ac:dyDescent="0.2">
      <c r="A131" s="210"/>
      <c r="B131" s="211" t="s">
        <v>224</v>
      </c>
      <c r="C131" s="211"/>
      <c r="D131" s="158"/>
      <c r="E131" s="158"/>
      <c r="F131" s="158"/>
      <c r="G131" s="158"/>
      <c r="H131" s="159"/>
      <c r="I131" s="158"/>
      <c r="J131" s="158"/>
      <c r="K131" s="158"/>
      <c r="L131" s="158"/>
      <c r="M131" s="159"/>
      <c r="N131" s="158"/>
      <c r="O131" s="158"/>
      <c r="P131" s="158"/>
      <c r="Q131" s="158"/>
      <c r="R131" s="159"/>
      <c r="S131" s="158"/>
      <c r="T131" s="158"/>
      <c r="U131" s="158"/>
      <c r="V131" s="158"/>
      <c r="W131" s="159"/>
      <c r="X131" s="158"/>
      <c r="Y131" s="158"/>
      <c r="Z131" s="158"/>
      <c r="AA131" s="158"/>
      <c r="AB131" s="159"/>
      <c r="AC131" s="158"/>
      <c r="AD131" s="158"/>
      <c r="AE131" s="158"/>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row>
    <row r="132" spans="1:59" ht="15.75" customHeight="1" x14ac:dyDescent="0.2">
      <c r="A132" s="189"/>
      <c r="B132" s="189"/>
      <c r="C132" s="190" t="s">
        <v>225</v>
      </c>
      <c r="D132" s="172">
        <f t="shared" ref="D132:AE132" si="69">D5</f>
        <v>387.28230541999994</v>
      </c>
      <c r="E132" s="172">
        <f t="shared" si="69"/>
        <v>416.07024279499893</v>
      </c>
      <c r="F132" s="172">
        <f t="shared" si="69"/>
        <v>451.33237634500125</v>
      </c>
      <c r="G132" s="172">
        <f t="shared" si="69"/>
        <v>422.78488874000027</v>
      </c>
      <c r="H132" s="172">
        <f t="shared" si="69"/>
        <v>1677.4698133000004</v>
      </c>
      <c r="I132" s="172">
        <f t="shared" si="69"/>
        <v>378.84580550999999</v>
      </c>
      <c r="J132" s="172">
        <f t="shared" si="69"/>
        <v>386.96014074000004</v>
      </c>
      <c r="K132" s="172">
        <f t="shared" si="69"/>
        <v>421.34964608000001</v>
      </c>
      <c r="L132" s="172">
        <f t="shared" si="69"/>
        <v>415.07026023000003</v>
      </c>
      <c r="M132" s="172">
        <f t="shared" si="69"/>
        <v>1602.22585256</v>
      </c>
      <c r="N132" s="172">
        <f t="shared" si="69"/>
        <v>406.3893173248639</v>
      </c>
      <c r="O132" s="172">
        <f t="shared" si="69"/>
        <v>447.33472256927212</v>
      </c>
      <c r="P132" s="172">
        <f t="shared" si="69"/>
        <v>474.10105264381394</v>
      </c>
      <c r="Q132" s="172">
        <f t="shared" si="69"/>
        <v>487.777643132165</v>
      </c>
      <c r="R132" s="172">
        <f t="shared" si="69"/>
        <v>1815.602735670115</v>
      </c>
      <c r="S132" s="172">
        <f t="shared" si="69"/>
        <v>507.08572291000002</v>
      </c>
      <c r="T132" s="172">
        <f t="shared" si="69"/>
        <v>509.99797374000002</v>
      </c>
      <c r="U132" s="172">
        <f t="shared" si="69"/>
        <v>543.92654571000003</v>
      </c>
      <c r="V132" s="172">
        <f t="shared" si="69"/>
        <v>577.70454937</v>
      </c>
      <c r="W132" s="172">
        <f t="shared" si="69"/>
        <v>2138.7147917299999</v>
      </c>
      <c r="X132" s="172">
        <f t="shared" si="69"/>
        <v>529.21786904999999</v>
      </c>
      <c r="Y132" s="172">
        <f t="shared" si="69"/>
        <v>539.57049873999995</v>
      </c>
      <c r="Z132" s="172">
        <f t="shared" si="69"/>
        <v>619.07765617999996</v>
      </c>
      <c r="AA132" s="172">
        <f t="shared" si="69"/>
        <v>584.02593898999999</v>
      </c>
      <c r="AB132" s="172">
        <f t="shared" si="69"/>
        <v>2271.8919629599995</v>
      </c>
      <c r="AC132" s="172">
        <f t="shared" si="69"/>
        <v>570.23890833999997</v>
      </c>
      <c r="AD132" s="172">
        <f t="shared" si="69"/>
        <v>593.53465242999994</v>
      </c>
      <c r="AE132" s="172">
        <f t="shared" si="69"/>
        <v>618.58496862000004</v>
      </c>
      <c r="AF132" s="161"/>
      <c r="AG132" s="161"/>
      <c r="AH132" s="161"/>
      <c r="AI132" s="161"/>
      <c r="AJ132" s="161"/>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row>
    <row r="133" spans="1:59" ht="15.75" customHeight="1" x14ac:dyDescent="0.2">
      <c r="A133" s="195"/>
      <c r="B133" s="195"/>
      <c r="C133" s="190" t="s">
        <v>226</v>
      </c>
      <c r="D133" s="191" t="s">
        <v>146</v>
      </c>
      <c r="E133" s="191" t="s">
        <v>146</v>
      </c>
      <c r="F133" s="191" t="s">
        <v>146</v>
      </c>
      <c r="G133" s="191" t="s">
        <v>146</v>
      </c>
      <c r="H133" s="191" t="s">
        <v>146</v>
      </c>
      <c r="I133" s="191">
        <v>-2.178385067E-2</v>
      </c>
      <c r="J133" s="191">
        <v>-6.996439317E-2</v>
      </c>
      <c r="K133" s="191">
        <v>-6.643159639E-2</v>
      </c>
      <c r="L133" s="191">
        <v>-1.8247171829999999E-2</v>
      </c>
      <c r="M133" s="191">
        <v>-4.4855627289999998E-2</v>
      </c>
      <c r="N133" s="191">
        <v>7.2703752859999998E-2</v>
      </c>
      <c r="O133" s="191">
        <v>0.15602274099999999</v>
      </c>
      <c r="P133" s="191">
        <v>0.125196276</v>
      </c>
      <c r="Q133" s="191">
        <v>0.17516885660000001</v>
      </c>
      <c r="R133" s="191">
        <v>0.13317528410000001</v>
      </c>
      <c r="S133" s="191">
        <v>0.24778310179999999</v>
      </c>
      <c r="T133" s="191">
        <v>0.14008134850000001</v>
      </c>
      <c r="U133" s="191">
        <v>0.14727976810000001</v>
      </c>
      <c r="V133" s="191">
        <v>0.1843604509</v>
      </c>
      <c r="W133" s="191">
        <v>0.177964072</v>
      </c>
      <c r="X133" s="191">
        <v>4.3645768629999998E-2</v>
      </c>
      <c r="Y133" s="191">
        <v>5.798557352E-2</v>
      </c>
      <c r="Z133" s="191">
        <v>0.1381640794</v>
      </c>
      <c r="AA133" s="191">
        <v>1.094225349E-2</v>
      </c>
      <c r="AB133" s="191">
        <v>6.226971999E-2</v>
      </c>
      <c r="AC133" s="191">
        <v>7.7512574099999995E-2</v>
      </c>
      <c r="AD133" s="191">
        <v>0.1000131657</v>
      </c>
      <c r="AE133" s="191">
        <v>-7.9584128920000003E-4</v>
      </c>
      <c r="AF133" s="195"/>
      <c r="AG133" s="195"/>
      <c r="AH133" s="195"/>
      <c r="AI133" s="195"/>
      <c r="AJ133" s="195"/>
      <c r="AK133" s="195"/>
      <c r="AL133" s="195"/>
      <c r="AM133" s="195"/>
      <c r="AN133" s="147"/>
      <c r="AO133" s="195"/>
      <c r="AP133" s="195"/>
      <c r="AQ133" s="195"/>
      <c r="AR133" s="195"/>
      <c r="AS133" s="195"/>
      <c r="AT133" s="195"/>
      <c r="AU133" s="195"/>
      <c r="AV133" s="195"/>
      <c r="AW133" s="195"/>
      <c r="AX133" s="195"/>
      <c r="AY133" s="195"/>
      <c r="AZ133" s="195"/>
      <c r="BA133" s="195"/>
      <c r="BB133" s="195"/>
      <c r="BC133" s="195"/>
      <c r="BD133" s="195"/>
      <c r="BE133" s="195"/>
      <c r="BF133" s="195"/>
      <c r="BG133" s="195"/>
    </row>
    <row r="134" spans="1:59" ht="15.75" customHeight="1" x14ac:dyDescent="0.2">
      <c r="A134" s="147"/>
      <c r="B134" s="147"/>
      <c r="C134" s="186"/>
      <c r="D134" s="186"/>
      <c r="E134" s="186"/>
      <c r="F134" s="186"/>
      <c r="G134" s="186"/>
      <c r="H134" s="186"/>
      <c r="I134" s="186"/>
      <c r="J134" s="186"/>
      <c r="K134" s="187"/>
      <c r="L134" s="187"/>
      <c r="M134" s="187"/>
      <c r="N134" s="187"/>
      <c r="O134" s="187"/>
      <c r="P134" s="187"/>
      <c r="Q134" s="187"/>
      <c r="R134" s="188"/>
      <c r="S134" s="187"/>
      <c r="T134" s="187"/>
      <c r="U134" s="187"/>
      <c r="V134" s="187"/>
      <c r="W134" s="187"/>
      <c r="X134" s="187"/>
      <c r="Y134" s="187"/>
      <c r="Z134" s="187"/>
      <c r="AA134" s="187"/>
      <c r="AB134" s="187"/>
      <c r="AC134" s="187"/>
      <c r="AD134" s="187"/>
      <c r="AE134" s="187"/>
      <c r="AF134" s="161"/>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row>
    <row r="135" spans="1:59" ht="15.75" customHeight="1" x14ac:dyDescent="0.2">
      <c r="A135" s="162"/>
      <c r="B135" s="162"/>
      <c r="C135" s="217" t="s">
        <v>227</v>
      </c>
      <c r="D135" s="172">
        <f t="shared" ref="D135:AE135" si="70">SUM(D137:D139)</f>
        <v>-254.1</v>
      </c>
      <c r="E135" s="172">
        <f t="shared" si="70"/>
        <v>-282.8</v>
      </c>
      <c r="F135" s="172">
        <f t="shared" si="70"/>
        <v>-270.39999999999998</v>
      </c>
      <c r="G135" s="172">
        <f t="shared" si="70"/>
        <v>-283.3</v>
      </c>
      <c r="H135" s="172">
        <f t="shared" si="70"/>
        <v>-1090.5999999999999</v>
      </c>
      <c r="I135" s="172">
        <f t="shared" si="70"/>
        <v>-238</v>
      </c>
      <c r="J135" s="172">
        <f t="shared" si="70"/>
        <v>-257.8</v>
      </c>
      <c r="K135" s="172">
        <f t="shared" si="70"/>
        <v>-240.7</v>
      </c>
      <c r="L135" s="172">
        <f t="shared" si="70"/>
        <v>-258.8</v>
      </c>
      <c r="M135" s="172">
        <f t="shared" si="70"/>
        <v>-995.3</v>
      </c>
      <c r="N135" s="172">
        <f t="shared" si="70"/>
        <v>-244.95614959019349</v>
      </c>
      <c r="O135" s="172">
        <f t="shared" si="70"/>
        <v>-247.16878143319309</v>
      </c>
      <c r="P135" s="172">
        <f t="shared" si="70"/>
        <v>-268.12815296089349</v>
      </c>
      <c r="Q135" s="172">
        <f t="shared" si="70"/>
        <v>-317.92169232948038</v>
      </c>
      <c r="R135" s="172">
        <f t="shared" si="70"/>
        <v>-1078.1747763137605</v>
      </c>
      <c r="S135" s="172">
        <f t="shared" si="70"/>
        <v>-267.02989581999998</v>
      </c>
      <c r="T135" s="172">
        <f t="shared" si="70"/>
        <v>-291.93900688000002</v>
      </c>
      <c r="U135" s="172">
        <f t="shared" si="70"/>
        <v>-309.71091723000001</v>
      </c>
      <c r="V135" s="172">
        <f t="shared" si="70"/>
        <v>-376.57855431999997</v>
      </c>
      <c r="W135" s="172">
        <f t="shared" si="70"/>
        <v>-1245.2583742500001</v>
      </c>
      <c r="X135" s="172">
        <f t="shared" si="70"/>
        <v>-311.74806505999999</v>
      </c>
      <c r="Y135" s="172">
        <f t="shared" si="70"/>
        <v>-320.43337123000003</v>
      </c>
      <c r="Z135" s="172">
        <f t="shared" si="70"/>
        <v>-358.32994966000001</v>
      </c>
      <c r="AA135" s="172">
        <f t="shared" si="70"/>
        <v>-359.93399182999997</v>
      </c>
      <c r="AB135" s="172">
        <f t="shared" si="70"/>
        <v>-1350.4453777799999</v>
      </c>
      <c r="AC135" s="172">
        <f t="shared" si="70"/>
        <v>-342.87212700999999</v>
      </c>
      <c r="AD135" s="172">
        <f t="shared" si="70"/>
        <v>-362.88881458494689</v>
      </c>
      <c r="AE135" s="172">
        <f t="shared" si="70"/>
        <v>-350.78806485999996</v>
      </c>
      <c r="AF135" s="157"/>
      <c r="AG135" s="157"/>
      <c r="AH135" s="157"/>
      <c r="AI135" s="157"/>
      <c r="AJ135" s="15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row>
    <row r="136" spans="1:59" ht="15.75" customHeight="1" x14ac:dyDescent="0.2">
      <c r="A136" s="195"/>
      <c r="B136" s="195"/>
      <c r="C136" s="190" t="s">
        <v>226</v>
      </c>
      <c r="D136" s="191" t="s">
        <v>146</v>
      </c>
      <c r="E136" s="191" t="s">
        <v>146</v>
      </c>
      <c r="F136" s="191" t="s">
        <v>146</v>
      </c>
      <c r="G136" s="191" t="s">
        <v>146</v>
      </c>
      <c r="H136" s="191" t="s">
        <v>146</v>
      </c>
      <c r="I136" s="191">
        <v>-6.3360881539999997E-2</v>
      </c>
      <c r="J136" s="191">
        <v>-8.8401697309999999E-2</v>
      </c>
      <c r="K136" s="191">
        <v>-0.1098372781</v>
      </c>
      <c r="L136" s="191">
        <v>-8.6480762439999997E-2</v>
      </c>
      <c r="M136" s="191">
        <v>-8.7383091879999999E-2</v>
      </c>
      <c r="N136" s="191">
        <v>2.922751929E-2</v>
      </c>
      <c r="O136" s="191">
        <v>-4.123824114E-2</v>
      </c>
      <c r="P136" s="191">
        <v>0.11395161180000001</v>
      </c>
      <c r="Q136" s="191">
        <v>0.22844548810000001</v>
      </c>
      <c r="R136" s="191">
        <v>8.3266127110000004E-2</v>
      </c>
      <c r="S136" s="191">
        <v>9.0113051929999993E-2</v>
      </c>
      <c r="T136" s="191">
        <v>0.18113220120000001</v>
      </c>
      <c r="U136" s="191">
        <v>0.15508540900000001</v>
      </c>
      <c r="V136" s="191">
        <v>0.18450097430000001</v>
      </c>
      <c r="W136" s="191">
        <v>0.154968936</v>
      </c>
      <c r="X136" s="191">
        <v>0.16746502899999999</v>
      </c>
      <c r="Y136" s="191">
        <v>9.7603827099999999E-2</v>
      </c>
      <c r="Z136" s="191">
        <v>0.1569819781</v>
      </c>
      <c r="AA136" s="191">
        <v>-4.4199443380000002E-2</v>
      </c>
      <c r="AB136" s="191">
        <v>8.4470023010000006E-2</v>
      </c>
      <c r="AC136" s="191">
        <v>9.9837225749999994E-2</v>
      </c>
      <c r="AD136" s="191">
        <v>0.13249382609999999</v>
      </c>
      <c r="AE136" s="191">
        <v>-2.1047319120000001E-2</v>
      </c>
      <c r="AF136" s="195"/>
      <c r="AG136" s="195"/>
      <c r="AH136" s="195"/>
      <c r="AI136" s="195"/>
      <c r="AJ136" s="195"/>
      <c r="AK136" s="195"/>
      <c r="AL136" s="195"/>
      <c r="AM136" s="195"/>
      <c r="AN136" s="147"/>
      <c r="AO136" s="195"/>
      <c r="AP136" s="195"/>
      <c r="AQ136" s="195"/>
      <c r="AR136" s="195"/>
      <c r="AS136" s="195"/>
      <c r="AT136" s="195"/>
      <c r="AU136" s="195"/>
      <c r="AV136" s="195"/>
      <c r="AW136" s="195"/>
      <c r="AX136" s="195"/>
      <c r="AY136" s="195"/>
      <c r="AZ136" s="195"/>
      <c r="BA136" s="195"/>
      <c r="BB136" s="195"/>
      <c r="BC136" s="195"/>
      <c r="BD136" s="195"/>
      <c r="BE136" s="195"/>
      <c r="BF136" s="195"/>
      <c r="BG136" s="195"/>
    </row>
    <row r="137" spans="1:59" ht="15.75" customHeight="1" x14ac:dyDescent="0.2">
      <c r="A137" s="147"/>
      <c r="B137" s="147"/>
      <c r="C137" s="218" t="s">
        <v>228</v>
      </c>
      <c r="D137" s="219">
        <v>-34</v>
      </c>
      <c r="E137" s="219">
        <v>-38</v>
      </c>
      <c r="F137" s="219">
        <v>-30</v>
      </c>
      <c r="G137" s="219">
        <v>-36</v>
      </c>
      <c r="H137" s="219">
        <f t="shared" ref="H137:H139" si="71">SUM(D137:G137)</f>
        <v>-138</v>
      </c>
      <c r="I137" s="219">
        <v>-24</v>
      </c>
      <c r="J137" s="219">
        <v>-26</v>
      </c>
      <c r="K137" s="219">
        <v>-22</v>
      </c>
      <c r="L137" s="219">
        <v>-28</v>
      </c>
      <c r="M137" s="219">
        <f t="shared" ref="M137:M139" si="72">SUM(I137:L137)</f>
        <v>-100</v>
      </c>
      <c r="N137" s="219">
        <v>-23.361674306808503</v>
      </c>
      <c r="O137" s="219">
        <v>-21.093662393380999</v>
      </c>
      <c r="P137" s="219">
        <v>-24.084150104154002</v>
      </c>
      <c r="Q137" s="219">
        <v>-30.085053054052583</v>
      </c>
      <c r="R137" s="219">
        <f t="shared" ref="R137:R139" si="73">SUM(N137:Q137)</f>
        <v>-98.624539858396091</v>
      </c>
      <c r="S137" s="219">
        <v>-31.391560640000002</v>
      </c>
      <c r="T137" s="219">
        <v>-29.266194599999999</v>
      </c>
      <c r="U137" s="219">
        <v>-33.306676340000003</v>
      </c>
      <c r="V137" s="219">
        <v>-35.970127679999997</v>
      </c>
      <c r="W137" s="219">
        <f t="shared" ref="W137:W139" si="74">SUM(S137:V137)</f>
        <v>-129.93455925999999</v>
      </c>
      <c r="X137" s="219">
        <v>-36.336787370000003</v>
      </c>
      <c r="Y137" s="219">
        <v>-39.542739210000001</v>
      </c>
      <c r="Z137" s="219">
        <v>-49.23327166</v>
      </c>
      <c r="AA137" s="219">
        <v>-44.937018119999998</v>
      </c>
      <c r="AB137" s="219">
        <f t="shared" ref="AB137:AB139" si="75">SUM(X137:AA137)</f>
        <v>-170.04981635999999</v>
      </c>
      <c r="AC137" s="219">
        <v>-44.076616649999998</v>
      </c>
      <c r="AD137" s="219">
        <v>-45.783290869427894</v>
      </c>
      <c r="AE137" s="219">
        <v>-42.011840640000003</v>
      </c>
      <c r="AF137" s="220"/>
      <c r="AG137" s="220"/>
      <c r="AH137" s="220"/>
      <c r="AI137" s="220"/>
      <c r="AJ137" s="220"/>
      <c r="AK137" s="221"/>
      <c r="AL137" s="147"/>
      <c r="AM137" s="147"/>
      <c r="AN137" s="189"/>
      <c r="AO137" s="147"/>
      <c r="AP137" s="147"/>
      <c r="AQ137" s="147"/>
      <c r="AR137" s="147"/>
      <c r="AS137" s="147"/>
      <c r="AT137" s="147"/>
      <c r="AU137" s="147"/>
      <c r="AV137" s="147"/>
      <c r="AW137" s="147"/>
      <c r="AX137" s="147"/>
      <c r="AY137" s="147"/>
      <c r="AZ137" s="147"/>
      <c r="BA137" s="147"/>
      <c r="BB137" s="147"/>
      <c r="BC137" s="147"/>
      <c r="BD137" s="147"/>
      <c r="BE137" s="147"/>
      <c r="BF137" s="147"/>
      <c r="BG137" s="147"/>
    </row>
    <row r="138" spans="1:59" ht="15.75" customHeight="1" x14ac:dyDescent="0.2">
      <c r="A138" s="147"/>
      <c r="B138" s="147"/>
      <c r="C138" s="218" t="s">
        <v>229</v>
      </c>
      <c r="D138" s="219">
        <v>-120</v>
      </c>
      <c r="E138" s="219">
        <v>-137</v>
      </c>
      <c r="F138" s="219">
        <v>-134</v>
      </c>
      <c r="G138" s="219">
        <v>-138</v>
      </c>
      <c r="H138" s="219">
        <f t="shared" si="71"/>
        <v>-529</v>
      </c>
      <c r="I138" s="219">
        <v>-129</v>
      </c>
      <c r="J138" s="219">
        <v>-141</v>
      </c>
      <c r="K138" s="219">
        <v>-137</v>
      </c>
      <c r="L138" s="219">
        <v>-142</v>
      </c>
      <c r="M138" s="219">
        <f t="shared" si="72"/>
        <v>-549</v>
      </c>
      <c r="N138" s="219">
        <v>-135.45903632409403</v>
      </c>
      <c r="O138" s="219">
        <v>-138.08864035930006</v>
      </c>
      <c r="P138" s="219">
        <v>-137.91073161253206</v>
      </c>
      <c r="Q138" s="219">
        <v>-144.37399282114782</v>
      </c>
      <c r="R138" s="219">
        <f t="shared" si="73"/>
        <v>-555.83240111707403</v>
      </c>
      <c r="S138" s="219">
        <v>-136.29896033</v>
      </c>
      <c r="T138" s="219">
        <v>-143.83822755</v>
      </c>
      <c r="U138" s="219">
        <v>-142.86785963</v>
      </c>
      <c r="V138" s="219">
        <v>-175.46635447</v>
      </c>
      <c r="W138" s="219">
        <f t="shared" si="74"/>
        <v>-598.47140198</v>
      </c>
      <c r="X138" s="219">
        <v>-150.96301738</v>
      </c>
      <c r="Y138" s="219">
        <v>-162.02058291</v>
      </c>
      <c r="Z138" s="219">
        <v>-166.17650563000001</v>
      </c>
      <c r="AA138" s="219">
        <v>-170.28403187999999</v>
      </c>
      <c r="AB138" s="219">
        <f t="shared" si="75"/>
        <v>-649.44413780000002</v>
      </c>
      <c r="AC138" s="219">
        <v>-163.60510163000001</v>
      </c>
      <c r="AD138" s="219">
        <v>-177.46057144999997</v>
      </c>
      <c r="AE138" s="219">
        <v>-170.09407661</v>
      </c>
      <c r="AF138" s="220"/>
      <c r="AG138" s="220"/>
      <c r="AH138" s="220"/>
      <c r="AI138" s="220"/>
      <c r="AJ138" s="220"/>
      <c r="AK138" s="221"/>
      <c r="AL138" s="147"/>
      <c r="AM138" s="147"/>
      <c r="AN138" s="189"/>
      <c r="AO138" s="147"/>
      <c r="AP138" s="147"/>
      <c r="AQ138" s="147"/>
      <c r="AR138" s="147"/>
      <c r="AS138" s="147"/>
      <c r="AT138" s="147"/>
      <c r="AU138" s="147"/>
      <c r="AV138" s="147"/>
      <c r="AW138" s="147"/>
      <c r="AX138" s="147"/>
      <c r="AY138" s="147"/>
      <c r="AZ138" s="147"/>
      <c r="BA138" s="147"/>
      <c r="BB138" s="147"/>
      <c r="BC138" s="147"/>
      <c r="BD138" s="147"/>
      <c r="BE138" s="147"/>
      <c r="BF138" s="147"/>
      <c r="BG138" s="147"/>
    </row>
    <row r="139" spans="1:59" ht="15.75" customHeight="1" x14ac:dyDescent="0.2">
      <c r="A139" s="147"/>
      <c r="B139" s="147"/>
      <c r="C139" s="218" t="s">
        <v>230</v>
      </c>
      <c r="D139" s="219">
        <f>-100-0.1</f>
        <v>-100.1</v>
      </c>
      <c r="E139" s="219">
        <f>-108+0.2</f>
        <v>-107.8</v>
      </c>
      <c r="F139" s="219">
        <f>-106-0.4</f>
        <v>-106.4</v>
      </c>
      <c r="G139" s="219">
        <f>-109-0.3</f>
        <v>-109.3</v>
      </c>
      <c r="H139" s="219">
        <f t="shared" si="71"/>
        <v>-423.59999999999997</v>
      </c>
      <c r="I139" s="219">
        <v>-85</v>
      </c>
      <c r="J139" s="219">
        <f>-91+0.2</f>
        <v>-90.8</v>
      </c>
      <c r="K139" s="219">
        <f>-82+0.3</f>
        <v>-81.7</v>
      </c>
      <c r="L139" s="219">
        <f>-89+0.2</f>
        <v>-88.8</v>
      </c>
      <c r="M139" s="219">
        <f t="shared" si="72"/>
        <v>-346.3</v>
      </c>
      <c r="N139" s="219">
        <v>-86.135438959290937</v>
      </c>
      <c r="O139" s="219">
        <v>-87.986478680512008</v>
      </c>
      <c r="P139" s="219">
        <v>-106.13327124420744</v>
      </c>
      <c r="Q139" s="219">
        <v>-143.46264645427996</v>
      </c>
      <c r="R139" s="219">
        <f t="shared" si="73"/>
        <v>-423.71783533829034</v>
      </c>
      <c r="S139" s="219">
        <v>-99.339374850000013</v>
      </c>
      <c r="T139" s="219">
        <v>-118.83458473000002</v>
      </c>
      <c r="U139" s="219">
        <v>-133.53638126000001</v>
      </c>
      <c r="V139" s="219">
        <v>-165.14207217000001</v>
      </c>
      <c r="W139" s="219">
        <f t="shared" si="74"/>
        <v>-516.85241301000008</v>
      </c>
      <c r="X139" s="219">
        <v>-124.44826030999999</v>
      </c>
      <c r="Y139" s="219">
        <v>-118.87004911</v>
      </c>
      <c r="Z139" s="219">
        <v>-142.92017236999999</v>
      </c>
      <c r="AA139" s="219">
        <v>-144.71294183000001</v>
      </c>
      <c r="AB139" s="219">
        <f t="shared" si="75"/>
        <v>-530.95142362000001</v>
      </c>
      <c r="AC139" s="219">
        <v>-135.19040873</v>
      </c>
      <c r="AD139" s="219">
        <v>-139.64495226551898</v>
      </c>
      <c r="AE139" s="219">
        <v>-138.68214760999999</v>
      </c>
      <c r="AF139" s="220"/>
      <c r="AG139" s="220"/>
      <c r="AH139" s="220"/>
      <c r="AI139" s="220"/>
      <c r="AJ139" s="220"/>
      <c r="AK139" s="221"/>
      <c r="AL139" s="147"/>
      <c r="AM139" s="147"/>
      <c r="AN139" s="189"/>
      <c r="AO139" s="147"/>
      <c r="AP139" s="147"/>
      <c r="AQ139" s="147"/>
      <c r="AR139" s="147"/>
      <c r="AS139" s="147"/>
      <c r="AT139" s="147"/>
      <c r="AU139" s="147"/>
      <c r="AV139" s="147"/>
      <c r="AW139" s="147"/>
      <c r="AX139" s="147"/>
      <c r="AY139" s="147"/>
      <c r="AZ139" s="147"/>
      <c r="BA139" s="147"/>
      <c r="BB139" s="147"/>
      <c r="BC139" s="147"/>
      <c r="BD139" s="147"/>
      <c r="BE139" s="147"/>
      <c r="BF139" s="147"/>
      <c r="BG139" s="147"/>
    </row>
    <row r="140" spans="1:59" ht="15.75" customHeight="1" x14ac:dyDescent="0.2">
      <c r="A140" s="147"/>
      <c r="B140" s="147"/>
      <c r="C140" s="186"/>
      <c r="D140" s="187"/>
      <c r="E140" s="187"/>
      <c r="F140" s="187"/>
      <c r="G140" s="187"/>
      <c r="H140" s="187"/>
      <c r="I140" s="187"/>
      <c r="J140" s="187"/>
      <c r="K140" s="187"/>
      <c r="L140" s="187"/>
      <c r="M140" s="187"/>
      <c r="N140" s="187"/>
      <c r="O140" s="187"/>
      <c r="P140" s="187"/>
      <c r="Q140" s="187"/>
      <c r="R140" s="188"/>
      <c r="S140" s="187"/>
      <c r="T140" s="187"/>
      <c r="U140" s="187"/>
      <c r="V140" s="187"/>
      <c r="W140" s="187"/>
      <c r="X140" s="187"/>
      <c r="Y140" s="187"/>
      <c r="Z140" s="187"/>
      <c r="AA140" s="187"/>
      <c r="AB140" s="187"/>
      <c r="AC140" s="187"/>
      <c r="AD140" s="187"/>
      <c r="AE140" s="187"/>
      <c r="AF140" s="161"/>
      <c r="AG140" s="147"/>
      <c r="AH140" s="147"/>
      <c r="AI140" s="147"/>
      <c r="AJ140" s="147"/>
      <c r="AK140" s="147"/>
      <c r="AL140" s="147"/>
      <c r="AM140" s="147"/>
      <c r="AN140" s="189"/>
      <c r="AO140" s="147"/>
      <c r="AP140" s="147"/>
      <c r="AQ140" s="147"/>
      <c r="AR140" s="147"/>
      <c r="AS140" s="147"/>
      <c r="AT140" s="147"/>
      <c r="AU140" s="147"/>
      <c r="AV140" s="147"/>
      <c r="AW140" s="147"/>
      <c r="AX140" s="147"/>
      <c r="AY140" s="147"/>
      <c r="AZ140" s="147"/>
      <c r="BA140" s="147"/>
      <c r="BB140" s="147"/>
      <c r="BC140" s="147"/>
      <c r="BD140" s="147"/>
      <c r="BE140" s="147"/>
      <c r="BF140" s="147"/>
      <c r="BG140" s="147"/>
    </row>
    <row r="141" spans="1:59" ht="15.75" customHeight="1" x14ac:dyDescent="0.2">
      <c r="A141" s="189"/>
      <c r="B141" s="189"/>
      <c r="C141" s="173" t="s">
        <v>167</v>
      </c>
      <c r="D141" s="172">
        <f t="shared" ref="D141:AE141" si="76">D13</f>
        <v>-1.6</v>
      </c>
      <c r="E141" s="172">
        <f t="shared" si="76"/>
        <v>-2.9</v>
      </c>
      <c r="F141" s="172">
        <f t="shared" si="76"/>
        <v>-2.1</v>
      </c>
      <c r="G141" s="172">
        <f t="shared" si="76"/>
        <v>-8.5</v>
      </c>
      <c r="H141" s="172">
        <f t="shared" si="76"/>
        <v>-15.1</v>
      </c>
      <c r="I141" s="172">
        <f t="shared" si="76"/>
        <v>-4.8</v>
      </c>
      <c r="J141" s="172">
        <f t="shared" si="76"/>
        <v>2.5</v>
      </c>
      <c r="K141" s="172">
        <f t="shared" si="76"/>
        <v>-2.1</v>
      </c>
      <c r="L141" s="172">
        <f t="shared" si="76"/>
        <v>6.8</v>
      </c>
      <c r="M141" s="172">
        <f t="shared" si="76"/>
        <v>2.3999999999999995</v>
      </c>
      <c r="N141" s="172">
        <f t="shared" si="76"/>
        <v>-20.755774623940663</v>
      </c>
      <c r="O141" s="172">
        <f t="shared" si="76"/>
        <v>-8.8213611674358994</v>
      </c>
      <c r="P141" s="172">
        <f t="shared" si="76"/>
        <v>-2.5582720601457778</v>
      </c>
      <c r="Q141" s="172">
        <f t="shared" si="76"/>
        <v>3.3687220727818254</v>
      </c>
      <c r="R141" s="172">
        <f t="shared" si="76"/>
        <v>-19.100000000000001</v>
      </c>
      <c r="S141" s="172">
        <f t="shared" si="76"/>
        <v>-10.2396025</v>
      </c>
      <c r="T141" s="172">
        <f t="shared" si="76"/>
        <v>2.1829537499999998</v>
      </c>
      <c r="U141" s="172">
        <f t="shared" si="76"/>
        <v>-15.7024714</v>
      </c>
      <c r="V141" s="172">
        <f t="shared" si="76"/>
        <v>-8.03832828</v>
      </c>
      <c r="W141" s="172">
        <f t="shared" si="76"/>
        <v>-31.891265679999997</v>
      </c>
      <c r="X141" s="172">
        <f t="shared" si="76"/>
        <v>21.417042769999998</v>
      </c>
      <c r="Y141" s="172">
        <f t="shared" si="76"/>
        <v>-18.24229012</v>
      </c>
      <c r="Z141" s="172">
        <f t="shared" si="76"/>
        <v>-12.859271870000001</v>
      </c>
      <c r="AA141" s="172">
        <f t="shared" si="76"/>
        <v>26.697567840000001</v>
      </c>
      <c r="AB141" s="172">
        <f t="shared" si="76"/>
        <v>17.013048619999999</v>
      </c>
      <c r="AC141" s="172">
        <f t="shared" si="76"/>
        <v>12.0674036</v>
      </c>
      <c r="AD141" s="172">
        <f t="shared" si="76"/>
        <v>18.319750655970303</v>
      </c>
      <c r="AE141" s="172">
        <f t="shared" si="76"/>
        <v>0.56187282000000005</v>
      </c>
      <c r="AF141" s="161"/>
      <c r="AG141" s="175"/>
      <c r="AH141" s="175"/>
      <c r="AI141" s="175"/>
      <c r="AJ141" s="175"/>
      <c r="AK141" s="176"/>
      <c r="AL141" s="176"/>
      <c r="AM141" s="176"/>
      <c r="AN141" s="189"/>
      <c r="AO141" s="176"/>
      <c r="AP141" s="176"/>
      <c r="AQ141" s="176"/>
      <c r="AR141" s="176"/>
      <c r="AS141" s="176"/>
      <c r="AT141" s="176"/>
      <c r="AU141" s="176"/>
      <c r="AV141" s="176"/>
      <c r="AW141" s="176"/>
      <c r="AX141" s="176"/>
      <c r="AY141" s="176"/>
      <c r="AZ141" s="176"/>
      <c r="BA141" s="176"/>
      <c r="BB141" s="176"/>
      <c r="BC141" s="176"/>
      <c r="BD141" s="176"/>
      <c r="BE141" s="176"/>
      <c r="BF141" s="176"/>
      <c r="BG141" s="176"/>
    </row>
    <row r="142" spans="1:59" ht="15.75" customHeight="1" x14ac:dyDescent="0.2">
      <c r="A142" s="189"/>
      <c r="B142" s="189"/>
      <c r="C142" s="190" t="s">
        <v>168</v>
      </c>
      <c r="D142" s="172">
        <f t="shared" ref="D142:AE142" si="77">D14</f>
        <v>132.58230541999995</v>
      </c>
      <c r="E142" s="172">
        <f t="shared" si="77"/>
        <v>129.37024279499892</v>
      </c>
      <c r="F142" s="172">
        <f t="shared" si="77"/>
        <v>178.83237634500128</v>
      </c>
      <c r="G142" s="172">
        <f t="shared" si="77"/>
        <v>129.98488874000026</v>
      </c>
      <c r="H142" s="172">
        <f t="shared" si="77"/>
        <v>570.76981330000046</v>
      </c>
      <c r="I142" s="172">
        <f t="shared" si="77"/>
        <v>136.04580550999998</v>
      </c>
      <c r="J142" s="172">
        <f t="shared" si="77"/>
        <v>131.66014074000003</v>
      </c>
      <c r="K142" s="172">
        <f t="shared" si="77"/>
        <v>179.54964608000003</v>
      </c>
      <c r="L142" s="172">
        <f t="shared" si="77"/>
        <v>109.07026023000002</v>
      </c>
      <c r="M142" s="172">
        <f t="shared" si="77"/>
        <v>556.32585256000004</v>
      </c>
      <c r="N142" s="172">
        <f t="shared" si="77"/>
        <v>141.32273723385333</v>
      </c>
      <c r="O142" s="172">
        <f t="shared" si="77"/>
        <v>192.08856570170511</v>
      </c>
      <c r="P142" s="172">
        <f t="shared" si="77"/>
        <v>202.53347135089939</v>
      </c>
      <c r="Q142" s="172">
        <f t="shared" si="77"/>
        <v>172.67415686880008</v>
      </c>
      <c r="R142" s="172">
        <f t="shared" si="77"/>
        <v>708.61893115525788</v>
      </c>
      <c r="S142" s="172">
        <f t="shared" si="77"/>
        <v>229.48144902999999</v>
      </c>
      <c r="T142" s="172">
        <f t="shared" si="77"/>
        <v>220.59656956999999</v>
      </c>
      <c r="U142" s="172">
        <f t="shared" si="77"/>
        <v>219.09142583000002</v>
      </c>
      <c r="V142" s="172">
        <f t="shared" si="77"/>
        <v>189.63891305000001</v>
      </c>
      <c r="W142" s="172">
        <f t="shared" si="77"/>
        <v>858.80835748000004</v>
      </c>
      <c r="X142" s="172">
        <f t="shared" si="77"/>
        <v>239.01264623</v>
      </c>
      <c r="Y142" s="172">
        <f t="shared" si="77"/>
        <v>201.20064794000001</v>
      </c>
      <c r="Z142" s="172">
        <f t="shared" si="77"/>
        <v>248.02250831999999</v>
      </c>
      <c r="AA142" s="172">
        <f t="shared" si="77"/>
        <v>250.71721364000001</v>
      </c>
      <c r="AB142" s="172">
        <f t="shared" si="77"/>
        <v>938.95301612999992</v>
      </c>
      <c r="AC142" s="172">
        <f t="shared" si="77"/>
        <v>239.53447352999999</v>
      </c>
      <c r="AD142" s="172">
        <f t="shared" si="77"/>
        <v>257.198315557363</v>
      </c>
      <c r="AE142" s="172">
        <f t="shared" si="77"/>
        <v>268.39054135999999</v>
      </c>
      <c r="AF142" s="161"/>
      <c r="AG142" s="157"/>
      <c r="AH142" s="157"/>
      <c r="AI142" s="161"/>
      <c r="AJ142" s="175"/>
      <c r="AK142" s="176"/>
      <c r="AL142" s="176"/>
      <c r="AM142" s="176"/>
      <c r="AN142" s="189"/>
      <c r="AO142" s="176"/>
      <c r="AP142" s="176"/>
      <c r="AQ142" s="176"/>
      <c r="AR142" s="176"/>
      <c r="AS142" s="176"/>
      <c r="AT142" s="176"/>
      <c r="AU142" s="176"/>
      <c r="AV142" s="176"/>
      <c r="AW142" s="176"/>
      <c r="AX142" s="176"/>
      <c r="AY142" s="176"/>
      <c r="AZ142" s="176"/>
      <c r="BA142" s="176"/>
      <c r="BB142" s="176"/>
      <c r="BC142" s="176"/>
      <c r="BD142" s="176"/>
      <c r="BE142" s="176"/>
      <c r="BF142" s="176"/>
      <c r="BG142" s="176"/>
    </row>
    <row r="143" spans="1:59" ht="15.75" customHeight="1" x14ac:dyDescent="0.2">
      <c r="A143" s="195"/>
      <c r="B143" s="195"/>
      <c r="C143" s="190" t="s">
        <v>231</v>
      </c>
      <c r="D143" s="191">
        <f t="shared" ref="D143:AE143" si="78">D142/D132</f>
        <v>0.34234020910461449</v>
      </c>
      <c r="E143" s="191">
        <f t="shared" si="78"/>
        <v>0.31093365852347354</v>
      </c>
      <c r="F143" s="191">
        <f t="shared" si="78"/>
        <v>0.3962321023659528</v>
      </c>
      <c r="G143" s="191">
        <f t="shared" si="78"/>
        <v>0.30744923057062473</v>
      </c>
      <c r="H143" s="191">
        <f t="shared" si="78"/>
        <v>0.34025638421305138</v>
      </c>
      <c r="I143" s="191">
        <f t="shared" si="78"/>
        <v>0.35910600970454437</v>
      </c>
      <c r="J143" s="191">
        <f t="shared" si="78"/>
        <v>0.34024212542465188</v>
      </c>
      <c r="K143" s="191">
        <f t="shared" si="78"/>
        <v>0.42612981344692913</v>
      </c>
      <c r="L143" s="191">
        <f t="shared" si="78"/>
        <v>0.26277541582854347</v>
      </c>
      <c r="M143" s="191">
        <f t="shared" si="78"/>
        <v>0.34722061915997376</v>
      </c>
      <c r="N143" s="191">
        <f t="shared" si="78"/>
        <v>0.3477520968418597</v>
      </c>
      <c r="O143" s="191">
        <f t="shared" si="78"/>
        <v>0.42940678648516756</v>
      </c>
      <c r="P143" s="191">
        <f t="shared" si="78"/>
        <v>0.42719473036703043</v>
      </c>
      <c r="Q143" s="191">
        <f t="shared" si="78"/>
        <v>0.35400178605974658</v>
      </c>
      <c r="R143" s="191">
        <f t="shared" si="78"/>
        <v>0.3902940424319839</v>
      </c>
      <c r="S143" s="191">
        <f t="shared" si="78"/>
        <v>0.45254961570024216</v>
      </c>
      <c r="T143" s="191">
        <f t="shared" si="78"/>
        <v>0.43254401179731239</v>
      </c>
      <c r="U143" s="191">
        <f t="shared" si="78"/>
        <v>0.40279597963731456</v>
      </c>
      <c r="V143" s="191">
        <f t="shared" si="78"/>
        <v>0.32826280017494336</v>
      </c>
      <c r="W143" s="191">
        <f t="shared" si="78"/>
        <v>0.40155347538664216</v>
      </c>
      <c r="X143" s="191">
        <f t="shared" si="78"/>
        <v>0.45163374142874663</v>
      </c>
      <c r="Y143" s="191">
        <f t="shared" si="78"/>
        <v>0.37289037931065894</v>
      </c>
      <c r="Z143" s="191">
        <f t="shared" si="78"/>
        <v>0.40063230492021856</v>
      </c>
      <c r="AA143" s="191">
        <f t="shared" si="78"/>
        <v>0.42929122989568608</v>
      </c>
      <c r="AB143" s="191">
        <f t="shared" si="78"/>
        <v>0.41329122662446416</v>
      </c>
      <c r="AC143" s="191">
        <f t="shared" si="78"/>
        <v>0.42005985566172493</v>
      </c>
      <c r="AD143" s="191">
        <f t="shared" si="78"/>
        <v>0.43333327633755364</v>
      </c>
      <c r="AE143" s="191">
        <f t="shared" si="78"/>
        <v>0.43387821394812082</v>
      </c>
      <c r="AF143" s="195"/>
      <c r="AG143" s="195"/>
      <c r="AH143" s="195"/>
      <c r="AI143" s="195"/>
      <c r="AJ143" s="195"/>
      <c r="AK143" s="195"/>
      <c r="AL143" s="195"/>
      <c r="AM143" s="195"/>
      <c r="AN143" s="189"/>
      <c r="AO143" s="195"/>
      <c r="AP143" s="195"/>
      <c r="AQ143" s="195"/>
      <c r="AR143" s="195"/>
      <c r="AS143" s="195"/>
      <c r="AT143" s="195"/>
      <c r="AU143" s="195"/>
      <c r="AV143" s="195"/>
      <c r="AW143" s="195"/>
      <c r="AX143" s="195"/>
      <c r="AY143" s="195"/>
      <c r="AZ143" s="195"/>
      <c r="BA143" s="195"/>
      <c r="BB143" s="195"/>
      <c r="BC143" s="195"/>
      <c r="BD143" s="195"/>
      <c r="BE143" s="195"/>
      <c r="BF143" s="195"/>
      <c r="BG143" s="195"/>
    </row>
    <row r="144" spans="1:59" ht="15.75" customHeight="1" x14ac:dyDescent="0.2">
      <c r="A144" s="209"/>
      <c r="B144" s="209"/>
      <c r="C144" s="222"/>
      <c r="D144" s="223"/>
      <c r="E144" s="223"/>
      <c r="F144" s="223"/>
      <c r="G144" s="223"/>
      <c r="H144" s="223"/>
      <c r="I144" s="223"/>
      <c r="J144" s="223"/>
      <c r="K144" s="223"/>
      <c r="L144" s="223"/>
      <c r="M144" s="223"/>
      <c r="N144" s="223"/>
      <c r="O144" s="223"/>
      <c r="P144" s="223"/>
      <c r="Q144" s="223"/>
      <c r="R144" s="224"/>
      <c r="S144" s="223"/>
      <c r="T144" s="223"/>
      <c r="U144" s="223"/>
      <c r="V144" s="223"/>
      <c r="W144" s="223"/>
      <c r="X144" s="223"/>
      <c r="Y144" s="223"/>
      <c r="Z144" s="223"/>
      <c r="AA144" s="223"/>
      <c r="AB144" s="223"/>
      <c r="AC144" s="223"/>
      <c r="AD144" s="223"/>
      <c r="AE144" s="223"/>
      <c r="AF144" s="161"/>
      <c r="AG144" s="157"/>
      <c r="AH144" s="157"/>
      <c r="AI144" s="157"/>
      <c r="AJ144" s="15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row>
    <row r="145" spans="1:59" ht="15.75" customHeight="1" x14ac:dyDescent="0.2">
      <c r="A145" s="209"/>
      <c r="B145" s="209"/>
      <c r="C145" s="177" t="s">
        <v>169</v>
      </c>
      <c r="D145" s="172">
        <v>-46.9</v>
      </c>
      <c r="E145" s="172">
        <v>-51.4</v>
      </c>
      <c r="F145" s="172">
        <v>-53</v>
      </c>
      <c r="G145" s="172">
        <v>-53.5</v>
      </c>
      <c r="H145" s="172">
        <f>SUM(D145:G145)</f>
        <v>-204.8</v>
      </c>
      <c r="I145" s="172">
        <v>-63.1</v>
      </c>
      <c r="J145" s="172">
        <v>-64.2</v>
      </c>
      <c r="K145" s="172">
        <v>-66.400000000000006</v>
      </c>
      <c r="L145" s="172">
        <v>-67.099999999999994</v>
      </c>
      <c r="M145" s="172">
        <f>SUM(I145:L145)</f>
        <v>-260.8</v>
      </c>
      <c r="N145" s="172">
        <v>-72.024982575686565</v>
      </c>
      <c r="O145" s="172">
        <v>-80.561397232350657</v>
      </c>
      <c r="P145" s="172">
        <v>-80.606159372176762</v>
      </c>
      <c r="Q145" s="172">
        <v>-81.841597187711059</v>
      </c>
      <c r="R145" s="172">
        <f>SUM(N145:Q145)</f>
        <v>-315.03413636792504</v>
      </c>
      <c r="S145" s="172">
        <v>-84.931852460000002</v>
      </c>
      <c r="T145" s="172">
        <v>-83.358121650000001</v>
      </c>
      <c r="U145" s="172">
        <v>-79.573804019999997</v>
      </c>
      <c r="V145" s="172">
        <v>-83.427491450000005</v>
      </c>
      <c r="W145" s="172">
        <f>SUM(S145:V145)</f>
        <v>-331.29126958000001</v>
      </c>
      <c r="X145" s="172">
        <v>-81.619663489999994</v>
      </c>
      <c r="Y145" s="172">
        <v>-79.104547170000004</v>
      </c>
      <c r="Z145" s="172">
        <v>-83.504519349999995</v>
      </c>
      <c r="AA145" s="172">
        <v>-88.500541220000002</v>
      </c>
      <c r="AB145" s="172">
        <f>SUM(X145:AA145)</f>
        <v>-332.72927122999999</v>
      </c>
      <c r="AC145" s="172">
        <v>-91.246415589999998</v>
      </c>
      <c r="AD145" s="172">
        <v>-89.563565134968513</v>
      </c>
      <c r="AE145" s="172">
        <v>-87.820762999999999</v>
      </c>
      <c r="AF145" s="225"/>
      <c r="AG145" s="225"/>
      <c r="AH145" s="225"/>
      <c r="AI145" s="225"/>
      <c r="AJ145" s="220"/>
      <c r="AK145" s="221"/>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row>
    <row r="146" spans="1:59" ht="15.75" customHeight="1" x14ac:dyDescent="0.2">
      <c r="A146" s="209"/>
      <c r="B146" s="209"/>
      <c r="C146" s="222"/>
      <c r="D146" s="223"/>
      <c r="E146" s="223"/>
      <c r="F146" s="223"/>
      <c r="G146" s="223"/>
      <c r="H146" s="223"/>
      <c r="I146" s="223"/>
      <c r="J146" s="223"/>
      <c r="K146" s="223"/>
      <c r="L146" s="223"/>
      <c r="M146" s="223"/>
      <c r="N146" s="223"/>
      <c r="O146" s="223"/>
      <c r="P146" s="223"/>
      <c r="Q146" s="223"/>
      <c r="R146" s="224"/>
      <c r="S146" s="223"/>
      <c r="T146" s="223"/>
      <c r="U146" s="223"/>
      <c r="V146" s="223"/>
      <c r="W146" s="223"/>
      <c r="X146" s="223"/>
      <c r="Y146" s="223"/>
      <c r="Z146" s="223"/>
      <c r="AA146" s="223"/>
      <c r="AB146" s="223"/>
      <c r="AC146" s="223"/>
      <c r="AD146" s="223"/>
      <c r="AE146" s="223"/>
      <c r="AF146" s="161"/>
      <c r="AG146" s="157"/>
      <c r="AH146" s="157"/>
      <c r="AI146" s="157"/>
      <c r="AJ146" s="157"/>
      <c r="AK146" s="147"/>
      <c r="AL146" s="147"/>
      <c r="AM146" s="147"/>
      <c r="AN146" s="195"/>
      <c r="AO146" s="147"/>
      <c r="AP146" s="147"/>
      <c r="AQ146" s="147"/>
      <c r="AR146" s="147"/>
      <c r="AS146" s="147"/>
      <c r="AT146" s="147"/>
      <c r="AU146" s="147"/>
      <c r="AV146" s="147"/>
      <c r="AW146" s="147"/>
      <c r="AX146" s="147"/>
      <c r="AY146" s="147"/>
      <c r="AZ146" s="147"/>
      <c r="BA146" s="147"/>
      <c r="BB146" s="147"/>
      <c r="BC146" s="147"/>
      <c r="BD146" s="147"/>
      <c r="BE146" s="147"/>
      <c r="BF146" s="147"/>
      <c r="BG146" s="147"/>
    </row>
    <row r="147" spans="1:59" ht="15.75" customHeight="1" x14ac:dyDescent="0.2">
      <c r="A147" s="209"/>
      <c r="B147" s="209"/>
      <c r="C147" s="177" t="s">
        <v>170</v>
      </c>
      <c r="D147" s="172">
        <f t="shared" ref="D147:AE147" si="79">D16</f>
        <v>85.682305419999949</v>
      </c>
      <c r="E147" s="172">
        <f t="shared" si="79"/>
        <v>77.97024279499891</v>
      </c>
      <c r="F147" s="172">
        <f t="shared" si="79"/>
        <v>125.83237634500128</v>
      </c>
      <c r="G147" s="172">
        <f t="shared" si="79"/>
        <v>76.484888740000258</v>
      </c>
      <c r="H147" s="172">
        <f t="shared" si="79"/>
        <v>365.96981330000045</v>
      </c>
      <c r="I147" s="172">
        <f t="shared" si="79"/>
        <v>72.945805509999985</v>
      </c>
      <c r="J147" s="172">
        <f t="shared" si="79"/>
        <v>67.460140740000028</v>
      </c>
      <c r="K147" s="172">
        <f t="shared" si="79"/>
        <v>113.14964608000002</v>
      </c>
      <c r="L147" s="172">
        <f t="shared" si="79"/>
        <v>41.970260230000022</v>
      </c>
      <c r="M147" s="172">
        <f t="shared" si="79"/>
        <v>295.52585256000003</v>
      </c>
      <c r="N147" s="172">
        <f t="shared" si="79"/>
        <v>69.297754658166781</v>
      </c>
      <c r="O147" s="172">
        <f t="shared" si="79"/>
        <v>111.52716846935444</v>
      </c>
      <c r="P147" s="172">
        <f t="shared" si="79"/>
        <v>121.92731197872264</v>
      </c>
      <c r="Q147" s="172">
        <f t="shared" si="79"/>
        <v>90.832559681089023</v>
      </c>
      <c r="R147" s="172">
        <f t="shared" si="79"/>
        <v>393.5847947873329</v>
      </c>
      <c r="S147" s="172">
        <f t="shared" si="79"/>
        <v>144.54959657000001</v>
      </c>
      <c r="T147" s="172">
        <f t="shared" si="79"/>
        <v>137.23844793000001</v>
      </c>
      <c r="U147" s="172">
        <f t="shared" si="79"/>
        <v>139.51762181000001</v>
      </c>
      <c r="V147" s="172">
        <f t="shared" si="79"/>
        <v>106.21142159999999</v>
      </c>
      <c r="W147" s="172">
        <f t="shared" si="79"/>
        <v>527.51071859999979</v>
      </c>
      <c r="X147" s="172">
        <f t="shared" si="79"/>
        <v>157.39298274000001</v>
      </c>
      <c r="Y147" s="172">
        <f t="shared" si="79"/>
        <v>122.09610078</v>
      </c>
      <c r="Z147" s="172">
        <f t="shared" si="79"/>
        <v>164.51798897</v>
      </c>
      <c r="AA147" s="172">
        <f t="shared" si="79"/>
        <v>162.21667241</v>
      </c>
      <c r="AB147" s="172">
        <f t="shared" si="79"/>
        <v>606.22374490000004</v>
      </c>
      <c r="AC147" s="172">
        <f t="shared" si="79"/>
        <v>148.28805793999999</v>
      </c>
      <c r="AD147" s="172">
        <f t="shared" si="79"/>
        <v>167.63475042239401</v>
      </c>
      <c r="AE147" s="172">
        <f t="shared" si="79"/>
        <v>180.56977835999999</v>
      </c>
      <c r="AF147" s="225"/>
      <c r="AG147" s="225"/>
      <c r="AH147" s="225"/>
      <c r="AI147" s="225"/>
      <c r="AJ147" s="220"/>
      <c r="AK147" s="221"/>
      <c r="AL147" s="147"/>
      <c r="AM147" s="147"/>
      <c r="AN147" s="195"/>
      <c r="AO147" s="147"/>
      <c r="AP147" s="147"/>
      <c r="AQ147" s="147"/>
      <c r="AR147" s="147"/>
      <c r="AS147" s="147"/>
      <c r="AT147" s="147"/>
      <c r="AU147" s="147"/>
      <c r="AV147" s="147"/>
      <c r="AW147" s="147"/>
      <c r="AX147" s="147"/>
      <c r="AY147" s="147"/>
      <c r="AZ147" s="147"/>
      <c r="BA147" s="147"/>
      <c r="BB147" s="147"/>
      <c r="BC147" s="147"/>
      <c r="BD147" s="147"/>
      <c r="BE147" s="147"/>
      <c r="BF147" s="147"/>
      <c r="BG147" s="147"/>
    </row>
    <row r="148" spans="1:59" ht="15.75" customHeight="1" x14ac:dyDescent="0.2">
      <c r="A148" s="195"/>
      <c r="B148" s="195"/>
      <c r="C148" s="190" t="s">
        <v>232</v>
      </c>
      <c r="D148" s="191">
        <f t="shared" ref="D148:AE148" si="80">D147/D132</f>
        <v>0.22123991780899774</v>
      </c>
      <c r="E148" s="191">
        <f t="shared" si="80"/>
        <v>0.18739682576486361</v>
      </c>
      <c r="F148" s="191">
        <f t="shared" si="80"/>
        <v>0.27880201585364273</v>
      </c>
      <c r="G148" s="191">
        <f t="shared" si="80"/>
        <v>0.1809073379324021</v>
      </c>
      <c r="H148" s="191">
        <f t="shared" si="80"/>
        <v>0.21816774906968178</v>
      </c>
      <c r="I148" s="191">
        <f t="shared" si="80"/>
        <v>0.19254748092512405</v>
      </c>
      <c r="J148" s="191">
        <f t="shared" si="80"/>
        <v>0.17433356472062778</v>
      </c>
      <c r="K148" s="191">
        <f t="shared" si="80"/>
        <v>0.26854097809902217</v>
      </c>
      <c r="L148" s="191">
        <f t="shared" si="80"/>
        <v>0.10111603805761302</v>
      </c>
      <c r="M148" s="191">
        <f t="shared" si="80"/>
        <v>0.18444706287057816</v>
      </c>
      <c r="N148" s="191">
        <f t="shared" si="80"/>
        <v>0.17052061091155796</v>
      </c>
      <c r="O148" s="191">
        <f t="shared" si="80"/>
        <v>0.24931480352966312</v>
      </c>
      <c r="P148" s="191">
        <f t="shared" si="80"/>
        <v>0.25717578836578764</v>
      </c>
      <c r="Q148" s="191">
        <f t="shared" si="80"/>
        <v>0.1862171441434384</v>
      </c>
      <c r="R148" s="191">
        <f t="shared" si="80"/>
        <v>0.21677913733813908</v>
      </c>
      <c r="S148" s="191">
        <f t="shared" si="80"/>
        <v>0.28505948804962777</v>
      </c>
      <c r="T148" s="191">
        <f t="shared" si="80"/>
        <v>0.26909606507567219</v>
      </c>
      <c r="U148" s="191">
        <f t="shared" si="80"/>
        <v>0.256500850915236</v>
      </c>
      <c r="V148" s="191">
        <f t="shared" si="80"/>
        <v>0.18385076197829145</v>
      </c>
      <c r="W148" s="191">
        <f t="shared" si="80"/>
        <v>0.24664846413359209</v>
      </c>
      <c r="X148" s="191">
        <f t="shared" si="80"/>
        <v>0.29740678073198179</v>
      </c>
      <c r="Y148" s="191">
        <f t="shared" si="80"/>
        <v>0.22628387034709585</v>
      </c>
      <c r="Z148" s="191">
        <f t="shared" si="80"/>
        <v>0.2657469338905773</v>
      </c>
      <c r="AA148" s="191">
        <f t="shared" si="80"/>
        <v>0.27775593784504415</v>
      </c>
      <c r="AB148" s="191">
        <f t="shared" si="80"/>
        <v>0.26683651986257484</v>
      </c>
      <c r="AC148" s="191">
        <f t="shared" si="80"/>
        <v>0.26004549281225919</v>
      </c>
      <c r="AD148" s="191">
        <f t="shared" si="80"/>
        <v>0.28243464764201692</v>
      </c>
      <c r="AE148" s="191">
        <f t="shared" si="80"/>
        <v>0.29190780170884645</v>
      </c>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row>
    <row r="149" spans="1:59" ht="15.75" customHeight="1" x14ac:dyDescent="0.2">
      <c r="A149" s="195"/>
      <c r="B149" s="195"/>
      <c r="C149" s="55" t="s">
        <v>193</v>
      </c>
      <c r="D149" s="140"/>
      <c r="E149" s="140"/>
      <c r="F149" s="140"/>
      <c r="G149" s="140"/>
      <c r="H149" s="140"/>
      <c r="I149" s="140"/>
      <c r="J149" s="140"/>
      <c r="K149" s="140"/>
      <c r="L149" s="140"/>
      <c r="M149" s="140"/>
      <c r="N149" s="140"/>
      <c r="O149" s="140"/>
      <c r="P149" s="140"/>
      <c r="Q149" s="140"/>
      <c r="R149" s="194"/>
      <c r="S149" s="140"/>
      <c r="T149" s="140"/>
      <c r="U149" s="140"/>
      <c r="V149" s="140"/>
      <c r="W149" s="140"/>
      <c r="X149" s="140"/>
      <c r="Y149" s="140"/>
      <c r="Z149" s="140"/>
      <c r="AA149" s="140"/>
      <c r="AB149" s="140"/>
      <c r="AC149" s="140"/>
      <c r="AD149" s="140"/>
      <c r="AE149" s="140"/>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row>
    <row r="150" spans="1:59" ht="15.75" customHeight="1" x14ac:dyDescent="0.2">
      <c r="A150" s="195"/>
      <c r="B150" s="195"/>
      <c r="C150" s="190"/>
      <c r="D150" s="140"/>
      <c r="E150" s="140"/>
      <c r="F150" s="140"/>
      <c r="G150" s="140"/>
      <c r="H150" s="140"/>
      <c r="I150" s="140"/>
      <c r="J150" s="140"/>
      <c r="K150" s="140"/>
      <c r="L150" s="140"/>
      <c r="M150" s="140"/>
      <c r="N150" s="140"/>
      <c r="O150" s="140"/>
      <c r="P150" s="140"/>
      <c r="Q150" s="140"/>
      <c r="R150" s="194"/>
      <c r="S150" s="140"/>
      <c r="T150" s="140"/>
      <c r="U150" s="140"/>
      <c r="V150" s="140"/>
      <c r="W150" s="140"/>
      <c r="X150" s="140"/>
      <c r="Y150" s="140"/>
      <c r="Z150" s="140"/>
      <c r="AA150" s="140"/>
      <c r="AB150" s="140"/>
      <c r="AC150" s="140"/>
      <c r="AD150" s="140"/>
      <c r="AE150" s="140"/>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row>
    <row r="151" spans="1:59" ht="15.75" customHeight="1" x14ac:dyDescent="0.2">
      <c r="A151" s="210"/>
      <c r="B151" s="211" t="s">
        <v>233</v>
      </c>
      <c r="C151" s="211"/>
      <c r="D151" s="158" t="s">
        <v>98</v>
      </c>
      <c r="E151" s="158" t="s">
        <v>99</v>
      </c>
      <c r="F151" s="158" t="s">
        <v>100</v>
      </c>
      <c r="G151" s="158" t="s">
        <v>101</v>
      </c>
      <c r="H151" s="159">
        <v>2018</v>
      </c>
      <c r="I151" s="158" t="s">
        <v>102</v>
      </c>
      <c r="J151" s="158" t="s">
        <v>103</v>
      </c>
      <c r="K151" s="158" t="s">
        <v>104</v>
      </c>
      <c r="L151" s="158" t="s">
        <v>105</v>
      </c>
      <c r="M151" s="159">
        <v>2019</v>
      </c>
      <c r="N151" s="158" t="s">
        <v>158</v>
      </c>
      <c r="O151" s="158" t="s">
        <v>107</v>
      </c>
      <c r="P151" s="158" t="s">
        <v>108</v>
      </c>
      <c r="Q151" s="158" t="s">
        <v>109</v>
      </c>
      <c r="R151" s="159">
        <v>2020</v>
      </c>
      <c r="S151" s="158" t="s">
        <v>110</v>
      </c>
      <c r="T151" s="158" t="s">
        <v>111</v>
      </c>
      <c r="U151" s="158" t="s">
        <v>112</v>
      </c>
      <c r="V151" s="158" t="s">
        <v>113</v>
      </c>
      <c r="W151" s="159">
        <v>2021</v>
      </c>
      <c r="X151" s="158" t="s">
        <v>114</v>
      </c>
      <c r="Y151" s="158" t="s">
        <v>115</v>
      </c>
      <c r="Z151" s="158" t="str">
        <f>$Z$4</f>
        <v>3Q22</v>
      </c>
      <c r="AA151" s="158" t="str">
        <f>$AA$4</f>
        <v>4Q22</v>
      </c>
      <c r="AB151" s="160">
        <v>2022</v>
      </c>
      <c r="AC151" s="158" t="str">
        <f>$AC$4</f>
        <v>1Q23</v>
      </c>
      <c r="AD151" s="158" t="str">
        <f t="shared" ref="AD151:AE151" si="81">AD$4</f>
        <v>2Q23</v>
      </c>
      <c r="AE151" s="158" t="str">
        <f t="shared" si="81"/>
        <v>3Q23</v>
      </c>
      <c r="AF151" s="147"/>
      <c r="AG151" s="147"/>
      <c r="AH151" s="147"/>
      <c r="AI151" s="147"/>
      <c r="AJ151" s="147"/>
      <c r="AK151" s="147"/>
      <c r="AL151" s="147"/>
      <c r="AM151" s="147"/>
      <c r="AN151" s="195"/>
      <c r="AO151" s="147"/>
      <c r="AP151" s="147"/>
      <c r="AQ151" s="147"/>
      <c r="AR151" s="147"/>
      <c r="AS151" s="147"/>
      <c r="AT151" s="147"/>
      <c r="AU151" s="147"/>
      <c r="AV151" s="147"/>
      <c r="AW151" s="147"/>
      <c r="AX151" s="147"/>
      <c r="AY151" s="147"/>
      <c r="AZ151" s="147"/>
      <c r="BA151" s="147"/>
      <c r="BB151" s="147"/>
      <c r="BC151" s="147"/>
      <c r="BD151" s="147"/>
      <c r="BE151" s="147"/>
      <c r="BF151" s="147"/>
      <c r="BG151" s="147"/>
    </row>
    <row r="152" spans="1:59" ht="15.75" customHeight="1" x14ac:dyDescent="0.2">
      <c r="A152" s="195"/>
      <c r="B152" s="195"/>
      <c r="C152" s="190" t="s">
        <v>234</v>
      </c>
      <c r="D152" s="191">
        <f t="shared" ref="D152:AE152" si="82">SUM(D153:D155)</f>
        <v>1</v>
      </c>
      <c r="E152" s="191">
        <f t="shared" si="82"/>
        <v>1</v>
      </c>
      <c r="F152" s="191">
        <f t="shared" si="82"/>
        <v>1.0000000000000002</v>
      </c>
      <c r="G152" s="191">
        <f t="shared" si="82"/>
        <v>1</v>
      </c>
      <c r="H152" s="191">
        <f t="shared" si="82"/>
        <v>1</v>
      </c>
      <c r="I152" s="191">
        <f t="shared" si="82"/>
        <v>1</v>
      </c>
      <c r="J152" s="191">
        <f t="shared" si="82"/>
        <v>1</v>
      </c>
      <c r="K152" s="191">
        <f t="shared" si="82"/>
        <v>1</v>
      </c>
      <c r="L152" s="191">
        <f t="shared" si="82"/>
        <v>1</v>
      </c>
      <c r="M152" s="191">
        <f t="shared" si="82"/>
        <v>1</v>
      </c>
      <c r="N152" s="191">
        <f t="shared" si="82"/>
        <v>0.99999999999999978</v>
      </c>
      <c r="O152" s="191">
        <f t="shared" si="82"/>
        <v>0.99999999999999989</v>
      </c>
      <c r="P152" s="191">
        <f t="shared" si="82"/>
        <v>1</v>
      </c>
      <c r="Q152" s="191">
        <f t="shared" si="82"/>
        <v>1</v>
      </c>
      <c r="R152" s="191">
        <f t="shared" si="82"/>
        <v>1</v>
      </c>
      <c r="S152" s="191">
        <f t="shared" si="82"/>
        <v>1</v>
      </c>
      <c r="T152" s="191">
        <f t="shared" si="82"/>
        <v>1</v>
      </c>
      <c r="U152" s="191">
        <f t="shared" si="82"/>
        <v>1</v>
      </c>
      <c r="V152" s="191">
        <f t="shared" si="82"/>
        <v>1</v>
      </c>
      <c r="W152" s="191">
        <f t="shared" si="82"/>
        <v>1</v>
      </c>
      <c r="X152" s="191">
        <f t="shared" si="82"/>
        <v>1</v>
      </c>
      <c r="Y152" s="191">
        <f t="shared" si="82"/>
        <v>1</v>
      </c>
      <c r="Z152" s="191">
        <f t="shared" si="82"/>
        <v>1</v>
      </c>
      <c r="AA152" s="191">
        <f t="shared" si="82"/>
        <v>1</v>
      </c>
      <c r="AB152" s="191">
        <f t="shared" si="82"/>
        <v>1</v>
      </c>
      <c r="AC152" s="191">
        <f t="shared" si="82"/>
        <v>1</v>
      </c>
      <c r="AD152" s="191">
        <f t="shared" si="82"/>
        <v>0.99999999999999989</v>
      </c>
      <c r="AE152" s="191">
        <f t="shared" si="82"/>
        <v>1</v>
      </c>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row>
    <row r="153" spans="1:59" ht="15.75" customHeight="1" x14ac:dyDescent="0.2">
      <c r="A153" s="195"/>
      <c r="B153" s="195"/>
      <c r="C153" s="190" t="s">
        <v>235</v>
      </c>
      <c r="D153" s="191">
        <f t="shared" ref="D153:AE153" si="83">D137/D$135</f>
        <v>0.13380558835104289</v>
      </c>
      <c r="E153" s="191">
        <f t="shared" si="83"/>
        <v>0.13437057991513437</v>
      </c>
      <c r="F153" s="191">
        <f t="shared" si="83"/>
        <v>0.11094674556213019</v>
      </c>
      <c r="G153" s="191">
        <f t="shared" si="83"/>
        <v>0.12707377338510412</v>
      </c>
      <c r="H153" s="191">
        <f t="shared" si="83"/>
        <v>0.12653585182468366</v>
      </c>
      <c r="I153" s="191">
        <f t="shared" si="83"/>
        <v>0.10084033613445378</v>
      </c>
      <c r="J153" s="191">
        <f t="shared" si="83"/>
        <v>0.10085337470907679</v>
      </c>
      <c r="K153" s="191">
        <f t="shared" si="83"/>
        <v>9.140008309098463E-2</v>
      </c>
      <c r="L153" s="191">
        <f t="shared" si="83"/>
        <v>0.10819165378670788</v>
      </c>
      <c r="M153" s="191">
        <f t="shared" si="83"/>
        <v>0.10047221943132724</v>
      </c>
      <c r="N153" s="191">
        <f t="shared" si="83"/>
        <v>9.5370842274799361E-2</v>
      </c>
      <c r="O153" s="191">
        <f t="shared" si="83"/>
        <v>8.534112710784382E-2</v>
      </c>
      <c r="P153" s="191">
        <f t="shared" si="83"/>
        <v>8.9823279794370103E-2</v>
      </c>
      <c r="Q153" s="191">
        <f t="shared" si="83"/>
        <v>9.4630387859390624E-2</v>
      </c>
      <c r="R153" s="191">
        <f t="shared" si="83"/>
        <v>9.1473610795820809E-2</v>
      </c>
      <c r="S153" s="191">
        <f t="shared" si="83"/>
        <v>0.11755822524516313</v>
      </c>
      <c r="T153" s="191">
        <f t="shared" si="83"/>
        <v>0.1002476336162564</v>
      </c>
      <c r="U153" s="191">
        <f t="shared" si="83"/>
        <v>0.10754117626168641</v>
      </c>
      <c r="V153" s="191">
        <f t="shared" si="83"/>
        <v>9.5518258454606944E-2</v>
      </c>
      <c r="W153" s="191">
        <f t="shared" si="83"/>
        <v>0.10434345349274006</v>
      </c>
      <c r="X153" s="191">
        <f t="shared" si="83"/>
        <v>0.11655818092409495</v>
      </c>
      <c r="Y153" s="191">
        <f t="shared" si="83"/>
        <v>0.12340393592032302</v>
      </c>
      <c r="Z153" s="191">
        <f t="shared" si="83"/>
        <v>0.13739647413428546</v>
      </c>
      <c r="AA153" s="191">
        <f t="shared" si="83"/>
        <v>0.12484794195604663</v>
      </c>
      <c r="AB153" s="191">
        <f t="shared" si="83"/>
        <v>0.12592128430958477</v>
      </c>
      <c r="AC153" s="191">
        <f t="shared" si="83"/>
        <v>0.12855118039010061</v>
      </c>
      <c r="AD153" s="191">
        <f t="shared" si="83"/>
        <v>0.12616341157219854</v>
      </c>
      <c r="AE153" s="191">
        <f t="shared" si="83"/>
        <v>0.11976416773691258</v>
      </c>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row>
    <row r="154" spans="1:59" ht="15.75" customHeight="1" x14ac:dyDescent="0.2">
      <c r="A154" s="195"/>
      <c r="B154" s="195"/>
      <c r="C154" s="190" t="s">
        <v>236</v>
      </c>
      <c r="D154" s="191">
        <f t="shared" ref="D154:AE154" si="84">D138/D$135</f>
        <v>0.47225501770956319</v>
      </c>
      <c r="E154" s="191">
        <f t="shared" si="84"/>
        <v>0.4844413012729844</v>
      </c>
      <c r="F154" s="191">
        <f t="shared" si="84"/>
        <v>0.49556213017751483</v>
      </c>
      <c r="G154" s="191">
        <f t="shared" si="84"/>
        <v>0.48711613130956583</v>
      </c>
      <c r="H154" s="191">
        <f t="shared" si="84"/>
        <v>0.4850540986612874</v>
      </c>
      <c r="I154" s="191">
        <f t="shared" si="84"/>
        <v>0.54201680672268904</v>
      </c>
      <c r="J154" s="191">
        <f t="shared" si="84"/>
        <v>0.54693560899922422</v>
      </c>
      <c r="K154" s="191">
        <f t="shared" si="84"/>
        <v>0.56917324470294972</v>
      </c>
      <c r="L154" s="191">
        <f t="shared" si="84"/>
        <v>0.54868624420401857</v>
      </c>
      <c r="M154" s="191">
        <f t="shared" si="84"/>
        <v>0.55159248467798661</v>
      </c>
      <c r="N154" s="191">
        <f t="shared" si="84"/>
        <v>0.55299300119925199</v>
      </c>
      <c r="O154" s="191">
        <f t="shared" si="84"/>
        <v>0.55868155985801082</v>
      </c>
      <c r="P154" s="191">
        <f t="shared" si="84"/>
        <v>0.51434633062439494</v>
      </c>
      <c r="Q154" s="191">
        <f t="shared" si="84"/>
        <v>0.45411809355721727</v>
      </c>
      <c r="R154" s="191">
        <f t="shared" si="84"/>
        <v>0.5155308891731305</v>
      </c>
      <c r="S154" s="191">
        <f t="shared" si="84"/>
        <v>0.51042584543371372</v>
      </c>
      <c r="T154" s="191">
        <f t="shared" si="84"/>
        <v>0.49269958505107864</v>
      </c>
      <c r="U154" s="191">
        <f t="shared" si="84"/>
        <v>0.46129423175580964</v>
      </c>
      <c r="V154" s="191">
        <f t="shared" si="84"/>
        <v>0.46594887695303111</v>
      </c>
      <c r="W154" s="191">
        <f t="shared" si="84"/>
        <v>0.4806001825448073</v>
      </c>
      <c r="X154" s="191">
        <f t="shared" si="84"/>
        <v>0.48424684641088372</v>
      </c>
      <c r="Y154" s="191">
        <f t="shared" si="84"/>
        <v>0.50562955502442097</v>
      </c>
      <c r="Z154" s="191">
        <f t="shared" si="84"/>
        <v>0.46375276693359274</v>
      </c>
      <c r="AA154" s="191">
        <f t="shared" si="84"/>
        <v>0.47309794502661656</v>
      </c>
      <c r="AB154" s="191">
        <f t="shared" si="84"/>
        <v>0.48091107458757248</v>
      </c>
      <c r="AC154" s="191">
        <f t="shared" si="84"/>
        <v>0.47716069269529282</v>
      </c>
      <c r="AD154" s="191">
        <f t="shared" si="84"/>
        <v>0.48902188306071109</v>
      </c>
      <c r="AE154" s="191">
        <f t="shared" si="84"/>
        <v>0.48489128807128828</v>
      </c>
      <c r="AF154" s="195"/>
      <c r="AG154" s="195"/>
      <c r="AH154" s="195"/>
      <c r="AI154" s="195"/>
      <c r="AJ154" s="195"/>
      <c r="AK154" s="195"/>
      <c r="AL154" s="195"/>
      <c r="AM154" s="195"/>
      <c r="AN154" s="147"/>
      <c r="AO154" s="195"/>
      <c r="AP154" s="195"/>
      <c r="AQ154" s="195"/>
      <c r="AR154" s="195"/>
      <c r="AS154" s="195"/>
      <c r="AT154" s="195"/>
      <c r="AU154" s="195"/>
      <c r="AV154" s="195"/>
      <c r="AW154" s="195"/>
      <c r="AX154" s="195"/>
      <c r="AY154" s="195"/>
      <c r="AZ154" s="195"/>
      <c r="BA154" s="195"/>
      <c r="BB154" s="195"/>
      <c r="BC154" s="195"/>
      <c r="BD154" s="195"/>
      <c r="BE154" s="195"/>
      <c r="BF154" s="195"/>
      <c r="BG154" s="195"/>
    </row>
    <row r="155" spans="1:59" ht="15.75" customHeight="1" x14ac:dyDescent="0.2">
      <c r="A155" s="195"/>
      <c r="B155" s="195"/>
      <c r="C155" s="190" t="s">
        <v>163</v>
      </c>
      <c r="D155" s="191">
        <f t="shared" ref="D155:AE155" si="85">D139/D$135</f>
        <v>0.39393939393939392</v>
      </c>
      <c r="E155" s="191">
        <f t="shared" si="85"/>
        <v>0.38118811881188114</v>
      </c>
      <c r="F155" s="191">
        <f t="shared" si="85"/>
        <v>0.3934911242603551</v>
      </c>
      <c r="G155" s="191">
        <f t="shared" si="85"/>
        <v>0.38581009530533</v>
      </c>
      <c r="H155" s="191">
        <f t="shared" si="85"/>
        <v>0.38841004951402897</v>
      </c>
      <c r="I155" s="191">
        <f t="shared" si="85"/>
        <v>0.35714285714285715</v>
      </c>
      <c r="J155" s="191">
        <f t="shared" si="85"/>
        <v>0.35221101629169899</v>
      </c>
      <c r="K155" s="191">
        <f t="shared" si="85"/>
        <v>0.33942667220606565</v>
      </c>
      <c r="L155" s="191">
        <f t="shared" si="85"/>
        <v>0.34312210200927357</v>
      </c>
      <c r="M155" s="191">
        <f t="shared" si="85"/>
        <v>0.34793529589068628</v>
      </c>
      <c r="N155" s="191">
        <f t="shared" si="85"/>
        <v>0.35163615652594854</v>
      </c>
      <c r="O155" s="191">
        <f t="shared" si="85"/>
        <v>0.35597731303414526</v>
      </c>
      <c r="P155" s="191">
        <f t="shared" si="85"/>
        <v>0.39583038958123501</v>
      </c>
      <c r="Q155" s="191">
        <f t="shared" si="85"/>
        <v>0.45125151858339202</v>
      </c>
      <c r="R155" s="191">
        <f t="shared" si="85"/>
        <v>0.39299550003104866</v>
      </c>
      <c r="S155" s="191">
        <f t="shared" si="85"/>
        <v>0.37201592932112326</v>
      </c>
      <c r="T155" s="191">
        <f t="shared" si="85"/>
        <v>0.40705278133266493</v>
      </c>
      <c r="U155" s="191">
        <f t="shared" si="85"/>
        <v>0.43116459198250395</v>
      </c>
      <c r="V155" s="191">
        <f t="shared" si="85"/>
        <v>0.43853286459236207</v>
      </c>
      <c r="W155" s="191">
        <f t="shared" si="85"/>
        <v>0.4150563639624526</v>
      </c>
      <c r="X155" s="191">
        <f t="shared" si="85"/>
        <v>0.39919497266502135</v>
      </c>
      <c r="Y155" s="191">
        <f t="shared" si="85"/>
        <v>0.37096650905525597</v>
      </c>
      <c r="Z155" s="191">
        <f t="shared" si="85"/>
        <v>0.39885075893212174</v>
      </c>
      <c r="AA155" s="191">
        <f t="shared" si="85"/>
        <v>0.40205411301733684</v>
      </c>
      <c r="AB155" s="191">
        <f t="shared" si="85"/>
        <v>0.3931676411028428</v>
      </c>
      <c r="AC155" s="191">
        <f t="shared" si="85"/>
        <v>0.39428812691460663</v>
      </c>
      <c r="AD155" s="191">
        <f t="shared" si="85"/>
        <v>0.38481470536709028</v>
      </c>
      <c r="AE155" s="191">
        <f t="shared" si="85"/>
        <v>0.39534454419179921</v>
      </c>
      <c r="AF155" s="195"/>
      <c r="AG155" s="195"/>
      <c r="AH155" s="195"/>
      <c r="AI155" s="195"/>
      <c r="AJ155" s="195"/>
      <c r="AK155" s="195"/>
      <c r="AL155" s="195"/>
      <c r="AM155" s="195"/>
      <c r="AN155" s="147"/>
      <c r="AO155" s="195"/>
      <c r="AP155" s="195"/>
      <c r="AQ155" s="195"/>
      <c r="AR155" s="195"/>
      <c r="AS155" s="195"/>
      <c r="AT155" s="195"/>
      <c r="AU155" s="195"/>
      <c r="AV155" s="195"/>
      <c r="AW155" s="195"/>
      <c r="AX155" s="195"/>
      <c r="AY155" s="195"/>
      <c r="AZ155" s="195"/>
      <c r="BA155" s="195"/>
      <c r="BB155" s="195"/>
      <c r="BC155" s="195"/>
      <c r="BD155" s="195"/>
      <c r="BE155" s="195"/>
      <c r="BF155" s="195"/>
      <c r="BG155" s="195"/>
    </row>
    <row r="156" spans="1:59" ht="15.75" customHeight="1" x14ac:dyDescent="0.2">
      <c r="A156" s="195"/>
      <c r="B156" s="195"/>
      <c r="C156" s="55" t="s">
        <v>193</v>
      </c>
      <c r="D156" s="191"/>
      <c r="E156" s="191"/>
      <c r="F156" s="191"/>
      <c r="G156" s="191"/>
      <c r="H156" s="191"/>
      <c r="I156" s="191"/>
      <c r="J156" s="191"/>
      <c r="K156" s="191"/>
      <c r="L156" s="191"/>
      <c r="M156" s="191"/>
      <c r="N156" s="191"/>
      <c r="O156" s="191"/>
      <c r="P156" s="191"/>
      <c r="Q156" s="191"/>
      <c r="R156" s="216"/>
      <c r="S156" s="191"/>
      <c r="T156" s="191"/>
      <c r="U156" s="191"/>
      <c r="V156" s="191"/>
      <c r="W156" s="191"/>
      <c r="X156" s="191"/>
      <c r="Y156" s="191"/>
      <c r="Z156" s="191"/>
      <c r="AA156" s="191"/>
      <c r="AB156" s="191"/>
      <c r="AC156" s="191"/>
      <c r="AD156" s="191"/>
      <c r="AE156" s="191"/>
      <c r="AF156" s="195"/>
      <c r="AG156" s="195"/>
      <c r="AH156" s="195"/>
      <c r="AI156" s="195"/>
      <c r="AJ156" s="195"/>
      <c r="AK156" s="195"/>
      <c r="AL156" s="195"/>
      <c r="AM156" s="195"/>
      <c r="AN156" s="147"/>
      <c r="AO156" s="195"/>
      <c r="AP156" s="195"/>
      <c r="AQ156" s="195"/>
      <c r="AR156" s="195"/>
      <c r="AS156" s="195"/>
      <c r="AT156" s="195"/>
      <c r="AU156" s="195"/>
      <c r="AV156" s="195"/>
      <c r="AW156" s="195"/>
      <c r="AX156" s="195"/>
      <c r="AY156" s="195"/>
      <c r="AZ156" s="195"/>
      <c r="BA156" s="195"/>
      <c r="BB156" s="195"/>
      <c r="BC156" s="195"/>
      <c r="BD156" s="195"/>
      <c r="BE156" s="195"/>
      <c r="BF156" s="195"/>
      <c r="BG156" s="195"/>
    </row>
    <row r="157" spans="1:59" ht="15.75" customHeight="1" x14ac:dyDescent="0.2">
      <c r="A157" s="195"/>
      <c r="B157" s="195"/>
      <c r="C157" s="55"/>
      <c r="D157" s="191"/>
      <c r="E157" s="191"/>
      <c r="F157" s="191"/>
      <c r="G157" s="191"/>
      <c r="H157" s="191"/>
      <c r="I157" s="191"/>
      <c r="J157" s="191"/>
      <c r="K157" s="191"/>
      <c r="L157" s="191"/>
      <c r="M157" s="191"/>
      <c r="N157" s="191"/>
      <c r="O157" s="191"/>
      <c r="P157" s="191"/>
      <c r="Q157" s="191"/>
      <c r="R157" s="216"/>
      <c r="S157" s="191"/>
      <c r="T157" s="191"/>
      <c r="U157" s="191"/>
      <c r="V157" s="191"/>
      <c r="W157" s="191"/>
      <c r="X157" s="191"/>
      <c r="Y157" s="191"/>
      <c r="Z157" s="191"/>
      <c r="AA157" s="191"/>
      <c r="AB157" s="191"/>
      <c r="AC157" s="191"/>
      <c r="AD157" s="191"/>
      <c r="AE157" s="191"/>
      <c r="AF157" s="195"/>
      <c r="AG157" s="195"/>
      <c r="AH157" s="195"/>
      <c r="AI157" s="195"/>
      <c r="AJ157" s="195"/>
      <c r="AK157" s="195"/>
      <c r="AL157" s="195"/>
      <c r="AM157" s="195"/>
      <c r="AN157" s="147"/>
      <c r="AO157" s="195"/>
      <c r="AP157" s="195"/>
      <c r="AQ157" s="195"/>
      <c r="AR157" s="195"/>
      <c r="AS157" s="195"/>
      <c r="AT157" s="195"/>
      <c r="AU157" s="195"/>
      <c r="AV157" s="195"/>
      <c r="AW157" s="195"/>
      <c r="AX157" s="195"/>
      <c r="AY157" s="195"/>
      <c r="AZ157" s="195"/>
      <c r="BA157" s="195"/>
      <c r="BB157" s="195"/>
      <c r="BC157" s="195"/>
      <c r="BD157" s="195"/>
      <c r="BE157" s="195"/>
      <c r="BF157" s="195"/>
      <c r="BG157" s="195"/>
    </row>
    <row r="158" spans="1:59" ht="15.75" customHeight="1" x14ac:dyDescent="0.2">
      <c r="A158" s="210"/>
      <c r="B158" s="211" t="s">
        <v>237</v>
      </c>
      <c r="C158" s="211"/>
      <c r="D158" s="158" t="s">
        <v>98</v>
      </c>
      <c r="E158" s="158" t="s">
        <v>99</v>
      </c>
      <c r="F158" s="158" t="s">
        <v>100</v>
      </c>
      <c r="G158" s="158" t="s">
        <v>101</v>
      </c>
      <c r="H158" s="159">
        <v>2018</v>
      </c>
      <c r="I158" s="158" t="s">
        <v>102</v>
      </c>
      <c r="J158" s="158" t="s">
        <v>103</v>
      </c>
      <c r="K158" s="158" t="s">
        <v>104</v>
      </c>
      <c r="L158" s="158" t="s">
        <v>105</v>
      </c>
      <c r="M158" s="159">
        <v>2019</v>
      </c>
      <c r="N158" s="158" t="s">
        <v>158</v>
      </c>
      <c r="O158" s="158" t="s">
        <v>107</v>
      </c>
      <c r="P158" s="158" t="s">
        <v>108</v>
      </c>
      <c r="Q158" s="158" t="s">
        <v>109</v>
      </c>
      <c r="R158" s="159">
        <v>2020</v>
      </c>
      <c r="S158" s="158" t="s">
        <v>110</v>
      </c>
      <c r="T158" s="158" t="s">
        <v>111</v>
      </c>
      <c r="U158" s="158" t="s">
        <v>112</v>
      </c>
      <c r="V158" s="158" t="s">
        <v>113</v>
      </c>
      <c r="W158" s="159">
        <v>2021</v>
      </c>
      <c r="X158" s="158" t="s">
        <v>114</v>
      </c>
      <c r="Y158" s="158" t="s">
        <v>115</v>
      </c>
      <c r="Z158" s="158" t="str">
        <f>$Z$4</f>
        <v>3Q22</v>
      </c>
      <c r="AA158" s="158" t="str">
        <f>$AA$4</f>
        <v>4Q22</v>
      </c>
      <c r="AB158" s="160">
        <v>2022</v>
      </c>
      <c r="AC158" s="158" t="str">
        <f>$AC$4</f>
        <v>1Q23</v>
      </c>
      <c r="AD158" s="158" t="str">
        <f t="shared" ref="AD158:AE158" si="86">AD$4</f>
        <v>2Q23</v>
      </c>
      <c r="AE158" s="158" t="str">
        <f t="shared" si="86"/>
        <v>3Q23</v>
      </c>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row>
    <row r="159" spans="1:59" ht="15.75" customHeight="1" x14ac:dyDescent="0.2">
      <c r="A159" s="189"/>
      <c r="B159" s="189"/>
      <c r="C159" s="190" t="s">
        <v>19</v>
      </c>
      <c r="D159" s="172">
        <f t="shared" ref="D159:AE159" si="87">(D63-D91)*-1</f>
        <v>-80.583254191658995</v>
      </c>
      <c r="E159" s="172">
        <f t="shared" si="87"/>
        <v>-86.2947563881539</v>
      </c>
      <c r="F159" s="172">
        <f t="shared" si="87"/>
        <v>-96.243812649330181</v>
      </c>
      <c r="G159" s="172">
        <f t="shared" si="87"/>
        <v>-99.757003956388729</v>
      </c>
      <c r="H159" s="172">
        <f t="shared" si="87"/>
        <v>-362.8788271855318</v>
      </c>
      <c r="I159" s="172">
        <f t="shared" si="87"/>
        <v>-77.457329519999973</v>
      </c>
      <c r="J159" s="172">
        <f t="shared" si="87"/>
        <v>-81.804290809999998</v>
      </c>
      <c r="K159" s="172">
        <f t="shared" si="87"/>
        <v>-84.515235419999982</v>
      </c>
      <c r="L159" s="172">
        <f t="shared" si="87"/>
        <v>-81.542595999999989</v>
      </c>
      <c r="M159" s="172">
        <f t="shared" si="87"/>
        <v>-325.31945174999998</v>
      </c>
      <c r="N159" s="172">
        <f t="shared" si="87"/>
        <v>-76.029715058140013</v>
      </c>
      <c r="O159" s="172">
        <f t="shared" si="87"/>
        <v>-80.917755525000004</v>
      </c>
      <c r="P159" s="172">
        <f t="shared" si="87"/>
        <v>-83.055955196651027</v>
      </c>
      <c r="Q159" s="172">
        <f t="shared" si="87"/>
        <v>-82.716122133604046</v>
      </c>
      <c r="R159" s="172">
        <f t="shared" si="87"/>
        <v>-326.0850919799999</v>
      </c>
      <c r="S159" s="172">
        <f t="shared" si="87"/>
        <v>-71.947923320000001</v>
      </c>
      <c r="T159" s="172">
        <f t="shared" si="87"/>
        <v>-80.50273402000002</v>
      </c>
      <c r="U159" s="172">
        <f t="shared" si="87"/>
        <v>-82.822489390000015</v>
      </c>
      <c r="V159" s="172">
        <f t="shared" si="87"/>
        <v>-98.470128520000017</v>
      </c>
      <c r="W159" s="172">
        <f t="shared" si="87"/>
        <v>-333.74327525000007</v>
      </c>
      <c r="X159" s="172">
        <f t="shared" si="87"/>
        <v>-89.856185070000009</v>
      </c>
      <c r="Y159" s="172">
        <f t="shared" si="87"/>
        <v>-97.263599630000002</v>
      </c>
      <c r="Z159" s="172">
        <f t="shared" si="87"/>
        <v>-99.628543020000009</v>
      </c>
      <c r="AA159" s="172">
        <f t="shared" si="87"/>
        <v>-105.69879382000001</v>
      </c>
      <c r="AB159" s="172">
        <f t="shared" si="87"/>
        <v>-392.44712154000001</v>
      </c>
      <c r="AC159" s="172">
        <f t="shared" si="87"/>
        <v>-101.53562798</v>
      </c>
      <c r="AD159" s="172">
        <f t="shared" si="87"/>
        <v>-105.81410856212202</v>
      </c>
      <c r="AE159" s="172">
        <f t="shared" si="87"/>
        <v>-110.72279601000001</v>
      </c>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row>
    <row r="160" spans="1:59" ht="15.75" customHeight="1" x14ac:dyDescent="0.2">
      <c r="A160" s="189"/>
      <c r="B160" s="189"/>
      <c r="C160" s="190" t="s">
        <v>27</v>
      </c>
      <c r="D160" s="172">
        <f t="shared" ref="D160:AE160" si="88">(D64-D92)*-1</f>
        <v>-11.083869210303998</v>
      </c>
      <c r="E160" s="172">
        <f t="shared" si="88"/>
        <v>-15.147150449247</v>
      </c>
      <c r="F160" s="172">
        <f t="shared" si="88"/>
        <v>-15.90538839817399</v>
      </c>
      <c r="G160" s="172">
        <f t="shared" si="88"/>
        <v>-15.696248887559012</v>
      </c>
      <c r="H160" s="172">
        <f t="shared" si="88"/>
        <v>-57.832656945284</v>
      </c>
      <c r="I160" s="172">
        <f t="shared" si="88"/>
        <v>-15.641184770000001</v>
      </c>
      <c r="J160" s="172">
        <f t="shared" si="88"/>
        <v>-19.39720355</v>
      </c>
      <c r="K160" s="172">
        <f t="shared" si="88"/>
        <v>-15.18472555</v>
      </c>
      <c r="L160" s="172">
        <f t="shared" si="88"/>
        <v>-70.854786970000006</v>
      </c>
      <c r="M160" s="172">
        <f t="shared" si="88"/>
        <v>-121.07790084000001</v>
      </c>
      <c r="N160" s="172">
        <f t="shared" si="88"/>
        <v>-11.787550610000002</v>
      </c>
      <c r="O160" s="172">
        <f t="shared" si="88"/>
        <v>-11.65463987</v>
      </c>
      <c r="P160" s="172">
        <f t="shared" si="88"/>
        <v>-12.509551930000001</v>
      </c>
      <c r="Q160" s="172">
        <f t="shared" si="88"/>
        <v>-7.6559095499999996</v>
      </c>
      <c r="R160" s="172">
        <f t="shared" si="88"/>
        <v>-43.611566660000008</v>
      </c>
      <c r="S160" s="172">
        <f t="shared" si="88"/>
        <v>-9.160285459999999</v>
      </c>
      <c r="T160" s="172">
        <f t="shared" si="88"/>
        <v>-9.8814365699999982</v>
      </c>
      <c r="U160" s="172">
        <f t="shared" si="88"/>
        <v>-9.9927362899999981</v>
      </c>
      <c r="V160" s="172">
        <f t="shared" si="88"/>
        <v>-11.880071970000001</v>
      </c>
      <c r="W160" s="172">
        <f t="shared" si="88"/>
        <v>-40.914530289999995</v>
      </c>
      <c r="X160" s="172">
        <f t="shared" si="88"/>
        <v>-12.27900307</v>
      </c>
      <c r="Y160" s="172">
        <f t="shared" si="88"/>
        <v>-10.873987209999999</v>
      </c>
      <c r="Z160" s="172">
        <f t="shared" si="88"/>
        <v>-15.524714599999999</v>
      </c>
      <c r="AA160" s="172">
        <f t="shared" si="88"/>
        <v>-17.039799039999998</v>
      </c>
      <c r="AB160" s="172">
        <f t="shared" si="88"/>
        <v>-55.717503919999999</v>
      </c>
      <c r="AC160" s="172">
        <f t="shared" si="88"/>
        <v>-17.91216442</v>
      </c>
      <c r="AD160" s="172">
        <f t="shared" si="88"/>
        <v>-18.594072724892023</v>
      </c>
      <c r="AE160" s="172">
        <f t="shared" si="88"/>
        <v>-18.64344453</v>
      </c>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row>
    <row r="161" spans="1:59" ht="15.75" customHeight="1" x14ac:dyDescent="0.2">
      <c r="A161" s="189"/>
      <c r="B161" s="189"/>
      <c r="C161" s="190" t="s">
        <v>21</v>
      </c>
      <c r="D161" s="172">
        <f t="shared" ref="D161:AE161" si="89">(D65-D93)*-1</f>
        <v>-42.850784180415992</v>
      </c>
      <c r="E161" s="172">
        <f t="shared" si="89"/>
        <v>-44.534751478588994</v>
      </c>
      <c r="F161" s="172">
        <f t="shared" si="89"/>
        <v>-45.682243609774908</v>
      </c>
      <c r="G161" s="172">
        <f t="shared" si="89"/>
        <v>-48.296453678266104</v>
      </c>
      <c r="H161" s="172">
        <f t="shared" si="89"/>
        <v>-181.36423294704602</v>
      </c>
      <c r="I161" s="172">
        <f t="shared" si="89"/>
        <v>-37.52900666</v>
      </c>
      <c r="J161" s="172">
        <f t="shared" si="89"/>
        <v>-38.306118640000001</v>
      </c>
      <c r="K161" s="172">
        <f t="shared" si="89"/>
        <v>-32.86449168</v>
      </c>
      <c r="L161" s="172">
        <f t="shared" si="89"/>
        <v>-30.586839519999998</v>
      </c>
      <c r="M161" s="172">
        <f t="shared" si="89"/>
        <v>-139.28645649999999</v>
      </c>
      <c r="N161" s="172">
        <f t="shared" si="89"/>
        <v>-31.472617629865002</v>
      </c>
      <c r="O161" s="172">
        <f t="shared" si="89"/>
        <v>-28.477476670477994</v>
      </c>
      <c r="P161" s="172">
        <f t="shared" si="89"/>
        <v>-30.884938856961995</v>
      </c>
      <c r="Q161" s="172">
        <f t="shared" si="89"/>
        <v>-32.516101969078008</v>
      </c>
      <c r="R161" s="172">
        <f t="shared" si="89"/>
        <v>-123.32091840999999</v>
      </c>
      <c r="S161" s="172">
        <f t="shared" si="89"/>
        <v>-32.520668369999996</v>
      </c>
      <c r="T161" s="172">
        <f t="shared" si="89"/>
        <v>-33.853134499999996</v>
      </c>
      <c r="U161" s="172">
        <f t="shared" si="89"/>
        <v>-39.113349530000001</v>
      </c>
      <c r="V161" s="172">
        <f t="shared" si="89"/>
        <v>-45.465131579999998</v>
      </c>
      <c r="W161" s="172">
        <f t="shared" si="89"/>
        <v>-150.95228398000003</v>
      </c>
      <c r="X161" s="172">
        <f t="shared" si="89"/>
        <v>-45.33794666</v>
      </c>
      <c r="Y161" s="172">
        <f t="shared" si="89"/>
        <v>-49.126368710000001</v>
      </c>
      <c r="Z161" s="172">
        <f t="shared" si="89"/>
        <v>-51.449753509999994</v>
      </c>
      <c r="AA161" s="172">
        <f t="shared" si="89"/>
        <v>-46.550806850000001</v>
      </c>
      <c r="AB161" s="172">
        <f t="shared" si="89"/>
        <v>-192.46487573000002</v>
      </c>
      <c r="AC161" s="172">
        <f t="shared" si="89"/>
        <v>-39.800831630000005</v>
      </c>
      <c r="AD161" s="172">
        <f t="shared" si="89"/>
        <v>-40.954601320000002</v>
      </c>
      <c r="AE161" s="172">
        <f t="shared" si="89"/>
        <v>-37.097002379999999</v>
      </c>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row>
    <row r="162" spans="1:59" ht="15.75" customHeight="1" x14ac:dyDescent="0.2">
      <c r="A162" s="189"/>
      <c r="B162" s="189"/>
      <c r="C162" s="190" t="s">
        <v>23</v>
      </c>
      <c r="D162" s="172">
        <f t="shared" ref="D162:AE162" si="90">(D66-D94)*-1</f>
        <v>-76.791640933328097</v>
      </c>
      <c r="E162" s="172">
        <f t="shared" si="90"/>
        <v>-83.036983454954523</v>
      </c>
      <c r="F162" s="172">
        <f t="shared" si="90"/>
        <v>-76.329155118548115</v>
      </c>
      <c r="G162" s="172">
        <f t="shared" si="90"/>
        <v>-76.305370488410389</v>
      </c>
      <c r="H162" s="172">
        <f t="shared" si="90"/>
        <v>-312.46314999524122</v>
      </c>
      <c r="I162" s="172">
        <f t="shared" si="90"/>
        <v>-79.375980969999986</v>
      </c>
      <c r="J162" s="172">
        <f t="shared" si="90"/>
        <v>-83.757855079999999</v>
      </c>
      <c r="K162" s="172">
        <f t="shared" si="90"/>
        <v>-77.876342730000019</v>
      </c>
      <c r="L162" s="172">
        <f t="shared" si="90"/>
        <v>-89.839450039999988</v>
      </c>
      <c r="M162" s="172">
        <f t="shared" si="90"/>
        <v>-330.84962882000002</v>
      </c>
      <c r="N162" s="172">
        <f t="shared" si="90"/>
        <v>-94.482694457551034</v>
      </c>
      <c r="O162" s="172">
        <f t="shared" si="90"/>
        <v>-101.90523529723507</v>
      </c>
      <c r="P162" s="172">
        <f t="shared" si="90"/>
        <v>-117.05081002166585</v>
      </c>
      <c r="Q162" s="172">
        <f t="shared" si="90"/>
        <v>-141.97944685624893</v>
      </c>
      <c r="R162" s="172">
        <f t="shared" si="90"/>
        <v>-457.22973888999996</v>
      </c>
      <c r="S162" s="172">
        <f t="shared" si="90"/>
        <v>-115.67236798999997</v>
      </c>
      <c r="T162" s="172">
        <f t="shared" si="90"/>
        <v>-127.86440244000001</v>
      </c>
      <c r="U162" s="172">
        <f t="shared" si="90"/>
        <v>-138.94942085999998</v>
      </c>
      <c r="V162" s="172">
        <f t="shared" si="90"/>
        <v>-157.33675577</v>
      </c>
      <c r="W162" s="172">
        <f t="shared" si="90"/>
        <v>-539.82294705999993</v>
      </c>
      <c r="X162" s="172">
        <f t="shared" si="90"/>
        <v>-144.89524689000001</v>
      </c>
      <c r="Y162" s="172">
        <f t="shared" si="90"/>
        <v>-143.07081407999999</v>
      </c>
      <c r="Z162" s="172">
        <f t="shared" si="90"/>
        <v>-170.59875353000001</v>
      </c>
      <c r="AA162" s="172">
        <f t="shared" si="90"/>
        <v>-168.48293171</v>
      </c>
      <c r="AB162" s="172">
        <f t="shared" si="90"/>
        <v>-627.04774621000001</v>
      </c>
      <c r="AC162" s="172">
        <f t="shared" si="90"/>
        <v>-149.58317547000001</v>
      </c>
      <c r="AD162" s="172">
        <f t="shared" si="90"/>
        <v>-180.67624324997399</v>
      </c>
      <c r="AE162" s="172">
        <f t="shared" si="90"/>
        <v>-167.55585818</v>
      </c>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row>
    <row r="163" spans="1:59" ht="15.75" customHeight="1" x14ac:dyDescent="0.2">
      <c r="A163" s="189"/>
      <c r="B163" s="189"/>
      <c r="C163" s="190" t="s">
        <v>25</v>
      </c>
      <c r="D163" s="172">
        <f t="shared" ref="D163:AE163" si="91">(D67-D95)*-1</f>
        <v>-8.360826472349002</v>
      </c>
      <c r="E163" s="172">
        <f t="shared" si="91"/>
        <v>-8.4834831622279996</v>
      </c>
      <c r="F163" s="172">
        <f t="shared" si="91"/>
        <v>-8.3079767413710002</v>
      </c>
      <c r="G163" s="172">
        <f t="shared" si="91"/>
        <v>-6.4757556541350247</v>
      </c>
      <c r="H163" s="172">
        <f t="shared" si="91"/>
        <v>-31.628042030083023</v>
      </c>
      <c r="I163" s="172">
        <f t="shared" si="91"/>
        <v>-7.6093296600000002</v>
      </c>
      <c r="J163" s="172">
        <f t="shared" si="91"/>
        <v>-8.1638903000000003</v>
      </c>
      <c r="K163" s="172">
        <f t="shared" si="91"/>
        <v>-7.9413353600000001</v>
      </c>
      <c r="L163" s="172">
        <f t="shared" si="91"/>
        <v>-6.7005450100000008</v>
      </c>
      <c r="M163" s="172">
        <f t="shared" si="91"/>
        <v>-30.415100329999994</v>
      </c>
      <c r="N163" s="172">
        <f t="shared" si="91"/>
        <v>-10.413827322655001</v>
      </c>
      <c r="O163" s="172">
        <f t="shared" si="91"/>
        <v>-7.3049513052740016</v>
      </c>
      <c r="P163" s="172">
        <f t="shared" si="91"/>
        <v>-7.5686142934050018</v>
      </c>
      <c r="Q163" s="172">
        <f t="shared" si="91"/>
        <v>-8.8088638733840146</v>
      </c>
      <c r="R163" s="172">
        <f t="shared" si="91"/>
        <v>-29.085059360000002</v>
      </c>
      <c r="S163" s="172">
        <f t="shared" si="91"/>
        <v>-8.818166269999999</v>
      </c>
      <c r="T163" s="172">
        <f t="shared" si="91"/>
        <v>-8.8032347599999987</v>
      </c>
      <c r="U163" s="172">
        <f t="shared" si="91"/>
        <v>-9.0075724299999997</v>
      </c>
      <c r="V163" s="172">
        <f t="shared" si="91"/>
        <v>-9.7848174300000004</v>
      </c>
      <c r="W163" s="172">
        <f t="shared" si="91"/>
        <v>-36.413790890000001</v>
      </c>
      <c r="X163" s="172">
        <f t="shared" si="91"/>
        <v>-9.4925309700000007</v>
      </c>
      <c r="Y163" s="172">
        <f t="shared" si="91"/>
        <v>-8.7520500800000001</v>
      </c>
      <c r="Z163" s="172">
        <f t="shared" si="91"/>
        <v>-12.38033444</v>
      </c>
      <c r="AA163" s="172">
        <f t="shared" si="91"/>
        <v>-11.93853049</v>
      </c>
      <c r="AB163" s="172">
        <f t="shared" si="91"/>
        <v>-42.563445979999997</v>
      </c>
      <c r="AC163" s="172">
        <f t="shared" si="91"/>
        <v>-15.22878766</v>
      </c>
      <c r="AD163" s="172">
        <f t="shared" si="91"/>
        <v>-14.028548942647021</v>
      </c>
      <c r="AE163" s="172">
        <f t="shared" si="91"/>
        <v>-12.15559318</v>
      </c>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row>
    <row r="164" spans="1:59" ht="15.75" customHeight="1" x14ac:dyDescent="0.2">
      <c r="A164" s="189"/>
      <c r="B164" s="189"/>
      <c r="C164" s="190" t="s">
        <v>29</v>
      </c>
      <c r="D164" s="172">
        <f t="shared" ref="D164:AE164" si="92">(D68-D96)*-1</f>
        <v>-20.059966869382002</v>
      </c>
      <c r="E164" s="172">
        <f t="shared" si="92"/>
        <v>-27.998742321776991</v>
      </c>
      <c r="F164" s="172">
        <f t="shared" si="92"/>
        <v>-10.537096434862001</v>
      </c>
      <c r="G164" s="172">
        <f t="shared" si="92"/>
        <v>-17.379898294229069</v>
      </c>
      <c r="H164" s="172">
        <f t="shared" si="92"/>
        <v>-75.975703920250055</v>
      </c>
      <c r="I164" s="172">
        <f t="shared" si="92"/>
        <v>-5.4733883399999996</v>
      </c>
      <c r="J164" s="172">
        <f t="shared" si="92"/>
        <v>-8.143989620000001</v>
      </c>
      <c r="K164" s="172">
        <f t="shared" si="92"/>
        <v>-3.6896358399999998</v>
      </c>
      <c r="L164" s="172">
        <f t="shared" si="92"/>
        <v>-4.4667882800000003</v>
      </c>
      <c r="M164" s="172">
        <f t="shared" si="92"/>
        <v>-21.773802079999999</v>
      </c>
      <c r="N164" s="172">
        <f t="shared" si="92"/>
        <v>-3.7142768484799475</v>
      </c>
      <c r="O164" s="172">
        <f t="shared" si="92"/>
        <v>-1.1236864090879986</v>
      </c>
      <c r="P164" s="172">
        <f t="shared" si="92"/>
        <v>-2.9153079624460156</v>
      </c>
      <c r="Q164" s="172">
        <f t="shared" si="92"/>
        <v>-17.87932578385157</v>
      </c>
      <c r="R164" s="172">
        <f t="shared" si="92"/>
        <v>-25.485325159999999</v>
      </c>
      <c r="S164" s="172">
        <f t="shared" si="92"/>
        <v>-12.875762879999998</v>
      </c>
      <c r="T164" s="172">
        <f t="shared" si="92"/>
        <v>-3.0819315599999997</v>
      </c>
      <c r="U164" s="172">
        <f t="shared" si="92"/>
        <v>-4.6112077399999993</v>
      </c>
      <c r="V164" s="172">
        <f t="shared" si="92"/>
        <v>0.10115428999999998</v>
      </c>
      <c r="W164" s="172">
        <f t="shared" si="92"/>
        <v>-20.467747889999998</v>
      </c>
      <c r="X164" s="172">
        <f t="shared" si="92"/>
        <v>-5.3314226099999997</v>
      </c>
      <c r="Y164" s="172">
        <f t="shared" si="92"/>
        <v>-6.4753912300000005</v>
      </c>
      <c r="Z164" s="172">
        <f t="shared" si="92"/>
        <v>-6.1625215600000001</v>
      </c>
      <c r="AA164" s="172">
        <f t="shared" si="92"/>
        <v>-1.0034615499999999</v>
      </c>
      <c r="AB164" s="172">
        <f t="shared" si="92"/>
        <v>-18.972796949999999</v>
      </c>
      <c r="AC164" s="172">
        <f t="shared" si="92"/>
        <v>-7.9298498999999998</v>
      </c>
      <c r="AD164" s="172">
        <f t="shared" si="92"/>
        <v>-9.7439771905820187</v>
      </c>
      <c r="AE164" s="172">
        <f t="shared" si="92"/>
        <v>-4.1218000099999994</v>
      </c>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row>
    <row r="165" spans="1:59" ht="15.75" customHeight="1" x14ac:dyDescent="0.2">
      <c r="A165" s="162"/>
      <c r="B165" s="162"/>
      <c r="C165" s="190" t="s">
        <v>208</v>
      </c>
      <c r="D165" s="172">
        <f t="shared" ref="D165:AE165" si="93">(D69-D97)*-1</f>
        <v>-13.395855438122197</v>
      </c>
      <c r="E165" s="172">
        <f t="shared" si="93"/>
        <v>-18.275880999969772</v>
      </c>
      <c r="F165" s="172">
        <f t="shared" si="93"/>
        <v>-17.388676866664632</v>
      </c>
      <c r="G165" s="172">
        <f t="shared" si="93"/>
        <v>-20.400467714130901</v>
      </c>
      <c r="H165" s="172">
        <f t="shared" si="93"/>
        <v>-69.460881018887491</v>
      </c>
      <c r="I165" s="172">
        <f t="shared" si="93"/>
        <v>-15.02114304</v>
      </c>
      <c r="J165" s="172">
        <f t="shared" si="93"/>
        <v>-18.187849879999998</v>
      </c>
      <c r="K165" s="172">
        <f t="shared" si="93"/>
        <v>-17.647779329999999</v>
      </c>
      <c r="L165" s="172">
        <f t="shared" si="93"/>
        <v>-28.829347050000003</v>
      </c>
      <c r="M165" s="172">
        <f t="shared" si="93"/>
        <v>-79.686119300000001</v>
      </c>
      <c r="N165" s="172">
        <f t="shared" si="93"/>
        <v>-16.439029300378976</v>
      </c>
      <c r="O165" s="172">
        <f t="shared" si="93"/>
        <v>-15.060695383056022</v>
      </c>
      <c r="P165" s="172">
        <f t="shared" si="93"/>
        <v>-15.067475371639013</v>
      </c>
      <c r="Q165" s="172">
        <f t="shared" si="93"/>
        <v>-26.946061169979949</v>
      </c>
      <c r="R165" s="172">
        <f t="shared" si="93"/>
        <v>-80.476325070000001</v>
      </c>
      <c r="S165" s="172">
        <f t="shared" si="93"/>
        <v>-16.401625970000001</v>
      </c>
      <c r="T165" s="172">
        <f t="shared" si="93"/>
        <v>-27.632100990000001</v>
      </c>
      <c r="U165" s="172">
        <f t="shared" si="93"/>
        <v>-24.671438199999997</v>
      </c>
      <c r="V165" s="172">
        <f t="shared" si="93"/>
        <v>-57.222592679999998</v>
      </c>
      <c r="W165" s="172">
        <f t="shared" si="93"/>
        <v>-125.92775784</v>
      </c>
      <c r="X165" s="172">
        <f t="shared" si="93"/>
        <v>-4.4411632299999999</v>
      </c>
      <c r="Y165" s="172">
        <f t="shared" si="93"/>
        <v>-4.62094863</v>
      </c>
      <c r="Z165" s="172">
        <f t="shared" si="93"/>
        <v>-2.4734532899999997</v>
      </c>
      <c r="AA165" s="172">
        <f t="shared" si="93"/>
        <v>-9.4869253699999998</v>
      </c>
      <c r="AB165" s="172">
        <f t="shared" si="93"/>
        <v>-21.022490520000002</v>
      </c>
      <c r="AC165" s="172">
        <f t="shared" si="93"/>
        <v>-10.63386028</v>
      </c>
      <c r="AD165" s="172">
        <f t="shared" si="93"/>
        <v>15.152895174735001</v>
      </c>
      <c r="AE165" s="172">
        <f t="shared" si="93"/>
        <v>-0.31339976000000025</v>
      </c>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row>
    <row r="166" spans="1:59" ht="15.75" customHeight="1" x14ac:dyDescent="0.2">
      <c r="A166" s="162"/>
      <c r="B166" s="162"/>
      <c r="C166" s="206" t="s">
        <v>238</v>
      </c>
      <c r="D166" s="207">
        <f t="shared" ref="D166:AE166" si="94">SUM(D159:D165)</f>
        <v>-253.1261972955603</v>
      </c>
      <c r="E166" s="207">
        <f t="shared" si="94"/>
        <v>-283.77174825491915</v>
      </c>
      <c r="F166" s="207">
        <f t="shared" si="94"/>
        <v>-270.39434981872478</v>
      </c>
      <c r="G166" s="207">
        <f t="shared" si="94"/>
        <v>-284.31119867311924</v>
      </c>
      <c r="H166" s="207">
        <f t="shared" si="94"/>
        <v>-1091.6034940423235</v>
      </c>
      <c r="I166" s="207">
        <f t="shared" si="94"/>
        <v>-238.10736295999996</v>
      </c>
      <c r="J166" s="207">
        <f t="shared" si="94"/>
        <v>-257.76119788</v>
      </c>
      <c r="K166" s="207">
        <f t="shared" si="94"/>
        <v>-239.71954590999999</v>
      </c>
      <c r="L166" s="207">
        <f t="shared" si="94"/>
        <v>-312.82035286999997</v>
      </c>
      <c r="M166" s="207">
        <f t="shared" si="94"/>
        <v>-1048.40845962</v>
      </c>
      <c r="N166" s="207">
        <f t="shared" si="94"/>
        <v>-244.33971122706998</v>
      </c>
      <c r="O166" s="207">
        <f t="shared" si="94"/>
        <v>-246.44444046013109</v>
      </c>
      <c r="P166" s="207">
        <f t="shared" si="94"/>
        <v>-269.05265363276891</v>
      </c>
      <c r="Q166" s="207">
        <f t="shared" si="94"/>
        <v>-318.50183133614655</v>
      </c>
      <c r="R166" s="207">
        <f t="shared" si="94"/>
        <v>-1085.29402553</v>
      </c>
      <c r="S166" s="207">
        <f t="shared" si="94"/>
        <v>-267.39680025999996</v>
      </c>
      <c r="T166" s="207">
        <f t="shared" si="94"/>
        <v>-291.61897484000002</v>
      </c>
      <c r="U166" s="207">
        <f t="shared" si="94"/>
        <v>-309.16821443999999</v>
      </c>
      <c r="V166" s="207">
        <f t="shared" si="94"/>
        <v>-380.05834365999999</v>
      </c>
      <c r="W166" s="207">
        <f t="shared" si="94"/>
        <v>-1248.2423332000001</v>
      </c>
      <c r="X166" s="207">
        <f t="shared" si="94"/>
        <v>-311.63349850000003</v>
      </c>
      <c r="Y166" s="207">
        <f t="shared" si="94"/>
        <v>-320.18315956999999</v>
      </c>
      <c r="Z166" s="207">
        <f t="shared" si="94"/>
        <v>-358.21807395000002</v>
      </c>
      <c r="AA166" s="207">
        <f t="shared" si="94"/>
        <v>-360.20124883</v>
      </c>
      <c r="AB166" s="207">
        <f t="shared" si="94"/>
        <v>-1350.23598085</v>
      </c>
      <c r="AC166" s="207">
        <f t="shared" si="94"/>
        <v>-342.62429734000006</v>
      </c>
      <c r="AD166" s="207">
        <f t="shared" si="94"/>
        <v>-354.65865681548206</v>
      </c>
      <c r="AE166" s="207">
        <f t="shared" si="94"/>
        <v>-350.60989404999998</v>
      </c>
      <c r="AF166" s="209"/>
      <c r="AG166" s="209"/>
      <c r="AH166" s="209"/>
      <c r="AI166" s="209"/>
      <c r="AJ166" s="209"/>
      <c r="AK166" s="209"/>
      <c r="AL166" s="209"/>
      <c r="AM166" s="209"/>
      <c r="AN166" s="195"/>
      <c r="AO166" s="209"/>
      <c r="AP166" s="209"/>
      <c r="AQ166" s="209"/>
      <c r="AR166" s="209"/>
      <c r="AS166" s="209"/>
      <c r="AT166" s="209"/>
      <c r="AU166" s="209"/>
      <c r="AV166" s="209"/>
      <c r="AW166" s="209"/>
      <c r="AX166" s="209"/>
      <c r="AY166" s="209"/>
      <c r="AZ166" s="209"/>
      <c r="BA166" s="209"/>
      <c r="BB166" s="209"/>
      <c r="BC166" s="209"/>
      <c r="BD166" s="209"/>
      <c r="BE166" s="209"/>
      <c r="BF166" s="209"/>
      <c r="BG166" s="209"/>
    </row>
    <row r="167" spans="1:59" ht="15.75" customHeight="1" x14ac:dyDescent="0.2">
      <c r="A167" s="209"/>
      <c r="B167" s="209"/>
      <c r="C167" s="226"/>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row>
    <row r="168" spans="1:59" ht="15.75" customHeight="1" x14ac:dyDescent="0.2">
      <c r="A168" s="210"/>
      <c r="B168" s="211" t="s">
        <v>239</v>
      </c>
      <c r="C168" s="211"/>
      <c r="D168" s="158"/>
      <c r="E168" s="158"/>
      <c r="F168" s="158"/>
      <c r="G168" s="158"/>
      <c r="H168" s="159"/>
      <c r="I168" s="158"/>
      <c r="J168" s="158"/>
      <c r="K168" s="158"/>
      <c r="L168" s="158"/>
      <c r="M168" s="159"/>
      <c r="N168" s="158"/>
      <c r="O168" s="158"/>
      <c r="P168" s="158"/>
      <c r="Q168" s="158"/>
      <c r="R168" s="159"/>
      <c r="S168" s="158"/>
      <c r="T168" s="158"/>
      <c r="U168" s="158"/>
      <c r="V168" s="158"/>
      <c r="W168" s="159"/>
      <c r="X168" s="158"/>
      <c r="Y168" s="158"/>
      <c r="Z168" s="158"/>
      <c r="AA168" s="158"/>
      <c r="AB168" s="159"/>
      <c r="AC168" s="158"/>
      <c r="AD168" s="158"/>
      <c r="AE168" s="158"/>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row>
    <row r="169" spans="1:59" ht="15.75" customHeight="1" x14ac:dyDescent="0.2">
      <c r="A169" s="162"/>
      <c r="B169" s="162"/>
      <c r="C169" s="227" t="s">
        <v>19</v>
      </c>
      <c r="D169" s="228" t="s">
        <v>98</v>
      </c>
      <c r="E169" s="228" t="s">
        <v>99</v>
      </c>
      <c r="F169" s="228" t="s">
        <v>100</v>
      </c>
      <c r="G169" s="228" t="s">
        <v>101</v>
      </c>
      <c r="H169" s="229">
        <v>2018</v>
      </c>
      <c r="I169" s="228" t="s">
        <v>102</v>
      </c>
      <c r="J169" s="228" t="s">
        <v>103</v>
      </c>
      <c r="K169" s="228" t="s">
        <v>104</v>
      </c>
      <c r="L169" s="228" t="s">
        <v>105</v>
      </c>
      <c r="M169" s="229">
        <v>2019</v>
      </c>
      <c r="N169" s="228" t="s">
        <v>158</v>
      </c>
      <c r="O169" s="228" t="s">
        <v>107</v>
      </c>
      <c r="P169" s="228" t="s">
        <v>108</v>
      </c>
      <c r="Q169" s="228" t="s">
        <v>109</v>
      </c>
      <c r="R169" s="229">
        <v>2020</v>
      </c>
      <c r="S169" s="228" t="s">
        <v>110</v>
      </c>
      <c r="T169" s="228" t="s">
        <v>111</v>
      </c>
      <c r="U169" s="228" t="s">
        <v>112</v>
      </c>
      <c r="V169" s="228" t="s">
        <v>113</v>
      </c>
      <c r="W169" s="229">
        <v>2021</v>
      </c>
      <c r="X169" s="228" t="s">
        <v>114</v>
      </c>
      <c r="Y169" s="228" t="s">
        <v>115</v>
      </c>
      <c r="Z169" s="228" t="str">
        <f>$Z$4</f>
        <v>3Q22</v>
      </c>
      <c r="AA169" s="228" t="str">
        <f>$AA$4</f>
        <v>4Q22</v>
      </c>
      <c r="AB169" s="229">
        <v>2022</v>
      </c>
      <c r="AC169" s="228" t="s">
        <v>118</v>
      </c>
      <c r="AD169" s="228" t="str">
        <f t="shared" ref="AD169:AE169" si="95">AD$4</f>
        <v>2Q23</v>
      </c>
      <c r="AE169" s="228" t="str">
        <f t="shared" si="95"/>
        <v>3Q23</v>
      </c>
      <c r="AF169" s="189"/>
      <c r="AG169" s="189"/>
      <c r="AH169" s="189"/>
      <c r="AI169" s="189"/>
      <c r="AJ169" s="189"/>
      <c r="AK169" s="189"/>
      <c r="AL169" s="189"/>
      <c r="AM169" s="189"/>
      <c r="AN169" s="195"/>
      <c r="AO169" s="189"/>
      <c r="AP169" s="189"/>
      <c r="AQ169" s="189"/>
      <c r="AR169" s="189"/>
      <c r="AS169" s="189"/>
      <c r="AT169" s="189"/>
      <c r="AU169" s="189"/>
      <c r="AV169" s="189"/>
      <c r="AW169" s="189"/>
      <c r="AX169" s="189"/>
      <c r="AY169" s="189"/>
      <c r="AZ169" s="189"/>
      <c r="BA169" s="189"/>
      <c r="BB169" s="189"/>
      <c r="BC169" s="189"/>
      <c r="BD169" s="189"/>
      <c r="BE169" s="189"/>
      <c r="BF169" s="189"/>
      <c r="BG169" s="189"/>
    </row>
    <row r="170" spans="1:59" ht="15.75" customHeight="1" x14ac:dyDescent="0.2">
      <c r="A170" s="189"/>
      <c r="B170" s="189"/>
      <c r="C170" s="190" t="s">
        <v>188</v>
      </c>
      <c r="D170" s="172">
        <f t="shared" ref="D170:V170" si="96">D63</f>
        <v>151.97450458</v>
      </c>
      <c r="E170" s="172">
        <f t="shared" si="96"/>
        <v>153.19945621000002</v>
      </c>
      <c r="F170" s="172">
        <f t="shared" si="96"/>
        <v>191.01373483999998</v>
      </c>
      <c r="G170" s="172">
        <f t="shared" si="96"/>
        <v>172.20713972000001</v>
      </c>
      <c r="H170" s="172">
        <f t="shared" si="96"/>
        <v>668.39483534999999</v>
      </c>
      <c r="I170" s="172">
        <f t="shared" si="96"/>
        <v>153.84225132999998</v>
      </c>
      <c r="J170" s="172">
        <f t="shared" si="96"/>
        <v>155.97213138000001</v>
      </c>
      <c r="K170" s="172">
        <f t="shared" si="96"/>
        <v>176.74051168999998</v>
      </c>
      <c r="L170" s="172">
        <f t="shared" si="96"/>
        <v>175.81800849999999</v>
      </c>
      <c r="M170" s="172">
        <f t="shared" si="96"/>
        <v>662.37290289999999</v>
      </c>
      <c r="N170" s="172">
        <f t="shared" si="96"/>
        <v>165.3387156</v>
      </c>
      <c r="O170" s="172">
        <f t="shared" si="96"/>
        <v>163.14163761999998</v>
      </c>
      <c r="P170" s="172">
        <f t="shared" si="96"/>
        <v>174.55115107000003</v>
      </c>
      <c r="Q170" s="172">
        <f t="shared" si="96"/>
        <v>174.40237180999998</v>
      </c>
      <c r="R170" s="172">
        <f t="shared" si="96"/>
        <v>677.43387609999991</v>
      </c>
      <c r="S170" s="172">
        <f t="shared" si="96"/>
        <v>184.77308292000001</v>
      </c>
      <c r="T170" s="172">
        <f t="shared" si="96"/>
        <v>188.53314716000003</v>
      </c>
      <c r="U170" s="172">
        <f t="shared" si="96"/>
        <v>191.25522752000001</v>
      </c>
      <c r="V170" s="172">
        <f t="shared" si="96"/>
        <v>200.19993855000001</v>
      </c>
      <c r="W170" s="172">
        <f>SUM(S170:V170)</f>
        <v>764.76139615000011</v>
      </c>
      <c r="X170" s="172">
        <f t="shared" ref="X170:AA170" si="97">X63</f>
        <v>182.04084226000001</v>
      </c>
      <c r="Y170" s="172">
        <f t="shared" si="97"/>
        <v>187.52040664</v>
      </c>
      <c r="Z170" s="172">
        <f t="shared" si="97"/>
        <v>198.95549410000001</v>
      </c>
      <c r="AA170" s="172">
        <f t="shared" si="97"/>
        <v>198.62861572</v>
      </c>
      <c r="AB170" s="172">
        <f>SUM(X170:AA170)</f>
        <v>767.14535871999999</v>
      </c>
      <c r="AC170" s="172">
        <f t="shared" ref="AC170:AE170" si="98">AC63</f>
        <v>191.48986177</v>
      </c>
      <c r="AD170" s="172">
        <f t="shared" si="98"/>
        <v>199.85939142000001</v>
      </c>
      <c r="AE170" s="172">
        <f t="shared" si="98"/>
        <v>220.34725789000001</v>
      </c>
      <c r="AF170" s="189"/>
      <c r="AG170" s="189"/>
      <c r="AH170" s="189"/>
      <c r="AI170" s="189"/>
      <c r="AJ170" s="189"/>
      <c r="AK170" s="189"/>
      <c r="AL170" s="189"/>
      <c r="AM170" s="189"/>
      <c r="AN170" s="147"/>
      <c r="AO170" s="189"/>
      <c r="AP170" s="189"/>
      <c r="AQ170" s="189"/>
      <c r="AR170" s="189"/>
      <c r="AS170" s="189"/>
      <c r="AT170" s="189"/>
      <c r="AU170" s="189"/>
      <c r="AV170" s="189"/>
      <c r="AW170" s="189"/>
      <c r="AX170" s="189"/>
      <c r="AY170" s="189"/>
      <c r="AZ170" s="189"/>
      <c r="BA170" s="189"/>
      <c r="BB170" s="189"/>
      <c r="BC170" s="189"/>
      <c r="BD170" s="189"/>
      <c r="BE170" s="189"/>
      <c r="BF170" s="189"/>
      <c r="BG170" s="189"/>
    </row>
    <row r="171" spans="1:59" ht="15.75" customHeight="1" x14ac:dyDescent="0.2">
      <c r="A171" s="190"/>
      <c r="B171" s="190"/>
      <c r="C171" s="190" t="s">
        <v>240</v>
      </c>
      <c r="D171" s="140" t="s">
        <v>146</v>
      </c>
      <c r="E171" s="140" t="s">
        <v>146</v>
      </c>
      <c r="F171" s="140" t="s">
        <v>146</v>
      </c>
      <c r="G171" s="140" t="s">
        <v>146</v>
      </c>
      <c r="H171" s="140" t="s">
        <v>146</v>
      </c>
      <c r="I171" s="191">
        <v>1.228986898E-2</v>
      </c>
      <c r="J171" s="191">
        <v>1.8098466130000001E-2</v>
      </c>
      <c r="K171" s="191">
        <v>-7.472354363E-2</v>
      </c>
      <c r="L171" s="191">
        <v>2.096817116E-2</v>
      </c>
      <c r="M171" s="191">
        <v>-9.009543658E-3</v>
      </c>
      <c r="N171" s="191">
        <v>7.4728913359999996E-2</v>
      </c>
      <c r="O171" s="191">
        <v>4.596658503E-2</v>
      </c>
      <c r="P171" s="191">
        <v>-1.2387429449999999E-2</v>
      </c>
      <c r="Q171" s="191">
        <v>-8.0517161019999992E-3</v>
      </c>
      <c r="R171" s="191">
        <v>2.27379066E-2</v>
      </c>
      <c r="S171" s="191">
        <v>0.11754275</v>
      </c>
      <c r="T171" s="191">
        <v>0.15564088919999999</v>
      </c>
      <c r="U171" s="191">
        <v>9.5697314780000001E-2</v>
      </c>
      <c r="V171" s="191">
        <v>0.14791981600000001</v>
      </c>
      <c r="W171" s="191">
        <v>0.12890929009999999</v>
      </c>
      <c r="X171" s="191">
        <v>-1.4787005860000001E-2</v>
      </c>
      <c r="Y171" s="191">
        <v>-5.3716841589999996E-3</v>
      </c>
      <c r="Z171" s="191">
        <v>4.0261731299999999E-2</v>
      </c>
      <c r="AA171" s="191">
        <v>-7.8487677940000007E-3</v>
      </c>
      <c r="AB171" s="191">
        <v>3.1172632169999999E-3</v>
      </c>
      <c r="AC171" s="191">
        <v>5.1906041479999998E-2</v>
      </c>
      <c r="AD171" s="191">
        <v>6.5800757370000004E-2</v>
      </c>
      <c r="AE171" s="191">
        <v>0.1075203471</v>
      </c>
      <c r="AF171" s="195"/>
      <c r="AG171" s="195"/>
      <c r="AH171" s="195"/>
      <c r="AI171" s="195"/>
      <c r="AJ171" s="195"/>
      <c r="AK171" s="195"/>
      <c r="AL171" s="195"/>
      <c r="AM171" s="195"/>
      <c r="AN171" s="147"/>
      <c r="AO171" s="195"/>
      <c r="AP171" s="195"/>
      <c r="AQ171" s="195"/>
      <c r="AR171" s="195"/>
      <c r="AS171" s="195"/>
      <c r="AT171" s="195"/>
      <c r="AU171" s="195"/>
      <c r="AV171" s="195"/>
      <c r="AW171" s="195"/>
      <c r="AX171" s="195"/>
      <c r="AY171" s="195"/>
      <c r="AZ171" s="195"/>
      <c r="BA171" s="195"/>
      <c r="BB171" s="195"/>
      <c r="BC171" s="195"/>
      <c r="BD171" s="195"/>
      <c r="BE171" s="195"/>
      <c r="BF171" s="195"/>
      <c r="BG171" s="195"/>
    </row>
    <row r="172" spans="1:59" ht="15.75" customHeight="1" x14ac:dyDescent="0.2">
      <c r="A172" s="190"/>
      <c r="B172" s="190"/>
      <c r="C172" s="190"/>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89"/>
      <c r="AG172" s="189"/>
      <c r="AH172" s="189"/>
      <c r="AI172" s="189"/>
      <c r="AJ172" s="189"/>
      <c r="AK172" s="189"/>
      <c r="AL172" s="189"/>
      <c r="AM172" s="189"/>
      <c r="AN172" s="147"/>
      <c r="AO172" s="189"/>
      <c r="AP172" s="189"/>
      <c r="AQ172" s="189"/>
      <c r="AR172" s="189"/>
      <c r="AS172" s="189"/>
      <c r="AT172" s="189"/>
      <c r="AU172" s="189"/>
      <c r="AV172" s="189"/>
      <c r="AW172" s="189"/>
      <c r="AX172" s="189"/>
      <c r="AY172" s="189"/>
      <c r="AZ172" s="189"/>
      <c r="BA172" s="189"/>
      <c r="BB172" s="189"/>
      <c r="BC172" s="189"/>
      <c r="BD172" s="189"/>
      <c r="BE172" s="189"/>
      <c r="BF172" s="189"/>
      <c r="BG172" s="189"/>
    </row>
    <row r="173" spans="1:59" ht="15.75" customHeight="1" x14ac:dyDescent="0.2">
      <c r="A173" s="189"/>
      <c r="B173" s="189"/>
      <c r="C173" s="217" t="s">
        <v>227</v>
      </c>
      <c r="D173" s="172">
        <f t="shared" ref="D173:AE173" si="99">(D170-D174)*-1</f>
        <v>-80.583254191658995</v>
      </c>
      <c r="E173" s="172">
        <f t="shared" si="99"/>
        <v>-86.2947563881539</v>
      </c>
      <c r="F173" s="172">
        <f t="shared" si="99"/>
        <v>-96.243812649330181</v>
      </c>
      <c r="G173" s="172">
        <f t="shared" si="99"/>
        <v>-99.757003956388729</v>
      </c>
      <c r="H173" s="172">
        <f t="shared" si="99"/>
        <v>-362.8788271855318</v>
      </c>
      <c r="I173" s="172">
        <f t="shared" si="99"/>
        <v>-77.457329519999973</v>
      </c>
      <c r="J173" s="172">
        <f t="shared" si="99"/>
        <v>-81.804290809999998</v>
      </c>
      <c r="K173" s="172">
        <f t="shared" si="99"/>
        <v>-84.515235419999982</v>
      </c>
      <c r="L173" s="172">
        <f t="shared" si="99"/>
        <v>-81.542595999999989</v>
      </c>
      <c r="M173" s="172">
        <f t="shared" si="99"/>
        <v>-325.31945174999998</v>
      </c>
      <c r="N173" s="172">
        <f t="shared" si="99"/>
        <v>-76.029715058140013</v>
      </c>
      <c r="O173" s="172">
        <f t="shared" si="99"/>
        <v>-80.917755525000004</v>
      </c>
      <c r="P173" s="172">
        <f t="shared" si="99"/>
        <v>-83.055955196651027</v>
      </c>
      <c r="Q173" s="172">
        <f t="shared" si="99"/>
        <v>-82.716122133604046</v>
      </c>
      <c r="R173" s="172">
        <f t="shared" si="99"/>
        <v>-326.0850919799999</v>
      </c>
      <c r="S173" s="172">
        <f t="shared" si="99"/>
        <v>-71.947923320000001</v>
      </c>
      <c r="T173" s="172">
        <f t="shared" si="99"/>
        <v>-80.50273402000002</v>
      </c>
      <c r="U173" s="172">
        <f t="shared" si="99"/>
        <v>-82.822489390000015</v>
      </c>
      <c r="V173" s="172">
        <f t="shared" si="99"/>
        <v>-98.470128520000017</v>
      </c>
      <c r="W173" s="172">
        <f t="shared" si="99"/>
        <v>-333.74327525000007</v>
      </c>
      <c r="X173" s="172">
        <f t="shared" si="99"/>
        <v>-89.856185070000009</v>
      </c>
      <c r="Y173" s="172">
        <f t="shared" si="99"/>
        <v>-97.263599630000002</v>
      </c>
      <c r="Z173" s="172">
        <f t="shared" si="99"/>
        <v>-99.628543020000009</v>
      </c>
      <c r="AA173" s="172">
        <f t="shared" si="99"/>
        <v>-105.69879382000001</v>
      </c>
      <c r="AB173" s="172">
        <f t="shared" si="99"/>
        <v>-392.44712154000001</v>
      </c>
      <c r="AC173" s="172">
        <f t="shared" si="99"/>
        <v>-101.53562798</v>
      </c>
      <c r="AD173" s="172">
        <f t="shared" si="99"/>
        <v>-105.81410856212202</v>
      </c>
      <c r="AE173" s="172">
        <f t="shared" si="99"/>
        <v>-110.72279601000001</v>
      </c>
      <c r="AF173" s="189"/>
      <c r="AG173" s="189"/>
      <c r="AH173" s="189"/>
      <c r="AI173" s="189"/>
      <c r="AJ173" s="189"/>
      <c r="AK173" s="189"/>
      <c r="AL173" s="189"/>
      <c r="AM173" s="189"/>
      <c r="AN173" s="147"/>
      <c r="AO173" s="189"/>
      <c r="AP173" s="189"/>
      <c r="AQ173" s="189"/>
      <c r="AR173" s="189"/>
      <c r="AS173" s="189"/>
      <c r="AT173" s="189"/>
      <c r="AU173" s="189"/>
      <c r="AV173" s="189"/>
      <c r="AW173" s="189"/>
      <c r="AX173" s="189"/>
      <c r="AY173" s="189"/>
      <c r="AZ173" s="189"/>
      <c r="BA173" s="189"/>
      <c r="BB173" s="189"/>
      <c r="BC173" s="189"/>
      <c r="BD173" s="189"/>
      <c r="BE173" s="189"/>
      <c r="BF173" s="189"/>
      <c r="BG173" s="189"/>
    </row>
    <row r="174" spans="1:59" ht="15.75" customHeight="1" x14ac:dyDescent="0.2">
      <c r="A174" s="189"/>
      <c r="B174" s="189"/>
      <c r="C174" s="190" t="s">
        <v>189</v>
      </c>
      <c r="D174" s="172">
        <f t="shared" ref="D174:AA174" si="100">D91</f>
        <v>71.391250388341007</v>
      </c>
      <c r="E174" s="172">
        <f t="shared" si="100"/>
        <v>66.904699821846123</v>
      </c>
      <c r="F174" s="172">
        <f t="shared" si="100"/>
        <v>94.769922190669803</v>
      </c>
      <c r="G174" s="172">
        <f t="shared" si="100"/>
        <v>72.450135763611286</v>
      </c>
      <c r="H174" s="172">
        <f t="shared" si="100"/>
        <v>305.51600816446819</v>
      </c>
      <c r="I174" s="172">
        <f t="shared" si="100"/>
        <v>76.384921810000009</v>
      </c>
      <c r="J174" s="172">
        <f t="shared" si="100"/>
        <v>74.16784057000001</v>
      </c>
      <c r="K174" s="172">
        <f t="shared" si="100"/>
        <v>92.225276269999995</v>
      </c>
      <c r="L174" s="172">
        <f t="shared" si="100"/>
        <v>94.275412500000002</v>
      </c>
      <c r="M174" s="172">
        <f t="shared" si="100"/>
        <v>337.05345115</v>
      </c>
      <c r="N174" s="172">
        <f t="shared" si="100"/>
        <v>89.309000541859987</v>
      </c>
      <c r="O174" s="172">
        <f t="shared" si="100"/>
        <v>82.223882094999979</v>
      </c>
      <c r="P174" s="172">
        <f t="shared" si="100"/>
        <v>91.495195873349005</v>
      </c>
      <c r="Q174" s="172">
        <f t="shared" si="100"/>
        <v>91.686249676395931</v>
      </c>
      <c r="R174" s="172">
        <f t="shared" si="100"/>
        <v>351.34878412</v>
      </c>
      <c r="S174" s="172">
        <f t="shared" si="100"/>
        <v>112.82515960000001</v>
      </c>
      <c r="T174" s="172">
        <f t="shared" si="100"/>
        <v>108.03041314000001</v>
      </c>
      <c r="U174" s="172">
        <f t="shared" si="100"/>
        <v>108.43273812999999</v>
      </c>
      <c r="V174" s="172">
        <f t="shared" si="100"/>
        <v>101.72981003</v>
      </c>
      <c r="W174" s="172">
        <f t="shared" si="100"/>
        <v>431.01812090000004</v>
      </c>
      <c r="X174" s="172">
        <f t="shared" si="100"/>
        <v>92.184657189999996</v>
      </c>
      <c r="Y174" s="172">
        <f t="shared" si="100"/>
        <v>90.256807010000003</v>
      </c>
      <c r="Z174" s="172">
        <f t="shared" si="100"/>
        <v>99.326951080000001</v>
      </c>
      <c r="AA174" s="172">
        <f t="shared" si="100"/>
        <v>92.929821899999993</v>
      </c>
      <c r="AB174" s="172">
        <f>SUM(X174:AA174)</f>
        <v>374.69823717999998</v>
      </c>
      <c r="AC174" s="172">
        <f t="shared" ref="AC174:AE174" si="101">AC91</f>
        <v>89.954233790000004</v>
      </c>
      <c r="AD174" s="172">
        <f t="shared" si="101"/>
        <v>94.045282857877993</v>
      </c>
      <c r="AE174" s="172">
        <f t="shared" si="101"/>
        <v>109.62446188</v>
      </c>
      <c r="AF174" s="189"/>
      <c r="AG174" s="189"/>
      <c r="AH174" s="189"/>
      <c r="AI174" s="189"/>
      <c r="AJ174" s="189"/>
      <c r="AK174" s="189"/>
      <c r="AL174" s="189"/>
      <c r="AM174" s="189"/>
      <c r="AN174" s="176"/>
      <c r="AO174" s="189"/>
      <c r="AP174" s="189"/>
      <c r="AQ174" s="189"/>
      <c r="AR174" s="189"/>
      <c r="AS174" s="189"/>
      <c r="AT174" s="189"/>
      <c r="AU174" s="189"/>
      <c r="AV174" s="189"/>
      <c r="AW174" s="189"/>
      <c r="AX174" s="189"/>
      <c r="AY174" s="189"/>
      <c r="AZ174" s="189"/>
      <c r="BA174" s="189"/>
      <c r="BB174" s="189"/>
      <c r="BC174" s="189"/>
      <c r="BD174" s="189"/>
      <c r="BE174" s="189"/>
      <c r="BF174" s="189"/>
      <c r="BG174" s="189"/>
    </row>
    <row r="175" spans="1:59" ht="15.75" customHeight="1" x14ac:dyDescent="0.2">
      <c r="A175" s="195"/>
      <c r="B175" s="195"/>
      <c r="C175" s="196" t="s">
        <v>222</v>
      </c>
      <c r="D175" s="140">
        <f t="shared" ref="D175:AE175" si="102">D174/D170</f>
        <v>0.46975807281385384</v>
      </c>
      <c r="E175" s="140">
        <f t="shared" si="102"/>
        <v>0.43671630093866448</v>
      </c>
      <c r="F175" s="140">
        <f t="shared" si="102"/>
        <v>0.49614192544872504</v>
      </c>
      <c r="G175" s="140">
        <f t="shared" si="102"/>
        <v>0.42071505212508314</v>
      </c>
      <c r="H175" s="140">
        <f t="shared" si="102"/>
        <v>0.45708912158856974</v>
      </c>
      <c r="I175" s="140">
        <f t="shared" si="102"/>
        <v>0.4965145865302647</v>
      </c>
      <c r="J175" s="140">
        <f t="shared" si="102"/>
        <v>0.47551982468779935</v>
      </c>
      <c r="K175" s="140">
        <f t="shared" si="102"/>
        <v>0.5218117532202331</v>
      </c>
      <c r="L175" s="140">
        <f t="shared" si="102"/>
        <v>0.53621021705521144</v>
      </c>
      <c r="M175" s="140">
        <f t="shared" si="102"/>
        <v>0.50885754787720505</v>
      </c>
      <c r="N175" s="140">
        <f t="shared" si="102"/>
        <v>0.54015782218801744</v>
      </c>
      <c r="O175" s="140">
        <f t="shared" si="102"/>
        <v>0.50400304480528224</v>
      </c>
      <c r="P175" s="140">
        <f t="shared" si="102"/>
        <v>0.52417411923371848</v>
      </c>
      <c r="Q175" s="140">
        <f t="shared" si="102"/>
        <v>0.52571675903744086</v>
      </c>
      <c r="R175" s="140">
        <f t="shared" si="102"/>
        <v>0.5186466111537289</v>
      </c>
      <c r="S175" s="140">
        <f t="shared" si="102"/>
        <v>0.61061469461355022</v>
      </c>
      <c r="T175" s="140">
        <f t="shared" si="102"/>
        <v>0.57300487880955597</v>
      </c>
      <c r="U175" s="140">
        <f t="shared" si="102"/>
        <v>0.56695306860912298</v>
      </c>
      <c r="V175" s="140">
        <f t="shared" si="102"/>
        <v>0.50814106521113112</v>
      </c>
      <c r="W175" s="140">
        <f t="shared" si="102"/>
        <v>0.56359816678751429</v>
      </c>
      <c r="X175" s="140">
        <f t="shared" si="102"/>
        <v>0.50639546623464404</v>
      </c>
      <c r="Y175" s="140">
        <f t="shared" si="102"/>
        <v>0.4813172530244893</v>
      </c>
      <c r="Z175" s="140">
        <f t="shared" si="102"/>
        <v>0.49924206179536712</v>
      </c>
      <c r="AA175" s="140">
        <f t="shared" si="102"/>
        <v>0.46785716933656729</v>
      </c>
      <c r="AB175" s="140">
        <f t="shared" si="102"/>
        <v>0.48843186355867779</v>
      </c>
      <c r="AC175" s="140">
        <f t="shared" si="102"/>
        <v>0.46975977191964735</v>
      </c>
      <c r="AD175" s="140">
        <f t="shared" si="102"/>
        <v>0.47055723621335338</v>
      </c>
      <c r="AE175" s="140">
        <f t="shared" si="102"/>
        <v>0.497507719994981</v>
      </c>
      <c r="AF175" s="195"/>
      <c r="AG175" s="195"/>
      <c r="AH175" s="195"/>
      <c r="AI175" s="195"/>
      <c r="AJ175" s="195"/>
      <c r="AK175" s="195"/>
      <c r="AL175" s="195"/>
      <c r="AM175" s="195"/>
      <c r="AN175" s="176"/>
      <c r="AO175" s="195"/>
      <c r="AP175" s="195"/>
      <c r="AQ175" s="195"/>
      <c r="AR175" s="195"/>
      <c r="AS175" s="195"/>
      <c r="AT175" s="195"/>
      <c r="AU175" s="195"/>
      <c r="AV175" s="195"/>
      <c r="AW175" s="195"/>
      <c r="AX175" s="195"/>
      <c r="AY175" s="195"/>
      <c r="AZ175" s="195"/>
      <c r="BA175" s="195"/>
      <c r="BB175" s="195"/>
      <c r="BC175" s="195"/>
      <c r="BD175" s="195"/>
      <c r="BE175" s="195"/>
      <c r="BF175" s="195"/>
      <c r="BG175" s="195"/>
    </row>
    <row r="176" spans="1:59" ht="15.75" customHeight="1" x14ac:dyDescent="0.2">
      <c r="A176" s="190"/>
      <c r="B176" s="190"/>
      <c r="C176" s="190" t="s">
        <v>241</v>
      </c>
      <c r="D176" s="140" t="s">
        <v>146</v>
      </c>
      <c r="E176" s="140" t="s">
        <v>146</v>
      </c>
      <c r="F176" s="140" t="s">
        <v>146</v>
      </c>
      <c r="G176" s="140" t="s">
        <v>146</v>
      </c>
      <c r="H176" s="140" t="s">
        <v>146</v>
      </c>
      <c r="I176" s="140">
        <f t="shared" ref="I176:AE176" si="103">I174/D174-1</f>
        <v>6.9947947325412319E-2</v>
      </c>
      <c r="J176" s="140">
        <f t="shared" si="103"/>
        <v>0.10855949981831148</v>
      </c>
      <c r="K176" s="140">
        <f t="shared" si="103"/>
        <v>-2.6850775666462767E-2</v>
      </c>
      <c r="L176" s="140">
        <f t="shared" si="103"/>
        <v>0.30124549121066857</v>
      </c>
      <c r="M176" s="140">
        <f t="shared" si="103"/>
        <v>0.10322681019239521</v>
      </c>
      <c r="N176" s="140">
        <f t="shared" si="103"/>
        <v>0.1691967266001444</v>
      </c>
      <c r="O176" s="140">
        <f t="shared" si="103"/>
        <v>0.10861906539393762</v>
      </c>
      <c r="P176" s="140">
        <f t="shared" si="103"/>
        <v>-7.9162722648138395E-3</v>
      </c>
      <c r="Q176" s="140">
        <f t="shared" si="103"/>
        <v>-2.746381856037039E-2</v>
      </c>
      <c r="R176" s="140">
        <f t="shared" si="103"/>
        <v>4.241265864872612E-2</v>
      </c>
      <c r="S176" s="140">
        <f t="shared" si="103"/>
        <v>0.2633123080032429</v>
      </c>
      <c r="T176" s="140">
        <f t="shared" si="103"/>
        <v>0.31385687938187634</v>
      </c>
      <c r="U176" s="140">
        <f t="shared" si="103"/>
        <v>0.18511947097306125</v>
      </c>
      <c r="V176" s="140">
        <f t="shared" si="103"/>
        <v>0.10954271102867152</v>
      </c>
      <c r="W176" s="140">
        <f t="shared" si="103"/>
        <v>0.22675284611996749</v>
      </c>
      <c r="X176" s="140">
        <f t="shared" si="103"/>
        <v>-0.18294237281096659</v>
      </c>
      <c r="Y176" s="140">
        <f t="shared" si="103"/>
        <v>-0.16452409662607348</v>
      </c>
      <c r="Z176" s="140">
        <f t="shared" si="103"/>
        <v>-8.3976363661342424E-2</v>
      </c>
      <c r="AA176" s="140">
        <f t="shared" si="103"/>
        <v>-8.6503534484188016E-2</v>
      </c>
      <c r="AB176" s="140">
        <f t="shared" si="103"/>
        <v>-0.13066709028938195</v>
      </c>
      <c r="AC176" s="140">
        <f t="shared" si="103"/>
        <v>-2.4195169434789054E-2</v>
      </c>
      <c r="AD176" s="140">
        <f t="shared" si="103"/>
        <v>4.1974405846843643E-2</v>
      </c>
      <c r="AE176" s="140">
        <f t="shared" si="103"/>
        <v>0.10367287718019425</v>
      </c>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row>
    <row r="177" spans="1:59" ht="15.75" customHeight="1" x14ac:dyDescent="0.2">
      <c r="A177" s="189"/>
      <c r="B177" s="189"/>
      <c r="C177" s="190"/>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89"/>
      <c r="AG177" s="189"/>
      <c r="AH177" s="189"/>
      <c r="AI177" s="189"/>
      <c r="AJ177" s="189"/>
      <c r="AK177" s="189"/>
      <c r="AL177" s="189"/>
      <c r="AM177" s="189"/>
      <c r="AN177" s="147"/>
      <c r="AO177" s="189"/>
      <c r="AP177" s="189"/>
      <c r="AQ177" s="189"/>
      <c r="AR177" s="189"/>
      <c r="AS177" s="189"/>
      <c r="AT177" s="189"/>
      <c r="AU177" s="189"/>
      <c r="AV177" s="189"/>
      <c r="AW177" s="189"/>
      <c r="AX177" s="189"/>
      <c r="AY177" s="189"/>
      <c r="AZ177" s="189"/>
      <c r="BA177" s="189"/>
      <c r="BB177" s="189"/>
      <c r="BC177" s="189"/>
      <c r="BD177" s="189"/>
      <c r="BE177" s="189"/>
      <c r="BF177" s="189"/>
      <c r="BG177" s="189"/>
    </row>
    <row r="178" spans="1:59" ht="15.75" customHeight="1" x14ac:dyDescent="0.2">
      <c r="A178" s="189"/>
      <c r="B178" s="189"/>
      <c r="C178" s="190" t="s">
        <v>242</v>
      </c>
      <c r="D178" s="172">
        <f t="shared" ref="D178:AE178" si="104">D181-D174</f>
        <v>-16.776713192323484</v>
      </c>
      <c r="E178" s="172">
        <f t="shared" si="104"/>
        <v>-17.790963568723512</v>
      </c>
      <c r="F178" s="172">
        <f t="shared" si="104"/>
        <v>-18.011990777052404</v>
      </c>
      <c r="G178" s="172">
        <f t="shared" si="104"/>
        <v>-18.332010371707483</v>
      </c>
      <c r="H178" s="172">
        <f t="shared" si="104"/>
        <v>-70.911677909806883</v>
      </c>
      <c r="I178" s="172">
        <f t="shared" si="104"/>
        <v>-24.995797460000013</v>
      </c>
      <c r="J178" s="172">
        <f t="shared" si="104"/>
        <v>-24.648493120000012</v>
      </c>
      <c r="K178" s="172">
        <f t="shared" si="104"/>
        <v>-24.100485809999995</v>
      </c>
      <c r="L178" s="172">
        <f t="shared" si="104"/>
        <v>-23.692846469999992</v>
      </c>
      <c r="M178" s="172">
        <f t="shared" si="104"/>
        <v>-97.437622859999976</v>
      </c>
      <c r="N178" s="172">
        <f t="shared" si="104"/>
        <v>-24.234056811859986</v>
      </c>
      <c r="O178" s="172">
        <f t="shared" si="104"/>
        <v>-25.243296054999981</v>
      </c>
      <c r="P178" s="172">
        <f t="shared" si="104"/>
        <v>-24.796133513349005</v>
      </c>
      <c r="Q178" s="172">
        <f t="shared" si="104"/>
        <v>-25.99546292639593</v>
      </c>
      <c r="R178" s="172">
        <f t="shared" si="104"/>
        <v>-96.903405240000012</v>
      </c>
      <c r="S178" s="172">
        <f t="shared" si="104"/>
        <v>-28.479328360000011</v>
      </c>
      <c r="T178" s="172">
        <f t="shared" si="104"/>
        <v>-29.944790179999998</v>
      </c>
      <c r="U178" s="172">
        <f t="shared" si="104"/>
        <v>-29.263522099999989</v>
      </c>
      <c r="V178" s="172">
        <f t="shared" si="104"/>
        <v>-29.068045949999998</v>
      </c>
      <c r="W178" s="172">
        <f t="shared" si="104"/>
        <v>-116.75568659000004</v>
      </c>
      <c r="X178" s="172">
        <f t="shared" si="104"/>
        <v>-29.825189809999998</v>
      </c>
      <c r="Y178" s="172">
        <f t="shared" si="104"/>
        <v>-30.446281250000006</v>
      </c>
      <c r="Z178" s="172">
        <f t="shared" si="104"/>
        <v>-30.370419429999998</v>
      </c>
      <c r="AA178" s="172">
        <f t="shared" si="104"/>
        <v>-31.09328167999999</v>
      </c>
      <c r="AB178" s="172">
        <f t="shared" si="104"/>
        <v>-121.73517216999994</v>
      </c>
      <c r="AC178" s="172">
        <f t="shared" si="104"/>
        <v>-31.157151010000007</v>
      </c>
      <c r="AD178" s="172">
        <f t="shared" si="104"/>
        <v>-31.565392941510488</v>
      </c>
      <c r="AE178" s="172">
        <f t="shared" si="104"/>
        <v>-30.682719949999992</v>
      </c>
      <c r="AF178" s="189"/>
      <c r="AG178" s="189"/>
      <c r="AH178" s="189"/>
      <c r="AI178" s="189"/>
      <c r="AJ178" s="189"/>
      <c r="AK178" s="189"/>
      <c r="AL178" s="189"/>
      <c r="AM178" s="189"/>
      <c r="AN178" s="147"/>
      <c r="AO178" s="189"/>
      <c r="AP178" s="189"/>
      <c r="AQ178" s="189"/>
      <c r="AR178" s="189"/>
      <c r="AS178" s="189"/>
      <c r="AT178" s="189"/>
      <c r="AU178" s="189"/>
      <c r="AV178" s="189"/>
      <c r="AW178" s="189"/>
      <c r="AX178" s="189"/>
      <c r="AY178" s="189"/>
      <c r="AZ178" s="189"/>
      <c r="BA178" s="189"/>
      <c r="BB178" s="189"/>
      <c r="BC178" s="189"/>
      <c r="BD178" s="189"/>
      <c r="BE178" s="189"/>
      <c r="BF178" s="189"/>
      <c r="BG178" s="189"/>
    </row>
    <row r="179" spans="1:59" ht="15.75" customHeight="1" x14ac:dyDescent="0.2">
      <c r="A179" s="189"/>
      <c r="B179" s="189"/>
      <c r="C179" s="190" t="s">
        <v>243</v>
      </c>
      <c r="D179" s="140" t="s">
        <v>146</v>
      </c>
      <c r="E179" s="140" t="s">
        <v>146</v>
      </c>
      <c r="F179" s="140" t="s">
        <v>146</v>
      </c>
      <c r="G179" s="140" t="s">
        <v>146</v>
      </c>
      <c r="H179" s="140" t="s">
        <v>146</v>
      </c>
      <c r="I179" s="140">
        <f t="shared" ref="I179:AE179" si="105">I178/D178-1</f>
        <v>0.48991028060474529</v>
      </c>
      <c r="J179" s="140">
        <f t="shared" si="105"/>
        <v>0.38545014859858551</v>
      </c>
      <c r="K179" s="140">
        <f t="shared" si="105"/>
        <v>0.33802454755331324</v>
      </c>
      <c r="L179" s="140">
        <f t="shared" si="105"/>
        <v>0.29243034394995204</v>
      </c>
      <c r="M179" s="140">
        <f t="shared" si="105"/>
        <v>0.3740701917099134</v>
      </c>
      <c r="N179" s="140">
        <f t="shared" si="105"/>
        <v>-3.0474748779630523E-2</v>
      </c>
      <c r="O179" s="140">
        <f t="shared" si="105"/>
        <v>2.4131411689314985E-2</v>
      </c>
      <c r="P179" s="140">
        <f t="shared" si="105"/>
        <v>2.8864468078911854E-2</v>
      </c>
      <c r="Q179" s="140">
        <f t="shared" si="105"/>
        <v>9.7186146852870747E-2</v>
      </c>
      <c r="R179" s="140">
        <f t="shared" si="105"/>
        <v>-5.4826626955744029E-3</v>
      </c>
      <c r="S179" s="140">
        <f t="shared" si="105"/>
        <v>0.17517791515873715</v>
      </c>
      <c r="T179" s="140">
        <f t="shared" si="105"/>
        <v>0.1862472362862766</v>
      </c>
      <c r="U179" s="140">
        <f t="shared" si="105"/>
        <v>0.18016472544987572</v>
      </c>
      <c r="V179" s="140">
        <f t="shared" si="105"/>
        <v>0.11819689583154713</v>
      </c>
      <c r="W179" s="140">
        <f t="shared" si="105"/>
        <v>0.20486670515687266</v>
      </c>
      <c r="X179" s="140">
        <f t="shared" si="105"/>
        <v>4.7257485604551119E-2</v>
      </c>
      <c r="Y179" s="140">
        <f t="shared" si="105"/>
        <v>1.6747189310244437E-2</v>
      </c>
      <c r="Z179" s="140">
        <f t="shared" si="105"/>
        <v>3.7825157416714772E-2</v>
      </c>
      <c r="AA179" s="140">
        <f t="shared" si="105"/>
        <v>6.9672235054382581E-2</v>
      </c>
      <c r="AB179" s="140">
        <f t="shared" si="105"/>
        <v>4.2648762774920801E-2</v>
      </c>
      <c r="AC179" s="140">
        <f t="shared" si="105"/>
        <v>4.4658934561194963E-2</v>
      </c>
      <c r="AD179" s="140">
        <f t="shared" si="105"/>
        <v>3.6756925495144976E-2</v>
      </c>
      <c r="AE179" s="140">
        <f t="shared" si="105"/>
        <v>1.028304929142676E-2</v>
      </c>
      <c r="AF179" s="189"/>
      <c r="AG179" s="189"/>
      <c r="AH179" s="189"/>
      <c r="AI179" s="189"/>
      <c r="AJ179" s="189"/>
      <c r="AK179" s="189"/>
      <c r="AL179" s="189"/>
      <c r="AM179" s="189"/>
      <c r="AN179" s="147"/>
      <c r="AO179" s="189"/>
      <c r="AP179" s="189"/>
      <c r="AQ179" s="189"/>
      <c r="AR179" s="189"/>
      <c r="AS179" s="189"/>
      <c r="AT179" s="189"/>
      <c r="AU179" s="189"/>
      <c r="AV179" s="189"/>
      <c r="AW179" s="189"/>
      <c r="AX179" s="189"/>
      <c r="AY179" s="189"/>
      <c r="AZ179" s="189"/>
      <c r="BA179" s="189"/>
      <c r="BB179" s="189"/>
      <c r="BC179" s="189"/>
      <c r="BD179" s="189"/>
      <c r="BE179" s="189"/>
      <c r="BF179" s="189"/>
      <c r="BG179" s="189"/>
    </row>
    <row r="180" spans="1:59" ht="15.75" customHeight="1" x14ac:dyDescent="0.2">
      <c r="A180" s="189"/>
      <c r="B180" s="189"/>
      <c r="C180" s="190"/>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89"/>
      <c r="AG180" s="189"/>
      <c r="AH180" s="189"/>
      <c r="AI180" s="189"/>
      <c r="AJ180" s="189"/>
      <c r="AK180" s="189"/>
      <c r="AL180" s="189"/>
      <c r="AM180" s="189"/>
      <c r="AN180" s="147"/>
      <c r="AO180" s="189"/>
      <c r="AP180" s="189"/>
      <c r="AQ180" s="189"/>
      <c r="AR180" s="189"/>
      <c r="AS180" s="189"/>
      <c r="AT180" s="189"/>
      <c r="AU180" s="189"/>
      <c r="AV180" s="189"/>
      <c r="AW180" s="189"/>
      <c r="AX180" s="189"/>
      <c r="AY180" s="189"/>
      <c r="AZ180" s="189"/>
      <c r="BA180" s="189"/>
      <c r="BB180" s="189"/>
      <c r="BC180" s="189"/>
      <c r="BD180" s="189"/>
      <c r="BE180" s="189"/>
      <c r="BF180" s="189"/>
      <c r="BG180" s="189"/>
    </row>
    <row r="181" spans="1:59" ht="15.75" customHeight="1" x14ac:dyDescent="0.2">
      <c r="A181" s="189"/>
      <c r="B181" s="189"/>
      <c r="C181" s="190" t="s">
        <v>190</v>
      </c>
      <c r="D181" s="172">
        <v>54.614537196017523</v>
      </c>
      <c r="E181" s="172">
        <v>49.11373625312261</v>
      </c>
      <c r="F181" s="172">
        <v>76.757931413617399</v>
      </c>
      <c r="G181" s="172">
        <v>54.118125391903803</v>
      </c>
      <c r="H181" s="172">
        <v>234.60433025466131</v>
      </c>
      <c r="I181" s="172">
        <v>51.389124349999996</v>
      </c>
      <c r="J181" s="172">
        <v>49.519347449999998</v>
      </c>
      <c r="K181" s="172">
        <v>68.12479046</v>
      </c>
      <c r="L181" s="172">
        <v>70.58256603000001</v>
      </c>
      <c r="M181" s="172">
        <v>239.61582829000002</v>
      </c>
      <c r="N181" s="172">
        <v>65.074943730000001</v>
      </c>
      <c r="O181" s="172">
        <v>56.980586039999999</v>
      </c>
      <c r="P181" s="172">
        <v>66.699062359999999</v>
      </c>
      <c r="Q181" s="172">
        <v>65.690786750000001</v>
      </c>
      <c r="R181" s="172">
        <v>254.44537887999999</v>
      </c>
      <c r="S181" s="172">
        <v>84.345831239999995</v>
      </c>
      <c r="T181" s="172">
        <v>78.085622960000009</v>
      </c>
      <c r="U181" s="172">
        <v>79.169216030000001</v>
      </c>
      <c r="V181" s="172">
        <v>72.661764079999998</v>
      </c>
      <c r="W181" s="172">
        <f>SUM(S181:V181)</f>
        <v>314.26243431</v>
      </c>
      <c r="X181" s="172">
        <v>62.359467379999998</v>
      </c>
      <c r="Y181" s="172">
        <v>59.810525759999997</v>
      </c>
      <c r="Z181" s="172">
        <v>68.956531650000002</v>
      </c>
      <c r="AA181" s="172">
        <v>61.836540220000003</v>
      </c>
      <c r="AB181" s="172">
        <f>SUM(X181:AA181)</f>
        <v>252.96306501000004</v>
      </c>
      <c r="AC181" s="172">
        <v>58.797082779999997</v>
      </c>
      <c r="AD181" s="172">
        <v>62.479889916367505</v>
      </c>
      <c r="AE181" s="172">
        <v>78.941741930000006</v>
      </c>
      <c r="AF181" s="189"/>
      <c r="AG181" s="189"/>
      <c r="AH181" s="189"/>
      <c r="AI181" s="189"/>
      <c r="AJ181" s="189"/>
      <c r="AK181" s="189"/>
      <c r="AL181" s="189"/>
      <c r="AM181" s="189"/>
      <c r="AN181" s="195"/>
      <c r="AO181" s="189"/>
      <c r="AP181" s="189"/>
      <c r="AQ181" s="189"/>
      <c r="AR181" s="189"/>
      <c r="AS181" s="189"/>
      <c r="AT181" s="189"/>
      <c r="AU181" s="189"/>
      <c r="AV181" s="189"/>
      <c r="AW181" s="189"/>
      <c r="AX181" s="189"/>
      <c r="AY181" s="189"/>
      <c r="AZ181" s="189"/>
      <c r="BA181" s="189"/>
      <c r="BB181" s="189"/>
      <c r="BC181" s="189"/>
      <c r="BD181" s="189"/>
      <c r="BE181" s="189"/>
      <c r="BF181" s="189"/>
      <c r="BG181" s="189"/>
    </row>
    <row r="182" spans="1:59" ht="15.75" customHeight="1" x14ac:dyDescent="0.2">
      <c r="A182" s="195"/>
      <c r="B182" s="195"/>
      <c r="C182" s="196" t="s">
        <v>244</v>
      </c>
      <c r="D182" s="140">
        <f t="shared" ref="D182:AE182" si="106">D181/D170</f>
        <v>0.3593664433843784</v>
      </c>
      <c r="E182" s="140">
        <f t="shared" si="106"/>
        <v>0.3205868837145176</v>
      </c>
      <c r="F182" s="140">
        <f t="shared" si="106"/>
        <v>0.40184508971521143</v>
      </c>
      <c r="G182" s="140">
        <f t="shared" si="106"/>
        <v>0.3142617982035884</v>
      </c>
      <c r="H182" s="140">
        <f t="shared" si="106"/>
        <v>0.35099662332341702</v>
      </c>
      <c r="I182" s="140">
        <f t="shared" si="106"/>
        <v>0.33403778159595138</v>
      </c>
      <c r="J182" s="140">
        <f t="shared" si="106"/>
        <v>0.31748843214403727</v>
      </c>
      <c r="K182" s="140">
        <f t="shared" si="106"/>
        <v>0.38545090657816916</v>
      </c>
      <c r="L182" s="140">
        <f t="shared" si="106"/>
        <v>0.40145242590436925</v>
      </c>
      <c r="M182" s="140">
        <f t="shared" si="106"/>
        <v>0.36175366963369787</v>
      </c>
      <c r="N182" s="140">
        <f t="shared" si="106"/>
        <v>0.39358563718030964</v>
      </c>
      <c r="O182" s="140">
        <f t="shared" si="106"/>
        <v>0.34927065138773983</v>
      </c>
      <c r="P182" s="140">
        <f t="shared" si="106"/>
        <v>0.38211757385233031</v>
      </c>
      <c r="Q182" s="140">
        <f t="shared" si="106"/>
        <v>0.37666223267631838</v>
      </c>
      <c r="R182" s="140">
        <f t="shared" si="106"/>
        <v>0.37560179355784068</v>
      </c>
      <c r="S182" s="140">
        <f t="shared" si="106"/>
        <v>0.45648332488189669</v>
      </c>
      <c r="T182" s="140">
        <f t="shared" si="106"/>
        <v>0.41417450531249062</v>
      </c>
      <c r="U182" s="140">
        <f t="shared" si="106"/>
        <v>0.41394537057409891</v>
      </c>
      <c r="V182" s="140">
        <f t="shared" si="106"/>
        <v>0.36294598592922489</v>
      </c>
      <c r="W182" s="140">
        <f t="shared" si="106"/>
        <v>0.41092873658643808</v>
      </c>
      <c r="X182" s="140">
        <f t="shared" si="106"/>
        <v>0.34255756348861005</v>
      </c>
      <c r="Y182" s="140">
        <f t="shared" si="106"/>
        <v>0.31895475714717125</v>
      </c>
      <c r="Z182" s="140">
        <f t="shared" si="106"/>
        <v>0.3465927491066958</v>
      </c>
      <c r="AA182" s="140">
        <f t="shared" si="106"/>
        <v>0.31131737990445885</v>
      </c>
      <c r="AB182" s="140">
        <f t="shared" si="106"/>
        <v>0.32974593684836317</v>
      </c>
      <c r="AC182" s="140">
        <f t="shared" si="106"/>
        <v>0.3070506304434103</v>
      </c>
      <c r="AD182" s="140">
        <f t="shared" si="106"/>
        <v>0.31261923431492605</v>
      </c>
      <c r="AE182" s="140">
        <f t="shared" si="106"/>
        <v>0.35826060503738455</v>
      </c>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row>
    <row r="183" spans="1:59" ht="15.75" customHeight="1" x14ac:dyDescent="0.2">
      <c r="A183" s="189"/>
      <c r="B183" s="189"/>
      <c r="C183" s="190" t="s">
        <v>245</v>
      </c>
      <c r="D183" s="140" t="s">
        <v>146</v>
      </c>
      <c r="E183" s="140" t="s">
        <v>146</v>
      </c>
      <c r="F183" s="140" t="s">
        <v>146</v>
      </c>
      <c r="G183" s="140" t="s">
        <v>146</v>
      </c>
      <c r="H183" s="140" t="s">
        <v>146</v>
      </c>
      <c r="I183" s="140">
        <f t="shared" ref="I183:AE183" si="107">I181/D181-1</f>
        <v>-5.9057771275094151E-2</v>
      </c>
      <c r="J183" s="140">
        <f t="shared" si="107"/>
        <v>8.2586100716701694E-3</v>
      </c>
      <c r="K183" s="140">
        <f t="shared" si="107"/>
        <v>-0.11247229823191696</v>
      </c>
      <c r="L183" s="140">
        <f t="shared" si="107"/>
        <v>0.30423154015159826</v>
      </c>
      <c r="M183" s="140">
        <f t="shared" si="107"/>
        <v>2.1361489917508303E-2</v>
      </c>
      <c r="N183" s="140">
        <f t="shared" si="107"/>
        <v>0.26631742714253903</v>
      </c>
      <c r="O183" s="140">
        <f t="shared" si="107"/>
        <v>0.15067320096521186</v>
      </c>
      <c r="P183" s="140">
        <f t="shared" si="107"/>
        <v>-2.09281832703343E-2</v>
      </c>
      <c r="Q183" s="140">
        <f t="shared" si="107"/>
        <v>-6.9305772730348658E-2</v>
      </c>
      <c r="R183" s="140">
        <f t="shared" si="107"/>
        <v>6.1888860580830318E-2</v>
      </c>
      <c r="S183" s="140">
        <f t="shared" si="107"/>
        <v>0.29613375602683734</v>
      </c>
      <c r="T183" s="140">
        <f t="shared" si="107"/>
        <v>0.37038995887449122</v>
      </c>
      <c r="U183" s="140">
        <f t="shared" si="107"/>
        <v>0.1869614538611335</v>
      </c>
      <c r="V183" s="140">
        <f t="shared" si="107"/>
        <v>0.10611803686458354</v>
      </c>
      <c r="W183" s="140">
        <f t="shared" si="107"/>
        <v>0.23508800078546743</v>
      </c>
      <c r="X183" s="140">
        <f t="shared" si="107"/>
        <v>-0.2606692415827806</v>
      </c>
      <c r="Y183" s="140">
        <f t="shared" si="107"/>
        <v>-0.23403920603107153</v>
      </c>
      <c r="Z183" s="140">
        <f t="shared" si="107"/>
        <v>-0.12899817494883437</v>
      </c>
      <c r="AA183" s="140">
        <f t="shared" si="107"/>
        <v>-0.14898102182162154</v>
      </c>
      <c r="AB183" s="140">
        <f t="shared" si="107"/>
        <v>-0.19505789622800418</v>
      </c>
      <c r="AC183" s="140">
        <f t="shared" si="107"/>
        <v>-5.7126604021357164E-2</v>
      </c>
      <c r="AD183" s="140">
        <f t="shared" si="107"/>
        <v>4.4630340938295543E-2</v>
      </c>
      <c r="AE183" s="140">
        <f t="shared" si="107"/>
        <v>0.14480441578299708</v>
      </c>
      <c r="AF183" s="189"/>
      <c r="AG183" s="189"/>
      <c r="AH183" s="189"/>
      <c r="AI183" s="189"/>
      <c r="AJ183" s="189"/>
      <c r="AK183" s="189"/>
      <c r="AL183" s="189"/>
      <c r="AM183" s="189"/>
      <c r="AN183" s="195"/>
      <c r="AO183" s="189"/>
      <c r="AP183" s="189"/>
      <c r="AQ183" s="189"/>
      <c r="AR183" s="189"/>
      <c r="AS183" s="189"/>
      <c r="AT183" s="189"/>
      <c r="AU183" s="189"/>
      <c r="AV183" s="189"/>
      <c r="AW183" s="189"/>
      <c r="AX183" s="189"/>
      <c r="AY183" s="189"/>
      <c r="AZ183" s="189"/>
      <c r="BA183" s="189"/>
      <c r="BB183" s="189"/>
      <c r="BC183" s="189"/>
      <c r="BD183" s="189"/>
      <c r="BE183" s="189"/>
      <c r="BF183" s="189"/>
      <c r="BG183" s="189"/>
    </row>
    <row r="184" spans="1:59" ht="15.75" customHeight="1" x14ac:dyDescent="0.2">
      <c r="A184" s="189"/>
      <c r="B184" s="189"/>
      <c r="C184" s="190" t="s">
        <v>246</v>
      </c>
      <c r="D184" s="172">
        <v>8.4116525699999976</v>
      </c>
      <c r="E184" s="172">
        <v>10.997611050000001</v>
      </c>
      <c r="F184" s="172">
        <v>8.0666841900000001</v>
      </c>
      <c r="G184" s="172">
        <v>49.044311010000001</v>
      </c>
      <c r="H184" s="172">
        <f>SUM(D184:G184)</f>
        <v>76.520258819999995</v>
      </c>
      <c r="I184" s="172">
        <v>58.54052489</v>
      </c>
      <c r="J184" s="172">
        <v>56.83265437</v>
      </c>
      <c r="K184" s="172">
        <v>72.185164149999991</v>
      </c>
      <c r="L184" s="172">
        <v>58.781831139999994</v>
      </c>
      <c r="M184" s="172">
        <f>SUM(I184:L184)</f>
        <v>246.34017454999997</v>
      </c>
      <c r="N184" s="172">
        <v>57.7</v>
      </c>
      <c r="O184" s="172">
        <v>132.00011524000001</v>
      </c>
      <c r="P184" s="172">
        <v>20.990084899999999</v>
      </c>
      <c r="Q184" s="172">
        <v>32.607661449999995</v>
      </c>
      <c r="R184" s="172">
        <f>SUM(N184:Q184)</f>
        <v>243.29786159</v>
      </c>
      <c r="S184" s="172">
        <v>15.051717760000001</v>
      </c>
      <c r="T184" s="172">
        <v>8.8725461299999999</v>
      </c>
      <c r="U184" s="172">
        <v>12.477934440000002</v>
      </c>
      <c r="V184" s="172">
        <v>19.288367390000001</v>
      </c>
      <c r="W184" s="172">
        <f>SUM(S184:V184)</f>
        <v>55.690565720000009</v>
      </c>
      <c r="X184" s="172">
        <v>9.1916069799999995</v>
      </c>
      <c r="Y184" s="172">
        <v>9.5233290999999998</v>
      </c>
      <c r="Z184" s="172">
        <v>28.48308364</v>
      </c>
      <c r="AA184" s="172">
        <v>24.693720970000001</v>
      </c>
      <c r="AB184" s="172">
        <f>SUM(X184:AA184)</f>
        <v>71.891740690000006</v>
      </c>
      <c r="AC184" s="172">
        <v>28.02785501</v>
      </c>
      <c r="AD184" s="172">
        <v>29.698435259999997</v>
      </c>
      <c r="AE184" s="172">
        <v>21.505002279999999</v>
      </c>
      <c r="AF184" s="189"/>
      <c r="AG184" s="189"/>
      <c r="AH184" s="189"/>
      <c r="AI184" s="189"/>
      <c r="AJ184" s="189"/>
      <c r="AK184" s="189"/>
      <c r="AL184" s="189"/>
      <c r="AM184" s="189"/>
      <c r="AN184" s="147"/>
      <c r="AO184" s="189"/>
      <c r="AP184" s="189"/>
      <c r="AQ184" s="189"/>
      <c r="AR184" s="189"/>
      <c r="AS184" s="189"/>
      <c r="AT184" s="189"/>
      <c r="AU184" s="189"/>
      <c r="AV184" s="189"/>
      <c r="AW184" s="189"/>
      <c r="AX184" s="189"/>
      <c r="AY184" s="189"/>
      <c r="AZ184" s="189"/>
      <c r="BA184" s="189"/>
      <c r="BB184" s="189"/>
      <c r="BC184" s="189"/>
      <c r="BD184" s="189"/>
      <c r="BE184" s="189"/>
      <c r="BF184" s="189"/>
      <c r="BG184" s="189"/>
    </row>
    <row r="185" spans="1:59" ht="15.75" customHeight="1" x14ac:dyDescent="0.2">
      <c r="A185" s="84"/>
      <c r="B185" s="84"/>
      <c r="C185" s="190" t="s">
        <v>247</v>
      </c>
      <c r="D185" s="140" t="s">
        <v>146</v>
      </c>
      <c r="E185" s="140" t="s">
        <v>146</v>
      </c>
      <c r="F185" s="140" t="s">
        <v>146</v>
      </c>
      <c r="G185" s="140" t="s">
        <v>146</v>
      </c>
      <c r="H185" s="140" t="s">
        <v>146</v>
      </c>
      <c r="I185" s="140">
        <f t="shared" ref="I185:AE185" si="108">I184/D184-1</f>
        <v>5.9594558741980972</v>
      </c>
      <c r="J185" s="140">
        <f t="shared" si="108"/>
        <v>4.1677272556388498</v>
      </c>
      <c r="K185" s="140">
        <f t="shared" si="108"/>
        <v>7.9485546291108733</v>
      </c>
      <c r="L185" s="140">
        <f t="shared" si="108"/>
        <v>0.19854535479180324</v>
      </c>
      <c r="M185" s="140">
        <f t="shared" si="108"/>
        <v>2.2192804670129314</v>
      </c>
      <c r="N185" s="140">
        <f t="shared" si="108"/>
        <v>-1.4358000574463237E-2</v>
      </c>
      <c r="O185" s="140">
        <f t="shared" si="108"/>
        <v>1.3226104200700211</v>
      </c>
      <c r="P185" s="140">
        <f t="shared" si="108"/>
        <v>-0.70921885200146073</v>
      </c>
      <c r="Q185" s="140">
        <f t="shared" si="108"/>
        <v>-0.44527652817860142</v>
      </c>
      <c r="R185" s="140">
        <f t="shared" si="108"/>
        <v>-1.2350047918726625E-2</v>
      </c>
      <c r="S185" s="140">
        <f t="shared" si="108"/>
        <v>-0.73913834038128257</v>
      </c>
      <c r="T185" s="140">
        <f t="shared" si="108"/>
        <v>-0.93278380012117323</v>
      </c>
      <c r="U185" s="140">
        <f t="shared" si="108"/>
        <v>-0.40553196904887212</v>
      </c>
      <c r="V185" s="140">
        <f t="shared" si="108"/>
        <v>-0.40847130605865622</v>
      </c>
      <c r="W185" s="140">
        <f t="shared" si="108"/>
        <v>-0.77110129387882376</v>
      </c>
      <c r="X185" s="140">
        <f t="shared" si="108"/>
        <v>-0.38933169445770954</v>
      </c>
      <c r="Y185" s="140">
        <f t="shared" si="108"/>
        <v>7.3347938738753005E-2</v>
      </c>
      <c r="Z185" s="140">
        <f t="shared" si="108"/>
        <v>1.2826761734452576</v>
      </c>
      <c r="AA185" s="140">
        <f t="shared" si="108"/>
        <v>0.28023904100885133</v>
      </c>
      <c r="AB185" s="140">
        <f t="shared" si="108"/>
        <v>0.2909141747896038</v>
      </c>
      <c r="AC185" s="140">
        <f t="shared" si="108"/>
        <v>2.0492877982039222</v>
      </c>
      <c r="AD185" s="140">
        <f t="shared" si="108"/>
        <v>2.1184930131208</v>
      </c>
      <c r="AE185" s="140">
        <f t="shared" si="108"/>
        <v>-0.24499037562774229</v>
      </c>
      <c r="AF185" s="84"/>
      <c r="AG185" s="84"/>
      <c r="AH185" s="84"/>
      <c r="AI185" s="84"/>
      <c r="AJ185" s="84"/>
      <c r="AK185" s="84"/>
      <c r="AL185" s="84"/>
      <c r="AM185" s="84"/>
      <c r="AN185" s="195"/>
      <c r="AO185" s="84"/>
      <c r="AP185" s="84"/>
      <c r="AQ185" s="84"/>
      <c r="AR185" s="84"/>
      <c r="AS185" s="84"/>
      <c r="AT185" s="84"/>
      <c r="AU185" s="84"/>
      <c r="AV185" s="84"/>
      <c r="AW185" s="84"/>
      <c r="AX185" s="84"/>
      <c r="AY185" s="84"/>
      <c r="AZ185" s="84"/>
      <c r="BA185" s="84"/>
      <c r="BB185" s="84"/>
      <c r="BC185" s="84"/>
      <c r="BD185" s="84"/>
      <c r="BE185" s="84"/>
      <c r="BF185" s="84"/>
      <c r="BG185" s="84"/>
    </row>
    <row r="186" spans="1:59" ht="15.7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195"/>
      <c r="AO186" s="84"/>
      <c r="AP186" s="84"/>
      <c r="AQ186" s="84"/>
      <c r="AR186" s="84"/>
      <c r="AS186" s="84"/>
      <c r="AT186" s="84"/>
      <c r="AU186" s="84"/>
      <c r="AV186" s="84"/>
      <c r="AW186" s="84"/>
      <c r="AX186" s="84"/>
      <c r="AY186" s="84"/>
      <c r="AZ186" s="84"/>
      <c r="BA186" s="84"/>
      <c r="BB186" s="84"/>
      <c r="BC186" s="84"/>
      <c r="BD186" s="84"/>
      <c r="BE186" s="84"/>
      <c r="BF186" s="84"/>
      <c r="BG186" s="84"/>
    </row>
    <row r="187" spans="1:59" ht="15.75" customHeight="1" x14ac:dyDescent="0.2">
      <c r="A187" s="162"/>
      <c r="B187" s="162"/>
      <c r="C187" s="227" t="s">
        <v>27</v>
      </c>
      <c r="D187" s="228" t="s">
        <v>98</v>
      </c>
      <c r="E187" s="228" t="s">
        <v>99</v>
      </c>
      <c r="F187" s="228" t="s">
        <v>100</v>
      </c>
      <c r="G187" s="228" t="s">
        <v>101</v>
      </c>
      <c r="H187" s="229">
        <v>2018</v>
      </c>
      <c r="I187" s="228" t="s">
        <v>102</v>
      </c>
      <c r="J187" s="228" t="s">
        <v>103</v>
      </c>
      <c r="K187" s="228" t="s">
        <v>104</v>
      </c>
      <c r="L187" s="228" t="s">
        <v>105</v>
      </c>
      <c r="M187" s="229">
        <v>2019</v>
      </c>
      <c r="N187" s="228" t="s">
        <v>158</v>
      </c>
      <c r="O187" s="228" t="s">
        <v>107</v>
      </c>
      <c r="P187" s="228" t="s">
        <v>108</v>
      </c>
      <c r="Q187" s="228" t="s">
        <v>109</v>
      </c>
      <c r="R187" s="229">
        <v>2020</v>
      </c>
      <c r="S187" s="228" t="s">
        <v>110</v>
      </c>
      <c r="T187" s="228" t="s">
        <v>111</v>
      </c>
      <c r="U187" s="228" t="s">
        <v>112</v>
      </c>
      <c r="V187" s="228" t="s">
        <v>113</v>
      </c>
      <c r="W187" s="229">
        <v>2021</v>
      </c>
      <c r="X187" s="228" t="s">
        <v>114</v>
      </c>
      <c r="Y187" s="228" t="s">
        <v>115</v>
      </c>
      <c r="Z187" s="228" t="str">
        <f>$Z$4</f>
        <v>3Q22</v>
      </c>
      <c r="AA187" s="228" t="str">
        <f>$AA$4</f>
        <v>4Q22</v>
      </c>
      <c r="AB187" s="229">
        <v>2022</v>
      </c>
      <c r="AC187" s="228" t="str">
        <f t="shared" ref="AC187:AE187" si="109">AC169</f>
        <v>1Q23</v>
      </c>
      <c r="AD187" s="228" t="str">
        <f t="shared" si="109"/>
        <v>2Q23</v>
      </c>
      <c r="AE187" s="228" t="str">
        <f t="shared" si="109"/>
        <v>3Q23</v>
      </c>
      <c r="AF187" s="189"/>
      <c r="AG187" s="189"/>
      <c r="AH187" s="189"/>
      <c r="AI187" s="189"/>
      <c r="AJ187" s="189"/>
      <c r="AK187" s="189"/>
      <c r="AL187" s="189"/>
      <c r="AM187" s="189"/>
      <c r="AN187" s="195"/>
      <c r="AO187" s="189"/>
      <c r="AP187" s="189"/>
      <c r="AQ187" s="189"/>
      <c r="AR187" s="189"/>
      <c r="AS187" s="189"/>
      <c r="AT187" s="189"/>
      <c r="AU187" s="189"/>
      <c r="AV187" s="189"/>
      <c r="AW187" s="189"/>
      <c r="AX187" s="189"/>
      <c r="AY187" s="189"/>
      <c r="AZ187" s="189"/>
      <c r="BA187" s="189"/>
      <c r="BB187" s="189"/>
      <c r="BC187" s="189"/>
      <c r="BD187" s="189"/>
      <c r="BE187" s="189"/>
      <c r="BF187" s="189"/>
      <c r="BG187" s="189"/>
    </row>
    <row r="188" spans="1:59" ht="15.75" customHeight="1" x14ac:dyDescent="0.2">
      <c r="A188" s="189"/>
      <c r="B188" s="189"/>
      <c r="C188" s="190" t="s">
        <v>188</v>
      </c>
      <c r="D188" s="172">
        <f t="shared" ref="D188:AE188" si="110">D64</f>
        <v>17.037530830000001</v>
      </c>
      <c r="E188" s="172">
        <f t="shared" si="110"/>
        <v>19.618133219999997</v>
      </c>
      <c r="F188" s="172">
        <f t="shared" si="110"/>
        <v>20.516277439999996</v>
      </c>
      <c r="G188" s="172">
        <f t="shared" si="110"/>
        <v>18.723955759999999</v>
      </c>
      <c r="H188" s="172">
        <f t="shared" si="110"/>
        <v>75.89589724999999</v>
      </c>
      <c r="I188" s="172">
        <f t="shared" si="110"/>
        <v>19.935042360000001</v>
      </c>
      <c r="J188" s="172">
        <f t="shared" si="110"/>
        <v>24.29726582</v>
      </c>
      <c r="K188" s="172">
        <f t="shared" si="110"/>
        <v>16.690395429999999</v>
      </c>
      <c r="L188" s="172">
        <f t="shared" si="110"/>
        <v>15.021225900000001</v>
      </c>
      <c r="M188" s="172">
        <f t="shared" si="110"/>
        <v>75.943929510000004</v>
      </c>
      <c r="N188" s="172">
        <f t="shared" si="110"/>
        <v>10.329553080000002</v>
      </c>
      <c r="O188" s="172">
        <f t="shared" si="110"/>
        <v>11.880921310000002</v>
      </c>
      <c r="P188" s="172">
        <f t="shared" si="110"/>
        <v>10.68923274</v>
      </c>
      <c r="Q188" s="172">
        <f t="shared" si="110"/>
        <v>8.2146191199999983</v>
      </c>
      <c r="R188" s="172">
        <f t="shared" si="110"/>
        <v>41.114326250000005</v>
      </c>
      <c r="S188" s="172">
        <f t="shared" si="110"/>
        <v>8.0606307299999997</v>
      </c>
      <c r="T188" s="172">
        <f t="shared" si="110"/>
        <v>9.0403167699999987</v>
      </c>
      <c r="U188" s="172">
        <f t="shared" si="110"/>
        <v>9.6838037899999989</v>
      </c>
      <c r="V188" s="172">
        <f t="shared" si="110"/>
        <v>12.290429880000001</v>
      </c>
      <c r="W188" s="172">
        <f t="shared" si="110"/>
        <v>39.075181169999993</v>
      </c>
      <c r="X188" s="172">
        <f t="shared" si="110"/>
        <v>11.50298972</v>
      </c>
      <c r="Y188" s="172">
        <f t="shared" si="110"/>
        <v>11.30552451</v>
      </c>
      <c r="Z188" s="172">
        <f t="shared" si="110"/>
        <v>14.824233939999999</v>
      </c>
      <c r="AA188" s="172">
        <f t="shared" si="110"/>
        <v>17.27783779</v>
      </c>
      <c r="AB188" s="172">
        <f t="shared" si="110"/>
        <v>54.910585959999999</v>
      </c>
      <c r="AC188" s="172">
        <f t="shared" si="110"/>
        <v>22.054679780000001</v>
      </c>
      <c r="AD188" s="172">
        <f t="shared" si="110"/>
        <v>20.168473210000002</v>
      </c>
      <c r="AE188" s="172">
        <f t="shared" si="110"/>
        <v>20.952178910000001</v>
      </c>
      <c r="AF188" s="189"/>
      <c r="AG188" s="189"/>
      <c r="AH188" s="189"/>
      <c r="AI188" s="189"/>
      <c r="AJ188" s="189"/>
      <c r="AK188" s="189"/>
      <c r="AL188" s="189"/>
      <c r="AM188" s="189"/>
      <c r="AN188" s="195"/>
      <c r="AO188" s="189"/>
      <c r="AP188" s="189"/>
      <c r="AQ188" s="189"/>
      <c r="AR188" s="189"/>
      <c r="AS188" s="189"/>
      <c r="AT188" s="189"/>
      <c r="AU188" s="189"/>
      <c r="AV188" s="189"/>
      <c r="AW188" s="189"/>
      <c r="AX188" s="189"/>
      <c r="AY188" s="189"/>
      <c r="AZ188" s="189"/>
      <c r="BA188" s="189"/>
      <c r="BB188" s="189"/>
      <c r="BC188" s="189"/>
      <c r="BD188" s="189"/>
      <c r="BE188" s="189"/>
      <c r="BF188" s="189"/>
      <c r="BG188" s="189"/>
    </row>
    <row r="189" spans="1:59" ht="15.75" customHeight="1" x14ac:dyDescent="0.2">
      <c r="A189" s="190"/>
      <c r="B189" s="190"/>
      <c r="C189" s="190" t="s">
        <v>240</v>
      </c>
      <c r="D189" s="140" t="s">
        <v>146</v>
      </c>
      <c r="E189" s="140" t="s">
        <v>146</v>
      </c>
      <c r="F189" s="140" t="s">
        <v>146</v>
      </c>
      <c r="G189" s="140" t="s">
        <v>146</v>
      </c>
      <c r="H189" s="140" t="s">
        <v>146</v>
      </c>
      <c r="I189" s="140">
        <f t="shared" ref="I189:AE189" si="111">I188/D188-1</f>
        <v>0.1700663998152836</v>
      </c>
      <c r="J189" s="140">
        <f t="shared" si="111"/>
        <v>0.23851059361906013</v>
      </c>
      <c r="K189" s="140">
        <f t="shared" si="111"/>
        <v>-0.18648032135404768</v>
      </c>
      <c r="L189" s="140">
        <f t="shared" si="111"/>
        <v>-0.19775361080002885</v>
      </c>
      <c r="M189" s="140">
        <f t="shared" si="111"/>
        <v>6.3287030973224745E-4</v>
      </c>
      <c r="N189" s="140">
        <f t="shared" si="111"/>
        <v>-0.48183942158425386</v>
      </c>
      <c r="O189" s="140">
        <f t="shared" si="111"/>
        <v>-0.51101817801160299</v>
      </c>
      <c r="P189" s="140">
        <f t="shared" si="111"/>
        <v>-0.35955784961291359</v>
      </c>
      <c r="Q189" s="140">
        <f t="shared" si="111"/>
        <v>-0.4531325755509743</v>
      </c>
      <c r="R189" s="140">
        <f t="shared" si="111"/>
        <v>-0.45862261124391479</v>
      </c>
      <c r="S189" s="140">
        <f t="shared" si="111"/>
        <v>-0.21965348669276619</v>
      </c>
      <c r="T189" s="140">
        <f t="shared" si="111"/>
        <v>-0.23908958454333895</v>
      </c>
      <c r="U189" s="140">
        <f t="shared" si="111"/>
        <v>-9.4059973662805718E-2</v>
      </c>
      <c r="V189" s="140">
        <f t="shared" si="111"/>
        <v>0.49616551911417206</v>
      </c>
      <c r="W189" s="140">
        <f t="shared" si="111"/>
        <v>-4.9596947487373977E-2</v>
      </c>
      <c r="X189" s="140">
        <f t="shared" si="111"/>
        <v>0.42705826694035909</v>
      </c>
      <c r="Y189" s="140">
        <f t="shared" si="111"/>
        <v>0.25056729732270222</v>
      </c>
      <c r="Z189" s="140">
        <f t="shared" si="111"/>
        <v>0.53082758195785384</v>
      </c>
      <c r="AA189" s="140">
        <f t="shared" si="111"/>
        <v>0.40579605096774674</v>
      </c>
      <c r="AB189" s="140">
        <f t="shared" si="111"/>
        <v>0.40525480153519156</v>
      </c>
      <c r="AC189" s="140">
        <f t="shared" si="111"/>
        <v>0.91729979047568855</v>
      </c>
      <c r="AD189" s="140">
        <f t="shared" si="111"/>
        <v>0.78394847511590626</v>
      </c>
      <c r="AE189" s="140">
        <f t="shared" si="111"/>
        <v>0.41337346636611438</v>
      </c>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row>
    <row r="190" spans="1:59" ht="15.75" customHeight="1" x14ac:dyDescent="0.2">
      <c r="A190" s="189"/>
      <c r="B190" s="189"/>
      <c r="C190" s="190"/>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89"/>
      <c r="AG190" s="189"/>
      <c r="AH190" s="189"/>
      <c r="AI190" s="189"/>
      <c r="AJ190" s="189"/>
      <c r="AK190" s="189"/>
      <c r="AL190" s="189"/>
      <c r="AM190" s="189"/>
      <c r="AN190" s="195"/>
      <c r="AO190" s="189"/>
      <c r="AP190" s="189"/>
      <c r="AQ190" s="189"/>
      <c r="AR190" s="189"/>
      <c r="AS190" s="189"/>
      <c r="AT190" s="189"/>
      <c r="AU190" s="189"/>
      <c r="AV190" s="189"/>
      <c r="AW190" s="189"/>
      <c r="AX190" s="189"/>
      <c r="AY190" s="189"/>
      <c r="AZ190" s="189"/>
      <c r="BA190" s="189"/>
      <c r="BB190" s="189"/>
      <c r="BC190" s="189"/>
      <c r="BD190" s="189"/>
      <c r="BE190" s="189"/>
      <c r="BF190" s="189"/>
      <c r="BG190" s="189"/>
    </row>
    <row r="191" spans="1:59" ht="15.75" customHeight="1" x14ac:dyDescent="0.2">
      <c r="A191" s="189"/>
      <c r="B191" s="189"/>
      <c r="C191" s="217" t="s">
        <v>227</v>
      </c>
      <c r="D191" s="172">
        <f t="shared" ref="D191:AE191" si="112">(D188-D192)*-1</f>
        <v>-11.083869210303998</v>
      </c>
      <c r="E191" s="172">
        <f t="shared" si="112"/>
        <v>-15.147150449247</v>
      </c>
      <c r="F191" s="172">
        <f t="shared" si="112"/>
        <v>-15.90538839817399</v>
      </c>
      <c r="G191" s="172">
        <f t="shared" si="112"/>
        <v>-15.696248887559012</v>
      </c>
      <c r="H191" s="172">
        <f t="shared" si="112"/>
        <v>-57.832656945284</v>
      </c>
      <c r="I191" s="172">
        <f t="shared" si="112"/>
        <v>-15.641184770000001</v>
      </c>
      <c r="J191" s="172">
        <f t="shared" si="112"/>
        <v>-19.39720355</v>
      </c>
      <c r="K191" s="172">
        <f t="shared" si="112"/>
        <v>-15.18472555</v>
      </c>
      <c r="L191" s="172">
        <f t="shared" si="112"/>
        <v>-70.854786970000006</v>
      </c>
      <c r="M191" s="172">
        <f t="shared" si="112"/>
        <v>-121.07790084000001</v>
      </c>
      <c r="N191" s="172">
        <f t="shared" si="112"/>
        <v>-11.787550610000002</v>
      </c>
      <c r="O191" s="172">
        <f t="shared" si="112"/>
        <v>-11.65463987</v>
      </c>
      <c r="P191" s="172">
        <f t="shared" si="112"/>
        <v>-12.509551930000001</v>
      </c>
      <c r="Q191" s="172">
        <f t="shared" si="112"/>
        <v>-7.6559095499999996</v>
      </c>
      <c r="R191" s="172">
        <f t="shared" si="112"/>
        <v>-43.611566660000008</v>
      </c>
      <c r="S191" s="172">
        <f t="shared" si="112"/>
        <v>-9.160285459999999</v>
      </c>
      <c r="T191" s="172">
        <f t="shared" si="112"/>
        <v>-9.8814365699999982</v>
      </c>
      <c r="U191" s="172">
        <f t="shared" si="112"/>
        <v>-9.9927362899999981</v>
      </c>
      <c r="V191" s="172">
        <f t="shared" si="112"/>
        <v>-11.880071970000001</v>
      </c>
      <c r="W191" s="172">
        <f t="shared" si="112"/>
        <v>-40.914530289999995</v>
      </c>
      <c r="X191" s="172">
        <f t="shared" si="112"/>
        <v>-12.27900307</v>
      </c>
      <c r="Y191" s="172">
        <f t="shared" si="112"/>
        <v>-10.873987209999999</v>
      </c>
      <c r="Z191" s="172">
        <f t="shared" si="112"/>
        <v>-15.524714599999999</v>
      </c>
      <c r="AA191" s="172">
        <f t="shared" si="112"/>
        <v>-17.039799039999998</v>
      </c>
      <c r="AB191" s="172">
        <f t="shared" si="112"/>
        <v>-55.717503919999999</v>
      </c>
      <c r="AC191" s="172">
        <f t="shared" si="112"/>
        <v>-17.91216442</v>
      </c>
      <c r="AD191" s="172">
        <f t="shared" si="112"/>
        <v>-18.594072724892023</v>
      </c>
      <c r="AE191" s="172">
        <f t="shared" si="112"/>
        <v>-18.64344453</v>
      </c>
      <c r="AF191" s="189"/>
      <c r="AG191" s="189"/>
      <c r="AH191" s="189"/>
      <c r="AI191" s="189"/>
      <c r="AJ191" s="189"/>
      <c r="AK191" s="189"/>
      <c r="AL191" s="189"/>
      <c r="AM191" s="189"/>
      <c r="AN191" s="147"/>
      <c r="AO191" s="189"/>
      <c r="AP191" s="189"/>
      <c r="AQ191" s="189"/>
      <c r="AR191" s="189"/>
      <c r="AS191" s="189"/>
      <c r="AT191" s="189"/>
      <c r="AU191" s="189"/>
      <c r="AV191" s="189"/>
      <c r="AW191" s="189"/>
      <c r="AX191" s="189"/>
      <c r="AY191" s="189"/>
      <c r="AZ191" s="189"/>
      <c r="BA191" s="189"/>
      <c r="BB191" s="189"/>
      <c r="BC191" s="189"/>
      <c r="BD191" s="189"/>
      <c r="BE191" s="189"/>
      <c r="BF191" s="189"/>
      <c r="BG191" s="189"/>
    </row>
    <row r="192" spans="1:59" ht="15.75" customHeight="1" x14ac:dyDescent="0.2">
      <c r="A192" s="189"/>
      <c r="B192" s="189"/>
      <c r="C192" s="190" t="s">
        <v>189</v>
      </c>
      <c r="D192" s="172">
        <f t="shared" ref="D192:AA192" si="113">D92</f>
        <v>5.9536616196960024</v>
      </c>
      <c r="E192" s="172">
        <f t="shared" si="113"/>
        <v>4.4709827707529977</v>
      </c>
      <c r="F192" s="172">
        <f t="shared" si="113"/>
        <v>4.610889041826006</v>
      </c>
      <c r="G192" s="172">
        <f t="shared" si="113"/>
        <v>3.0277068724409868</v>
      </c>
      <c r="H192" s="172">
        <f t="shared" si="113"/>
        <v>18.063240304715993</v>
      </c>
      <c r="I192" s="172">
        <f t="shared" si="113"/>
        <v>4.29385759</v>
      </c>
      <c r="J192" s="172">
        <f t="shared" si="113"/>
        <v>4.9000622699999994</v>
      </c>
      <c r="K192" s="172">
        <f t="shared" si="113"/>
        <v>1.5056698799999999</v>
      </c>
      <c r="L192" s="172">
        <f t="shared" si="113"/>
        <v>-55.833561070000002</v>
      </c>
      <c r="M192" s="172">
        <f t="shared" si="113"/>
        <v>-45.133971330000001</v>
      </c>
      <c r="N192" s="172">
        <f t="shared" si="113"/>
        <v>-1.4579975299999994</v>
      </c>
      <c r="O192" s="172">
        <f t="shared" si="113"/>
        <v>0.22628144000000158</v>
      </c>
      <c r="P192" s="172">
        <f t="shared" si="113"/>
        <v>-1.8203191900000006</v>
      </c>
      <c r="Q192" s="172">
        <f t="shared" si="113"/>
        <v>0.55870956999999843</v>
      </c>
      <c r="R192" s="172">
        <f t="shared" si="113"/>
        <v>-2.4972404099999999</v>
      </c>
      <c r="S192" s="172">
        <f t="shared" si="113"/>
        <v>-1.0996547299999999</v>
      </c>
      <c r="T192" s="172">
        <f t="shared" si="113"/>
        <v>-0.84111980000000008</v>
      </c>
      <c r="U192" s="172">
        <f t="shared" si="113"/>
        <v>-0.3089325</v>
      </c>
      <c r="V192" s="172">
        <f t="shared" si="113"/>
        <v>0.41035790999999999</v>
      </c>
      <c r="W192" s="172">
        <f t="shared" si="113"/>
        <v>-1.8393491200000001</v>
      </c>
      <c r="X192" s="172">
        <f t="shared" si="113"/>
        <v>-0.77601335000000005</v>
      </c>
      <c r="Y192" s="172">
        <f t="shared" si="113"/>
        <v>0.43153730000000001</v>
      </c>
      <c r="Z192" s="172">
        <f t="shared" si="113"/>
        <v>-0.70048065999999998</v>
      </c>
      <c r="AA192" s="172">
        <f t="shared" si="113"/>
        <v>0.23803874999999999</v>
      </c>
      <c r="AB192" s="172">
        <f>SUM(X192:AA192)</f>
        <v>-0.80691796000000016</v>
      </c>
      <c r="AC192" s="172">
        <f t="shared" ref="AC192:AE192" si="114">AC92</f>
        <v>4.14251536</v>
      </c>
      <c r="AD192" s="172">
        <f t="shared" si="114"/>
        <v>1.57440048510798</v>
      </c>
      <c r="AE192" s="172">
        <f t="shared" si="114"/>
        <v>2.3087343800000002</v>
      </c>
      <c r="AF192" s="189"/>
      <c r="AG192" s="189"/>
      <c r="AH192" s="189"/>
      <c r="AI192" s="189"/>
      <c r="AJ192" s="189"/>
      <c r="AK192" s="189"/>
      <c r="AL192" s="189"/>
      <c r="AM192" s="189"/>
      <c r="AN192" s="147"/>
      <c r="AO192" s="189"/>
      <c r="AP192" s="189"/>
      <c r="AQ192" s="189"/>
      <c r="AR192" s="189"/>
      <c r="AS192" s="189"/>
      <c r="AT192" s="189"/>
      <c r="AU192" s="189"/>
      <c r="AV192" s="189"/>
      <c r="AW192" s="189"/>
      <c r="AX192" s="189"/>
      <c r="AY192" s="189"/>
      <c r="AZ192" s="189"/>
      <c r="BA192" s="189"/>
      <c r="BB192" s="189"/>
      <c r="BC192" s="189"/>
      <c r="BD192" s="189"/>
      <c r="BE192" s="189"/>
      <c r="BF192" s="189"/>
      <c r="BG192" s="189"/>
    </row>
    <row r="193" spans="1:59" ht="15.75" customHeight="1" x14ac:dyDescent="0.2">
      <c r="A193" s="195"/>
      <c r="B193" s="195"/>
      <c r="C193" s="196" t="s">
        <v>222</v>
      </c>
      <c r="D193" s="140">
        <f t="shared" ref="D193:AE193" si="115">D192/D188</f>
        <v>0.34944392348289599</v>
      </c>
      <c r="E193" s="140">
        <f t="shared" si="115"/>
        <v>0.22790052043254491</v>
      </c>
      <c r="F193" s="140">
        <f t="shared" si="115"/>
        <v>0.22474296593573492</v>
      </c>
      <c r="G193" s="140">
        <f t="shared" si="115"/>
        <v>0.16170230859597945</v>
      </c>
      <c r="H193" s="140">
        <f t="shared" si="115"/>
        <v>0.23800022081847114</v>
      </c>
      <c r="I193" s="140">
        <f t="shared" si="115"/>
        <v>0.21539244875725461</v>
      </c>
      <c r="J193" s="140">
        <f t="shared" si="115"/>
        <v>0.20167134468136627</v>
      </c>
      <c r="K193" s="140">
        <f t="shared" si="115"/>
        <v>9.0211755995525861E-2</v>
      </c>
      <c r="L193" s="140">
        <f t="shared" si="115"/>
        <v>-3.716977658261567</v>
      </c>
      <c r="M193" s="140">
        <f t="shared" si="115"/>
        <v>-0.59430650509145611</v>
      </c>
      <c r="N193" s="140">
        <f t="shared" si="115"/>
        <v>-0.14114817153347733</v>
      </c>
      <c r="O193" s="140">
        <f t="shared" si="115"/>
        <v>1.9045782233196321E-2</v>
      </c>
      <c r="P193" s="140">
        <f t="shared" si="115"/>
        <v>-0.17029465390796614</v>
      </c>
      <c r="Q193" s="140">
        <f t="shared" si="115"/>
        <v>6.8014056627375141E-2</v>
      </c>
      <c r="R193" s="140">
        <f t="shared" si="115"/>
        <v>-6.0738935494534574E-2</v>
      </c>
      <c r="S193" s="140">
        <f t="shared" si="115"/>
        <v>-0.13642291364462492</v>
      </c>
      <c r="T193" s="140">
        <f t="shared" si="115"/>
        <v>-9.304096542183446E-2</v>
      </c>
      <c r="U193" s="140">
        <f t="shared" si="115"/>
        <v>-3.1901978468318389E-2</v>
      </c>
      <c r="V193" s="140">
        <f t="shared" si="115"/>
        <v>3.3388409844619688E-2</v>
      </c>
      <c r="W193" s="140">
        <f t="shared" si="115"/>
        <v>-4.7072056096112536E-2</v>
      </c>
      <c r="X193" s="140">
        <f t="shared" si="115"/>
        <v>-6.746188329202471E-2</v>
      </c>
      <c r="Y193" s="140">
        <f t="shared" si="115"/>
        <v>3.817048024780232E-2</v>
      </c>
      <c r="Z193" s="140">
        <f t="shared" si="115"/>
        <v>-4.7252401900505898E-2</v>
      </c>
      <c r="AA193" s="140">
        <f t="shared" si="115"/>
        <v>1.3777114526319441E-2</v>
      </c>
      <c r="AB193" s="140">
        <f t="shared" si="115"/>
        <v>-1.4695125646406418E-2</v>
      </c>
      <c r="AC193" s="140">
        <f t="shared" si="115"/>
        <v>0.18782931338484388</v>
      </c>
      <c r="AD193" s="140">
        <f t="shared" si="115"/>
        <v>7.8062452656423961E-2</v>
      </c>
      <c r="AE193" s="140">
        <f t="shared" si="115"/>
        <v>0.11019065797009273</v>
      </c>
      <c r="AF193" s="195"/>
      <c r="AG193" s="195"/>
      <c r="AH193" s="195"/>
      <c r="AI193" s="195"/>
      <c r="AJ193" s="195"/>
      <c r="AK193" s="195"/>
      <c r="AL193" s="195"/>
      <c r="AM193" s="195"/>
      <c r="AN193" s="147"/>
      <c r="AO193" s="195"/>
      <c r="AP193" s="195"/>
      <c r="AQ193" s="195"/>
      <c r="AR193" s="195"/>
      <c r="AS193" s="195"/>
      <c r="AT193" s="195"/>
      <c r="AU193" s="195"/>
      <c r="AV193" s="195"/>
      <c r="AW193" s="195"/>
      <c r="AX193" s="195"/>
      <c r="AY193" s="195"/>
      <c r="AZ193" s="195"/>
      <c r="BA193" s="195"/>
      <c r="BB193" s="195"/>
      <c r="BC193" s="195"/>
      <c r="BD193" s="195"/>
      <c r="BE193" s="195"/>
      <c r="BF193" s="195"/>
      <c r="BG193" s="195"/>
    </row>
    <row r="194" spans="1:59" ht="15.75" customHeight="1" x14ac:dyDescent="0.2">
      <c r="A194" s="190"/>
      <c r="B194" s="190"/>
      <c r="C194" s="190" t="s">
        <v>241</v>
      </c>
      <c r="D194" s="140" t="s">
        <v>146</v>
      </c>
      <c r="E194" s="140" t="s">
        <v>146</v>
      </c>
      <c r="F194" s="140" t="s">
        <v>146</v>
      </c>
      <c r="G194" s="140" t="s">
        <v>146</v>
      </c>
      <c r="H194" s="140" t="s">
        <v>146</v>
      </c>
      <c r="I194" s="191">
        <v>-0.27878709540000002</v>
      </c>
      <c r="J194" s="191">
        <v>9.5969839570000007E-2</v>
      </c>
      <c r="K194" s="191">
        <v>-0.67345345629999998</v>
      </c>
      <c r="L194" s="191" t="s">
        <v>347</v>
      </c>
      <c r="M194" s="191" t="s">
        <v>347</v>
      </c>
      <c r="N194" s="191" t="s">
        <v>347</v>
      </c>
      <c r="O194" s="191">
        <v>-0.95382070109999995</v>
      </c>
      <c r="P194" s="191" t="s">
        <v>347</v>
      </c>
      <c r="Q194" s="191" t="s">
        <v>347</v>
      </c>
      <c r="R194" s="191">
        <v>-0.94467049240000001</v>
      </c>
      <c r="S194" s="191">
        <v>-0.2457773711</v>
      </c>
      <c r="T194" s="191" t="s">
        <v>347</v>
      </c>
      <c r="U194" s="191">
        <v>-0.83028663229999999</v>
      </c>
      <c r="V194" s="191">
        <v>-0.26552553950000002</v>
      </c>
      <c r="W194" s="191">
        <v>-0.26344731859999998</v>
      </c>
      <c r="X194" s="191">
        <v>-0.29431181550000002</v>
      </c>
      <c r="Y194" s="191" t="s">
        <v>347</v>
      </c>
      <c r="Z194" s="191">
        <v>1.2674230129999999</v>
      </c>
      <c r="AA194" s="191">
        <v>-0.41992406090000001</v>
      </c>
      <c r="AB194" s="191">
        <v>-0.5613024459</v>
      </c>
      <c r="AC194" s="191" t="s">
        <v>347</v>
      </c>
      <c r="AD194" s="191">
        <v>2.6483531899999999</v>
      </c>
      <c r="AE194" s="191" t="s">
        <v>347</v>
      </c>
      <c r="AF194" s="195"/>
      <c r="AG194" s="195"/>
      <c r="AH194" s="195"/>
      <c r="AI194" s="195"/>
      <c r="AJ194" s="195"/>
      <c r="AK194" s="195"/>
      <c r="AL194" s="195"/>
      <c r="AM194" s="195"/>
      <c r="AN194" s="147"/>
      <c r="AO194" s="195"/>
      <c r="AP194" s="195"/>
      <c r="AQ194" s="195"/>
      <c r="AR194" s="195"/>
      <c r="AS194" s="195"/>
      <c r="AT194" s="195"/>
      <c r="AU194" s="195"/>
      <c r="AV194" s="195"/>
      <c r="AW194" s="195"/>
      <c r="AX194" s="195"/>
      <c r="AY194" s="195"/>
      <c r="AZ194" s="195"/>
      <c r="BA194" s="195"/>
      <c r="BB194" s="195"/>
      <c r="BC194" s="195"/>
      <c r="BD194" s="195"/>
      <c r="BE194" s="195"/>
      <c r="BF194" s="195"/>
      <c r="BG194" s="195"/>
    </row>
    <row r="195" spans="1:59" ht="15.75" customHeight="1" x14ac:dyDescent="0.2">
      <c r="A195" s="189"/>
      <c r="B195" s="189"/>
      <c r="C195" s="190"/>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89"/>
      <c r="AG195" s="189"/>
      <c r="AH195" s="189"/>
      <c r="AI195" s="189"/>
      <c r="AJ195" s="189"/>
      <c r="AK195" s="189"/>
      <c r="AL195" s="189"/>
      <c r="AM195" s="189"/>
      <c r="AN195" s="147"/>
      <c r="AO195" s="189"/>
      <c r="AP195" s="189"/>
      <c r="AQ195" s="189"/>
      <c r="AR195" s="189"/>
      <c r="AS195" s="189"/>
      <c r="AT195" s="189"/>
      <c r="AU195" s="189"/>
      <c r="AV195" s="189"/>
      <c r="AW195" s="189"/>
      <c r="AX195" s="189"/>
      <c r="AY195" s="189"/>
      <c r="AZ195" s="189"/>
      <c r="BA195" s="189"/>
      <c r="BB195" s="189"/>
      <c r="BC195" s="189"/>
      <c r="BD195" s="189"/>
      <c r="BE195" s="189"/>
      <c r="BF195" s="189"/>
      <c r="BG195" s="189"/>
    </row>
    <row r="196" spans="1:59" ht="15.75" customHeight="1" x14ac:dyDescent="0.2">
      <c r="A196" s="189"/>
      <c r="B196" s="189"/>
      <c r="C196" s="190" t="s">
        <v>242</v>
      </c>
      <c r="D196" s="172">
        <f t="shared" ref="D196:AE196" si="116">D199-D192</f>
        <v>-3.0590749999999995</v>
      </c>
      <c r="E196" s="172">
        <f t="shared" si="116"/>
        <v>-3.0697220700000001</v>
      </c>
      <c r="F196" s="172">
        <f t="shared" si="116"/>
        <v>-3.0350390899999997</v>
      </c>
      <c r="G196" s="172">
        <f t="shared" si="116"/>
        <v>-2.9867868900000003</v>
      </c>
      <c r="H196" s="172">
        <f t="shared" si="116"/>
        <v>-12.15062305</v>
      </c>
      <c r="I196" s="172">
        <f t="shared" si="116"/>
        <v>-3.4548770200000001</v>
      </c>
      <c r="J196" s="172">
        <f t="shared" si="116"/>
        <v>-3.4484614399999991</v>
      </c>
      <c r="K196" s="172">
        <f t="shared" si="116"/>
        <v>-3.4613335899999997</v>
      </c>
      <c r="L196" s="172">
        <f t="shared" si="116"/>
        <v>-3.3823316499999976</v>
      </c>
      <c r="M196" s="172">
        <f t="shared" si="116"/>
        <v>-13.7470037</v>
      </c>
      <c r="N196" s="172">
        <f t="shared" si="116"/>
        <v>-3.3812407900000014</v>
      </c>
      <c r="O196" s="172">
        <f t="shared" si="116"/>
        <v>-3.4458487300000016</v>
      </c>
      <c r="P196" s="172">
        <f t="shared" si="116"/>
        <v>-3.2677654600000001</v>
      </c>
      <c r="Q196" s="172">
        <f t="shared" si="116"/>
        <v>-3.3136850299999985</v>
      </c>
      <c r="R196" s="172">
        <f t="shared" si="116"/>
        <v>-13.40462531</v>
      </c>
      <c r="S196" s="172">
        <f t="shared" si="116"/>
        <v>-3.4067543999999996</v>
      </c>
      <c r="T196" s="172">
        <f t="shared" si="116"/>
        <v>-3.3250176699999998</v>
      </c>
      <c r="U196" s="172">
        <f t="shared" si="116"/>
        <v>-3.2965013399999998</v>
      </c>
      <c r="V196" s="172">
        <f t="shared" si="116"/>
        <v>-3.5429103099999999</v>
      </c>
      <c r="W196" s="172">
        <f t="shared" si="116"/>
        <v>-13.571183720000001</v>
      </c>
      <c r="X196" s="172">
        <f t="shared" si="116"/>
        <v>-3.4033517799999999</v>
      </c>
      <c r="Y196" s="172">
        <f t="shared" si="116"/>
        <v>-3.2990500599999999</v>
      </c>
      <c r="Z196" s="172">
        <f t="shared" si="116"/>
        <v>-3.57869569</v>
      </c>
      <c r="AA196" s="172">
        <f t="shared" si="116"/>
        <v>-3.7414706199999999</v>
      </c>
      <c r="AB196" s="172">
        <f t="shared" si="116"/>
        <v>-14.02256815</v>
      </c>
      <c r="AC196" s="172">
        <f t="shared" si="116"/>
        <v>-3.8484388200000001</v>
      </c>
      <c r="AD196" s="172">
        <f t="shared" si="116"/>
        <v>-3.6111146958200004</v>
      </c>
      <c r="AE196" s="172">
        <f t="shared" si="116"/>
        <v>-3.4598876299999999</v>
      </c>
      <c r="AF196" s="189"/>
      <c r="AG196" s="189"/>
      <c r="AH196" s="189"/>
      <c r="AI196" s="189"/>
      <c r="AJ196" s="189"/>
      <c r="AK196" s="189"/>
      <c r="AL196" s="189"/>
      <c r="AM196" s="189"/>
      <c r="AN196" s="147"/>
      <c r="AO196" s="189"/>
      <c r="AP196" s="189"/>
      <c r="AQ196" s="189"/>
      <c r="AR196" s="189"/>
      <c r="AS196" s="189"/>
      <c r="AT196" s="189"/>
      <c r="AU196" s="189"/>
      <c r="AV196" s="189"/>
      <c r="AW196" s="189"/>
      <c r="AX196" s="189"/>
      <c r="AY196" s="189"/>
      <c r="AZ196" s="189"/>
      <c r="BA196" s="189"/>
      <c r="BB196" s="189"/>
      <c r="BC196" s="189"/>
      <c r="BD196" s="189"/>
      <c r="BE196" s="189"/>
      <c r="BF196" s="189"/>
      <c r="BG196" s="189"/>
    </row>
    <row r="197" spans="1:59" ht="15.75" customHeight="1" x14ac:dyDescent="0.2">
      <c r="A197" s="189"/>
      <c r="B197" s="189"/>
      <c r="C197" s="190" t="s">
        <v>243</v>
      </c>
      <c r="D197" s="140" t="s">
        <v>146</v>
      </c>
      <c r="E197" s="140" t="s">
        <v>146</v>
      </c>
      <c r="F197" s="140" t="s">
        <v>146</v>
      </c>
      <c r="G197" s="140" t="s">
        <v>146</v>
      </c>
      <c r="H197" s="140" t="s">
        <v>146</v>
      </c>
      <c r="I197" s="140">
        <f t="shared" ref="I197:AE197" si="117">I196/D196-1</f>
        <v>0.12938617719408674</v>
      </c>
      <c r="J197" s="140">
        <f t="shared" si="117"/>
        <v>0.1233790425854413</v>
      </c>
      <c r="K197" s="140">
        <f t="shared" si="117"/>
        <v>0.14045766375944768</v>
      </c>
      <c r="L197" s="140">
        <f t="shared" si="117"/>
        <v>0.13243153079461822</v>
      </c>
      <c r="M197" s="140">
        <f t="shared" si="117"/>
        <v>0.13138261663051098</v>
      </c>
      <c r="N197" s="140">
        <f t="shared" si="117"/>
        <v>-2.1313705111274395E-2</v>
      </c>
      <c r="O197" s="140">
        <f t="shared" si="117"/>
        <v>-7.5764512535703155E-4</v>
      </c>
      <c r="P197" s="140">
        <f t="shared" si="117"/>
        <v>-5.5922991808483702E-2</v>
      </c>
      <c r="Q197" s="140">
        <f t="shared" si="117"/>
        <v>-2.0295650191488268E-2</v>
      </c>
      <c r="R197" s="140">
        <f t="shared" si="117"/>
        <v>-2.4905673808758855E-2</v>
      </c>
      <c r="S197" s="140">
        <f t="shared" si="117"/>
        <v>7.545635340569179E-3</v>
      </c>
      <c r="T197" s="140">
        <f t="shared" si="117"/>
        <v>-3.5065689026924196E-2</v>
      </c>
      <c r="U197" s="140">
        <f t="shared" si="117"/>
        <v>8.7937400501196805E-3</v>
      </c>
      <c r="V197" s="140">
        <f t="shared" si="117"/>
        <v>6.9175337403748927E-2</v>
      </c>
      <c r="W197" s="140">
        <f t="shared" si="117"/>
        <v>1.2425443169660655E-2</v>
      </c>
      <c r="X197" s="140">
        <f t="shared" si="117"/>
        <v>-9.9878641090178633E-4</v>
      </c>
      <c r="Y197" s="140">
        <f t="shared" si="117"/>
        <v>-7.8097660154690107E-3</v>
      </c>
      <c r="Z197" s="140">
        <f t="shared" si="117"/>
        <v>8.5604196963560142E-2</v>
      </c>
      <c r="AA197" s="140">
        <f t="shared" si="117"/>
        <v>5.6044407740031055E-2</v>
      </c>
      <c r="AB197" s="140">
        <f t="shared" si="117"/>
        <v>3.3260505443956978E-2</v>
      </c>
      <c r="AC197" s="140">
        <f t="shared" si="117"/>
        <v>0.13077902866685154</v>
      </c>
      <c r="AD197" s="140">
        <f t="shared" si="117"/>
        <v>9.4592270545903911E-2</v>
      </c>
      <c r="AE197" s="140">
        <f t="shared" si="117"/>
        <v>-3.3198704302237037E-2</v>
      </c>
      <c r="AF197" s="189"/>
      <c r="AG197" s="189"/>
      <c r="AH197" s="189"/>
      <c r="AI197" s="189"/>
      <c r="AJ197" s="189"/>
      <c r="AK197" s="189"/>
      <c r="AL197" s="189"/>
      <c r="AM197" s="189"/>
      <c r="AN197" s="147"/>
      <c r="AO197" s="189"/>
      <c r="AP197" s="189"/>
      <c r="AQ197" s="189"/>
      <c r="AR197" s="189"/>
      <c r="AS197" s="189"/>
      <c r="AT197" s="189"/>
      <c r="AU197" s="189"/>
      <c r="AV197" s="189"/>
      <c r="AW197" s="189"/>
      <c r="AX197" s="189"/>
      <c r="AY197" s="189"/>
      <c r="AZ197" s="189"/>
      <c r="BA197" s="189"/>
      <c r="BB197" s="189"/>
      <c r="BC197" s="189"/>
      <c r="BD197" s="189"/>
      <c r="BE197" s="189"/>
      <c r="BF197" s="189"/>
      <c r="BG197" s="189"/>
    </row>
    <row r="198" spans="1:59" ht="15.75" customHeight="1" x14ac:dyDescent="0.2">
      <c r="A198" s="189"/>
      <c r="B198" s="189"/>
      <c r="C198" s="190"/>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89"/>
      <c r="AG198" s="189"/>
      <c r="AH198" s="189"/>
      <c r="AI198" s="189"/>
      <c r="AJ198" s="189"/>
      <c r="AK198" s="189"/>
      <c r="AL198" s="189"/>
      <c r="AM198" s="189"/>
      <c r="AN198" s="147"/>
      <c r="AO198" s="189"/>
      <c r="AP198" s="189"/>
      <c r="AQ198" s="189"/>
      <c r="AR198" s="189"/>
      <c r="AS198" s="189"/>
      <c r="AT198" s="189"/>
      <c r="AU198" s="189"/>
      <c r="AV198" s="189"/>
      <c r="AW198" s="189"/>
      <c r="AX198" s="189"/>
      <c r="AY198" s="189"/>
      <c r="AZ198" s="189"/>
      <c r="BA198" s="189"/>
      <c r="BB198" s="189"/>
      <c r="BC198" s="189"/>
      <c r="BD198" s="189"/>
      <c r="BE198" s="189"/>
      <c r="BF198" s="189"/>
      <c r="BG198" s="189"/>
    </row>
    <row r="199" spans="1:59" ht="15.75" customHeight="1" x14ac:dyDescent="0.2">
      <c r="A199" s="189"/>
      <c r="B199" s="189"/>
      <c r="C199" s="190" t="s">
        <v>190</v>
      </c>
      <c r="D199" s="172">
        <v>2.8945866196960028</v>
      </c>
      <c r="E199" s="172">
        <v>1.4012607007529978</v>
      </c>
      <c r="F199" s="172">
        <v>1.5758499518260061</v>
      </c>
      <c r="G199" s="172">
        <v>4.0919982440986671E-2</v>
      </c>
      <c r="H199" s="172">
        <v>5.9126172547159941</v>
      </c>
      <c r="I199" s="172">
        <v>0.83898056999999993</v>
      </c>
      <c r="J199" s="172">
        <v>1.4516008300000001</v>
      </c>
      <c r="K199" s="172">
        <v>-1.9556637100000001</v>
      </c>
      <c r="L199" s="172">
        <v>-59.215892719999999</v>
      </c>
      <c r="M199" s="172">
        <v>-58.880975030000002</v>
      </c>
      <c r="N199" s="172">
        <v>-4.8392383200000006</v>
      </c>
      <c r="O199" s="172">
        <v>-3.2195672900000001</v>
      </c>
      <c r="P199" s="172">
        <v>-5.0880846500000008</v>
      </c>
      <c r="Q199" s="172">
        <v>-2.7549754599999998</v>
      </c>
      <c r="R199" s="172">
        <v>-15.90186572</v>
      </c>
      <c r="S199" s="172">
        <v>-4.5064091299999998</v>
      </c>
      <c r="T199" s="172">
        <v>-4.1661374699999998</v>
      </c>
      <c r="U199" s="172">
        <v>-3.6054338399999999</v>
      </c>
      <c r="V199" s="172">
        <v>-3.1325523999999998</v>
      </c>
      <c r="W199" s="172">
        <f>SUM(S199:V199)</f>
        <v>-15.41053284</v>
      </c>
      <c r="X199" s="172">
        <v>-4.1793651299999999</v>
      </c>
      <c r="Y199" s="172">
        <v>-2.8675127599999999</v>
      </c>
      <c r="Z199" s="172">
        <v>-4.2791763500000002</v>
      </c>
      <c r="AA199" s="172">
        <v>-3.50343187</v>
      </c>
      <c r="AB199" s="172">
        <f>SUM(X199:AA199)</f>
        <v>-14.829486109999999</v>
      </c>
      <c r="AC199" s="172">
        <v>0.29407654</v>
      </c>
      <c r="AD199" s="172">
        <v>-2.0367142107120202</v>
      </c>
      <c r="AE199" s="172">
        <v>-1.1511532499999999</v>
      </c>
      <c r="AF199" s="189"/>
      <c r="AG199" s="189"/>
      <c r="AH199" s="189"/>
      <c r="AI199" s="189"/>
      <c r="AJ199" s="189"/>
      <c r="AK199" s="189"/>
      <c r="AL199" s="189"/>
      <c r="AM199" s="189"/>
      <c r="AN199" s="209"/>
      <c r="AO199" s="189"/>
      <c r="AP199" s="189"/>
      <c r="AQ199" s="189"/>
      <c r="AR199" s="189"/>
      <c r="AS199" s="189"/>
      <c r="AT199" s="189"/>
      <c r="AU199" s="189"/>
      <c r="AV199" s="189"/>
      <c r="AW199" s="189"/>
      <c r="AX199" s="189"/>
      <c r="AY199" s="189"/>
      <c r="AZ199" s="189"/>
      <c r="BA199" s="189"/>
      <c r="BB199" s="189"/>
      <c r="BC199" s="189"/>
      <c r="BD199" s="189"/>
      <c r="BE199" s="189"/>
      <c r="BF199" s="189"/>
      <c r="BG199" s="189"/>
    </row>
    <row r="200" spans="1:59" ht="15.75" customHeight="1" x14ac:dyDescent="0.2">
      <c r="A200" s="195"/>
      <c r="B200" s="195"/>
      <c r="C200" s="196" t="s">
        <v>244</v>
      </c>
      <c r="D200" s="140">
        <f t="shared" ref="D200:AE200" si="118">D199/D188</f>
        <v>0.16989472527316932</v>
      </c>
      <c r="E200" s="140">
        <f t="shared" si="118"/>
        <v>7.1426811360647796E-2</v>
      </c>
      <c r="F200" s="140">
        <f t="shared" si="118"/>
        <v>7.6809740774591823E-2</v>
      </c>
      <c r="G200" s="140">
        <f t="shared" si="118"/>
        <v>2.1854346894155806E-3</v>
      </c>
      <c r="H200" s="140">
        <f t="shared" si="118"/>
        <v>7.7904306674706256E-2</v>
      </c>
      <c r="I200" s="140">
        <f t="shared" si="118"/>
        <v>4.2085717945773149E-2</v>
      </c>
      <c r="J200" s="140">
        <f t="shared" si="118"/>
        <v>5.9743381858428382E-2</v>
      </c>
      <c r="K200" s="140">
        <f t="shared" si="118"/>
        <v>-0.11717300037630086</v>
      </c>
      <c r="L200" s="140">
        <f t="shared" si="118"/>
        <v>-3.9421478056594568</v>
      </c>
      <c r="M200" s="140">
        <f t="shared" si="118"/>
        <v>-0.77532168021733427</v>
      </c>
      <c r="N200" s="140">
        <f t="shared" si="118"/>
        <v>-0.46848477204398081</v>
      </c>
      <c r="O200" s="140">
        <f t="shared" si="118"/>
        <v>-0.2709863322880639</v>
      </c>
      <c r="P200" s="140">
        <f t="shared" si="118"/>
        <v>-0.47600092296240909</v>
      </c>
      <c r="Q200" s="140">
        <f t="shared" si="118"/>
        <v>-0.33537470450608065</v>
      </c>
      <c r="R200" s="140">
        <f t="shared" si="118"/>
        <v>-0.38677189122125033</v>
      </c>
      <c r="S200" s="140">
        <f t="shared" si="118"/>
        <v>-0.55906408331398649</v>
      </c>
      <c r="T200" s="140">
        <f t="shared" si="118"/>
        <v>-0.46083976656937437</v>
      </c>
      <c r="U200" s="140">
        <f t="shared" si="118"/>
        <v>-0.37231587072459676</v>
      </c>
      <c r="V200" s="140">
        <f t="shared" si="118"/>
        <v>-0.25487736642129555</v>
      </c>
      <c r="W200" s="140">
        <f t="shared" si="118"/>
        <v>-0.39438160946599654</v>
      </c>
      <c r="X200" s="140">
        <f t="shared" si="118"/>
        <v>-0.3633285981933399</v>
      </c>
      <c r="Y200" s="140">
        <f t="shared" si="118"/>
        <v>-0.25363818878669608</v>
      </c>
      <c r="Z200" s="140">
        <f t="shared" si="118"/>
        <v>-0.28866087565264098</v>
      </c>
      <c r="AA200" s="140">
        <f t="shared" si="118"/>
        <v>-0.20277027210127546</v>
      </c>
      <c r="AB200" s="140">
        <f t="shared" si="118"/>
        <v>-0.27006606924214288</v>
      </c>
      <c r="AC200" s="140">
        <f t="shared" si="118"/>
        <v>1.333397460010639E-2</v>
      </c>
      <c r="AD200" s="140">
        <f t="shared" si="118"/>
        <v>-0.10098504678589997</v>
      </c>
      <c r="AE200" s="140">
        <f t="shared" si="118"/>
        <v>-5.4941934914968703E-2</v>
      </c>
      <c r="AF200" s="195"/>
      <c r="AG200" s="195"/>
      <c r="AH200" s="195"/>
      <c r="AI200" s="195"/>
      <c r="AJ200" s="195"/>
      <c r="AK200" s="195"/>
      <c r="AL200" s="195"/>
      <c r="AM200" s="195"/>
      <c r="AN200" s="147"/>
      <c r="AO200" s="195"/>
      <c r="AP200" s="195"/>
      <c r="AQ200" s="195"/>
      <c r="AR200" s="195"/>
      <c r="AS200" s="195"/>
      <c r="AT200" s="195"/>
      <c r="AU200" s="195"/>
      <c r="AV200" s="195"/>
      <c r="AW200" s="195"/>
      <c r="AX200" s="195"/>
      <c r="AY200" s="195"/>
      <c r="AZ200" s="195"/>
      <c r="BA200" s="195"/>
      <c r="BB200" s="195"/>
      <c r="BC200" s="195"/>
      <c r="BD200" s="195"/>
      <c r="BE200" s="195"/>
      <c r="BF200" s="195"/>
      <c r="BG200" s="195"/>
    </row>
    <row r="201" spans="1:59" ht="15.75" customHeight="1" x14ac:dyDescent="0.2">
      <c r="A201" s="189"/>
      <c r="B201" s="189"/>
      <c r="C201" s="190" t="s">
        <v>245</v>
      </c>
      <c r="D201" s="140" t="s">
        <v>146</v>
      </c>
      <c r="E201" s="140" t="s">
        <v>146</v>
      </c>
      <c r="F201" s="140" t="s">
        <v>146</v>
      </c>
      <c r="G201" s="140" t="s">
        <v>146</v>
      </c>
      <c r="H201" s="140" t="s">
        <v>146</v>
      </c>
      <c r="I201" s="191">
        <v>-0.71015530709999997</v>
      </c>
      <c r="J201" s="191">
        <v>3.5924884800000001E-2</v>
      </c>
      <c r="K201" s="191" t="s">
        <v>347</v>
      </c>
      <c r="L201" s="191" t="s">
        <v>347</v>
      </c>
      <c r="M201" s="191" t="s">
        <v>347</v>
      </c>
      <c r="N201" s="191" t="s">
        <v>347</v>
      </c>
      <c r="O201" s="191" t="s">
        <v>347</v>
      </c>
      <c r="P201" s="191">
        <v>1.6017175779999999</v>
      </c>
      <c r="Q201" s="191">
        <v>-0.95347574219999998</v>
      </c>
      <c r="R201" s="191">
        <v>-0.72993202450000005</v>
      </c>
      <c r="S201" s="191">
        <v>-6.8777185170000005E-2</v>
      </c>
      <c r="T201" s="191">
        <v>0.29400540339999998</v>
      </c>
      <c r="U201" s="191">
        <v>-0.29139664770000001</v>
      </c>
      <c r="V201" s="191">
        <v>0.13705274170000001</v>
      </c>
      <c r="W201" s="191">
        <v>-3.089781342E-2</v>
      </c>
      <c r="X201" s="191">
        <v>-7.2573082149999996E-2</v>
      </c>
      <c r="Y201" s="191">
        <v>-0.3117095198</v>
      </c>
      <c r="Z201" s="191">
        <v>0.18686863770000001</v>
      </c>
      <c r="AA201" s="191">
        <v>0.1183952964</v>
      </c>
      <c r="AB201" s="191">
        <v>-3.7704519110000001E-2</v>
      </c>
      <c r="AC201" s="191" t="s">
        <v>347</v>
      </c>
      <c r="AD201" s="191">
        <v>-0.28972793460000001</v>
      </c>
      <c r="AE201" s="191">
        <v>-0.73098719099999998</v>
      </c>
      <c r="AF201" s="189"/>
      <c r="AG201" s="189"/>
      <c r="AH201" s="189"/>
      <c r="AI201" s="189"/>
      <c r="AJ201" s="189"/>
      <c r="AK201" s="189"/>
      <c r="AL201" s="189"/>
      <c r="AM201" s="189"/>
      <c r="AN201" s="147"/>
      <c r="AO201" s="189"/>
      <c r="AP201" s="189"/>
      <c r="AQ201" s="189"/>
      <c r="AR201" s="189"/>
      <c r="AS201" s="189"/>
      <c r="AT201" s="189"/>
      <c r="AU201" s="189"/>
      <c r="AV201" s="189"/>
      <c r="AW201" s="189"/>
      <c r="AX201" s="189"/>
      <c r="AY201" s="189"/>
      <c r="AZ201" s="189"/>
      <c r="BA201" s="189"/>
      <c r="BB201" s="189"/>
      <c r="BC201" s="189"/>
      <c r="BD201" s="189"/>
      <c r="BE201" s="189"/>
      <c r="BF201" s="189"/>
      <c r="BG201" s="189"/>
    </row>
    <row r="202" spans="1:59" ht="15.75" customHeight="1" x14ac:dyDescent="0.2">
      <c r="A202" s="189"/>
      <c r="B202" s="189"/>
      <c r="C202" s="190" t="s">
        <v>246</v>
      </c>
      <c r="D202" s="172">
        <v>0.21836718999999999</v>
      </c>
      <c r="E202" s="172">
        <v>1.1094640500000004</v>
      </c>
      <c r="F202" s="172">
        <v>4.9845690200000004</v>
      </c>
      <c r="G202" s="172">
        <v>2.6806704600000018</v>
      </c>
      <c r="H202" s="172">
        <f>SUM(D202:G202)</f>
        <v>8.9930707200000022</v>
      </c>
      <c r="I202" s="172">
        <v>0.85676039999999998</v>
      </c>
      <c r="J202" s="172">
        <v>0.92787512999999999</v>
      </c>
      <c r="K202" s="172">
        <v>2.0670614</v>
      </c>
      <c r="L202" s="172">
        <v>0.52748435999999999</v>
      </c>
      <c r="M202" s="172">
        <f>SUM(I202:L202)</f>
        <v>4.37918129</v>
      </c>
      <c r="N202" s="172">
        <v>0.28620612000000001</v>
      </c>
      <c r="O202" s="172">
        <v>0.35039535999999999</v>
      </c>
      <c r="P202" s="172">
        <v>0.23522620000000002</v>
      </c>
      <c r="Q202" s="172">
        <v>0.57203477999999996</v>
      </c>
      <c r="R202" s="172">
        <f>SUM(N202:Q202)</f>
        <v>1.4438624600000001</v>
      </c>
      <c r="S202" s="172">
        <v>1.3</v>
      </c>
      <c r="T202" s="172">
        <v>2.3803548999999999</v>
      </c>
      <c r="U202" s="172">
        <v>5.7340321300000001</v>
      </c>
      <c r="V202" s="172">
        <v>6.0690055599999999</v>
      </c>
      <c r="W202" s="172">
        <f>SUM(S202:V202)</f>
        <v>15.483392590000001</v>
      </c>
      <c r="X202" s="172">
        <v>2.8675736000000001</v>
      </c>
      <c r="Y202" s="172">
        <v>4.9792733199999999</v>
      </c>
      <c r="Z202" s="172">
        <v>2.9712975300000002</v>
      </c>
      <c r="AA202" s="172">
        <v>1.21829506</v>
      </c>
      <c r="AB202" s="172">
        <f>SUM(X202:AA202)</f>
        <v>12.036439510000001</v>
      </c>
      <c r="AC202" s="172">
        <v>1.7616775499999999</v>
      </c>
      <c r="AD202" s="172">
        <v>0.59375793370999896</v>
      </c>
      <c r="AE202" s="172">
        <v>1.07472166</v>
      </c>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c r="BG202" s="189"/>
    </row>
    <row r="203" spans="1:59" ht="15.75" customHeight="1" x14ac:dyDescent="0.2">
      <c r="A203" s="84"/>
      <c r="B203" s="84"/>
      <c r="C203" s="190" t="s">
        <v>247</v>
      </c>
      <c r="D203" s="140" t="s">
        <v>146</v>
      </c>
      <c r="E203" s="140" t="s">
        <v>146</v>
      </c>
      <c r="F203" s="140" t="s">
        <v>146</v>
      </c>
      <c r="G203" s="140" t="s">
        <v>146</v>
      </c>
      <c r="H203" s="140" t="s">
        <v>146</v>
      </c>
      <c r="I203" s="140">
        <f t="shared" ref="I203:AE203" si="119">I202/D202-1</f>
        <v>2.923485025383163</v>
      </c>
      <c r="J203" s="140">
        <f t="shared" si="119"/>
        <v>-0.16367264896956357</v>
      </c>
      <c r="K203" s="140">
        <f t="shared" si="119"/>
        <v>-0.58530789889634227</v>
      </c>
      <c r="L203" s="140">
        <f t="shared" si="119"/>
        <v>-0.80322670471028368</v>
      </c>
      <c r="M203" s="140">
        <f t="shared" si="119"/>
        <v>-0.5130493880959941</v>
      </c>
      <c r="N203" s="140">
        <f t="shared" si="119"/>
        <v>-0.66594380412540066</v>
      </c>
      <c r="O203" s="140">
        <f t="shared" si="119"/>
        <v>-0.6223679796224304</v>
      </c>
      <c r="P203" s="140">
        <f t="shared" si="119"/>
        <v>-0.8862026062699444</v>
      </c>
      <c r="Q203" s="140">
        <f t="shared" si="119"/>
        <v>8.4458276639709284E-2</v>
      </c>
      <c r="R203" s="140">
        <f t="shared" si="119"/>
        <v>-0.67028940699552542</v>
      </c>
      <c r="S203" s="140">
        <f t="shared" si="119"/>
        <v>3.5421809987850716</v>
      </c>
      <c r="T203" s="140">
        <f t="shared" si="119"/>
        <v>5.7933402428616638</v>
      </c>
      <c r="U203" s="140">
        <f t="shared" si="119"/>
        <v>23.376672879126559</v>
      </c>
      <c r="V203" s="140">
        <f t="shared" si="119"/>
        <v>9.6095044780319139</v>
      </c>
      <c r="W203" s="140">
        <f t="shared" si="119"/>
        <v>9.7235924604619193</v>
      </c>
      <c r="X203" s="140">
        <f t="shared" si="119"/>
        <v>1.205825846153846</v>
      </c>
      <c r="Y203" s="140">
        <f t="shared" si="119"/>
        <v>1.091819719824132</v>
      </c>
      <c r="Z203" s="140">
        <f t="shared" si="119"/>
        <v>-0.48181358900059035</v>
      </c>
      <c r="AA203" s="140">
        <f t="shared" si="119"/>
        <v>-0.79925952481743978</v>
      </c>
      <c r="AB203" s="140">
        <f t="shared" si="119"/>
        <v>-0.22262259772617443</v>
      </c>
      <c r="AC203" s="140">
        <f t="shared" si="119"/>
        <v>-0.38565568116542859</v>
      </c>
      <c r="AD203" s="140">
        <f t="shared" si="119"/>
        <v>-0.88075409893144829</v>
      </c>
      <c r="AE203" s="140">
        <f t="shared" si="119"/>
        <v>-0.63829887476802094</v>
      </c>
      <c r="AF203" s="84"/>
      <c r="AG203" s="84"/>
      <c r="AH203" s="84"/>
      <c r="AI203" s="84"/>
      <c r="AJ203" s="84"/>
      <c r="AK203" s="84"/>
      <c r="AL203" s="84"/>
      <c r="AM203" s="84"/>
      <c r="AN203" s="189"/>
      <c r="AO203" s="84"/>
      <c r="AP203" s="84"/>
      <c r="AQ203" s="84"/>
      <c r="AR203" s="84"/>
      <c r="AS203" s="84"/>
      <c r="AT203" s="84"/>
      <c r="AU203" s="84"/>
      <c r="AV203" s="84"/>
      <c r="AW203" s="84"/>
      <c r="AX203" s="84"/>
      <c r="AY203" s="84"/>
      <c r="AZ203" s="84"/>
      <c r="BA203" s="84"/>
      <c r="BB203" s="84"/>
      <c r="BC203" s="84"/>
      <c r="BD203" s="84"/>
      <c r="BE203" s="84"/>
      <c r="BF203" s="84"/>
      <c r="BG203" s="84"/>
    </row>
    <row r="204" spans="1:59" ht="15.75" customHeight="1" x14ac:dyDescent="0.2">
      <c r="A204" s="190"/>
      <c r="B204" s="190"/>
      <c r="C204" s="190"/>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89"/>
      <c r="AG204" s="189"/>
      <c r="AH204" s="189"/>
      <c r="AI204" s="189"/>
      <c r="AJ204" s="189"/>
      <c r="AK204" s="189"/>
      <c r="AL204" s="189"/>
      <c r="AM204" s="189"/>
      <c r="AN204" s="195"/>
      <c r="AO204" s="189"/>
      <c r="AP204" s="189"/>
      <c r="AQ204" s="189"/>
      <c r="AR204" s="189"/>
      <c r="AS204" s="189"/>
      <c r="AT204" s="189"/>
      <c r="AU204" s="189"/>
      <c r="AV204" s="189"/>
      <c r="AW204" s="189"/>
      <c r="AX204" s="189"/>
      <c r="AY204" s="189"/>
      <c r="AZ204" s="189"/>
      <c r="BA204" s="189"/>
      <c r="BB204" s="189"/>
      <c r="BC204" s="189"/>
      <c r="BD204" s="189"/>
      <c r="BE204" s="189"/>
      <c r="BF204" s="189"/>
      <c r="BG204" s="189"/>
    </row>
    <row r="205" spans="1:59" ht="15.75" customHeight="1" x14ac:dyDescent="0.2">
      <c r="A205" s="209"/>
      <c r="B205" s="209"/>
      <c r="C205" s="227" t="s">
        <v>21</v>
      </c>
      <c r="D205" s="228" t="s">
        <v>98</v>
      </c>
      <c r="E205" s="228" t="s">
        <v>99</v>
      </c>
      <c r="F205" s="228" t="s">
        <v>100</v>
      </c>
      <c r="G205" s="228" t="s">
        <v>101</v>
      </c>
      <c r="H205" s="229">
        <v>2018</v>
      </c>
      <c r="I205" s="228" t="s">
        <v>102</v>
      </c>
      <c r="J205" s="228" t="s">
        <v>103</v>
      </c>
      <c r="K205" s="228" t="s">
        <v>104</v>
      </c>
      <c r="L205" s="228" t="s">
        <v>105</v>
      </c>
      <c r="M205" s="229">
        <v>2019</v>
      </c>
      <c r="N205" s="228" t="s">
        <v>158</v>
      </c>
      <c r="O205" s="228" t="s">
        <v>107</v>
      </c>
      <c r="P205" s="228" t="s">
        <v>108</v>
      </c>
      <c r="Q205" s="228" t="s">
        <v>109</v>
      </c>
      <c r="R205" s="229">
        <v>2020</v>
      </c>
      <c r="S205" s="228" t="s">
        <v>110</v>
      </c>
      <c r="T205" s="228" t="s">
        <v>111</v>
      </c>
      <c r="U205" s="228" t="s">
        <v>112</v>
      </c>
      <c r="V205" s="228" t="s">
        <v>113</v>
      </c>
      <c r="W205" s="229">
        <v>2021</v>
      </c>
      <c r="X205" s="228" t="s">
        <v>114</v>
      </c>
      <c r="Y205" s="228" t="s">
        <v>115</v>
      </c>
      <c r="Z205" s="228" t="str">
        <f>$Z$4</f>
        <v>3Q22</v>
      </c>
      <c r="AA205" s="228" t="str">
        <f>$AA$4</f>
        <v>4Q22</v>
      </c>
      <c r="AB205" s="229">
        <v>2022</v>
      </c>
      <c r="AC205" s="228" t="str">
        <f t="shared" ref="AC205:AE205" si="120">AC187</f>
        <v>1Q23</v>
      </c>
      <c r="AD205" s="228" t="str">
        <f t="shared" si="120"/>
        <v>2Q23</v>
      </c>
      <c r="AE205" s="228" t="str">
        <f t="shared" si="120"/>
        <v>3Q23</v>
      </c>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row>
    <row r="206" spans="1:59" ht="15.75" customHeight="1" x14ac:dyDescent="0.2">
      <c r="A206" s="209"/>
      <c r="B206" s="209"/>
      <c r="C206" s="190" t="s">
        <v>188</v>
      </c>
      <c r="D206" s="172">
        <f t="shared" ref="D206:AA206" si="121">D65</f>
        <v>48.503792289999993</v>
      </c>
      <c r="E206" s="172">
        <f t="shared" si="121"/>
        <v>49.893319379999895</v>
      </c>
      <c r="F206" s="172">
        <f t="shared" si="121"/>
        <v>55.431284790000007</v>
      </c>
      <c r="G206" s="172">
        <f t="shared" si="121"/>
        <v>53.696582599999999</v>
      </c>
      <c r="H206" s="172">
        <f t="shared" si="121"/>
        <v>207.52497905999991</v>
      </c>
      <c r="I206" s="172">
        <f t="shared" si="121"/>
        <v>53.571234140000001</v>
      </c>
      <c r="J206" s="172">
        <f t="shared" si="121"/>
        <v>44.924755000000005</v>
      </c>
      <c r="K206" s="172">
        <f t="shared" si="121"/>
        <v>43.741632729999999</v>
      </c>
      <c r="L206" s="172">
        <f t="shared" si="121"/>
        <v>36.99686294</v>
      </c>
      <c r="M206" s="172">
        <f t="shared" si="121"/>
        <v>179.23448481</v>
      </c>
      <c r="N206" s="172">
        <f t="shared" si="121"/>
        <v>35.860346589999999</v>
      </c>
      <c r="O206" s="172">
        <f t="shared" si="121"/>
        <v>35.954452400000008</v>
      </c>
      <c r="P206" s="172">
        <f t="shared" si="121"/>
        <v>38.735448430000005</v>
      </c>
      <c r="Q206" s="172">
        <f t="shared" si="121"/>
        <v>35.816100519999999</v>
      </c>
      <c r="R206" s="172">
        <f t="shared" si="121"/>
        <v>146.36634794</v>
      </c>
      <c r="S206" s="172">
        <f t="shared" si="121"/>
        <v>42.738869659999999</v>
      </c>
      <c r="T206" s="172">
        <f t="shared" si="121"/>
        <v>43.355555379999998</v>
      </c>
      <c r="U206" s="172">
        <f t="shared" si="121"/>
        <v>48.40839854</v>
      </c>
      <c r="V206" s="172">
        <f t="shared" si="121"/>
        <v>55.149600739999997</v>
      </c>
      <c r="W206" s="172">
        <f t="shared" si="121"/>
        <v>189.65242432000002</v>
      </c>
      <c r="X206" s="172">
        <f t="shared" si="121"/>
        <v>63.093221849999999</v>
      </c>
      <c r="Y206" s="172">
        <f t="shared" si="121"/>
        <v>59.536147110000002</v>
      </c>
      <c r="Z206" s="172">
        <f t="shared" si="121"/>
        <v>66.128867299999996</v>
      </c>
      <c r="AA206" s="172">
        <f t="shared" si="121"/>
        <v>56.383663859999999</v>
      </c>
      <c r="AB206" s="172">
        <f>SUM(X206:AA206)</f>
        <v>245.14190012</v>
      </c>
      <c r="AC206" s="172">
        <f t="shared" ref="AC206:AE206" si="122">AC65</f>
        <v>53.988480410000001</v>
      </c>
      <c r="AD206" s="172">
        <f t="shared" si="122"/>
        <v>47.349696170000001</v>
      </c>
      <c r="AE206" s="172">
        <f t="shared" si="122"/>
        <v>39.46109672</v>
      </c>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row>
    <row r="207" spans="1:59" ht="15.75" customHeight="1" x14ac:dyDescent="0.2">
      <c r="A207" s="209"/>
      <c r="B207" s="209"/>
      <c r="C207" s="196" t="s">
        <v>240</v>
      </c>
      <c r="D207" s="140" t="s">
        <v>146</v>
      </c>
      <c r="E207" s="140" t="s">
        <v>146</v>
      </c>
      <c r="F207" s="140" t="s">
        <v>146</v>
      </c>
      <c r="G207" s="140" t="s">
        <v>146</v>
      </c>
      <c r="H207" s="140" t="s">
        <v>146</v>
      </c>
      <c r="I207" s="140">
        <f t="shared" ref="I207:AE207" si="123">I206/D206-1</f>
        <v>0.10447516803845369</v>
      </c>
      <c r="J207" s="140">
        <f t="shared" si="123"/>
        <v>-9.9583760746765893E-2</v>
      </c>
      <c r="K207" s="140">
        <f t="shared" si="123"/>
        <v>-0.21088546123882845</v>
      </c>
      <c r="L207" s="140">
        <f t="shared" si="123"/>
        <v>-0.31100153587800206</v>
      </c>
      <c r="M207" s="140">
        <f t="shared" si="123"/>
        <v>-0.13632332058600294</v>
      </c>
      <c r="N207" s="140">
        <f t="shared" si="123"/>
        <v>-0.33060443415799201</v>
      </c>
      <c r="O207" s="140">
        <f t="shared" si="123"/>
        <v>-0.1996739347827271</v>
      </c>
      <c r="P207" s="140">
        <f t="shared" si="123"/>
        <v>-0.1144489582933772</v>
      </c>
      <c r="Q207" s="140">
        <f t="shared" si="123"/>
        <v>-3.191520378132906E-2</v>
      </c>
      <c r="R207" s="140">
        <f t="shared" si="123"/>
        <v>-0.18338065303025997</v>
      </c>
      <c r="S207" s="140">
        <f t="shared" si="123"/>
        <v>0.19181418263029681</v>
      </c>
      <c r="T207" s="140">
        <f t="shared" si="123"/>
        <v>0.20584663333657072</v>
      </c>
      <c r="U207" s="140">
        <f t="shared" si="123"/>
        <v>0.24971829427714698</v>
      </c>
      <c r="V207" s="140">
        <f t="shared" si="123"/>
        <v>0.53979913891530473</v>
      </c>
      <c r="W207" s="140">
        <f t="shared" si="123"/>
        <v>0.295737900065282</v>
      </c>
      <c r="X207" s="140">
        <f t="shared" si="123"/>
        <v>0.47624919310980207</v>
      </c>
      <c r="Y207" s="140">
        <f t="shared" si="123"/>
        <v>0.37320688405860314</v>
      </c>
      <c r="Z207" s="140">
        <f t="shared" si="123"/>
        <v>0.36606186724722001</v>
      </c>
      <c r="AA207" s="140">
        <f t="shared" si="123"/>
        <v>2.237664649319826E-2</v>
      </c>
      <c r="AB207" s="140">
        <f t="shared" si="123"/>
        <v>0.29258511194337666</v>
      </c>
      <c r="AC207" s="140">
        <f t="shared" si="123"/>
        <v>-0.14430617383347333</v>
      </c>
      <c r="AD207" s="140">
        <f t="shared" si="123"/>
        <v>-0.20468994940979479</v>
      </c>
      <c r="AE207" s="140">
        <f t="shared" si="123"/>
        <v>-0.40326973179533043</v>
      </c>
      <c r="AF207" s="195"/>
      <c r="AG207" s="195"/>
      <c r="AH207" s="195"/>
      <c r="AI207" s="195"/>
      <c r="AJ207" s="195"/>
      <c r="AK207" s="195"/>
      <c r="AL207" s="195"/>
      <c r="AM207" s="195"/>
      <c r="AN207" s="189"/>
      <c r="AO207" s="195"/>
      <c r="AP207" s="195"/>
      <c r="AQ207" s="195"/>
      <c r="AR207" s="195"/>
      <c r="AS207" s="195"/>
      <c r="AT207" s="195"/>
      <c r="AU207" s="195"/>
      <c r="AV207" s="195"/>
      <c r="AW207" s="195"/>
      <c r="AX207" s="195"/>
      <c r="AY207" s="195"/>
      <c r="AZ207" s="195"/>
      <c r="BA207" s="195"/>
      <c r="BB207" s="195"/>
      <c r="BC207" s="195"/>
      <c r="BD207" s="195"/>
      <c r="BE207" s="195"/>
      <c r="BF207" s="195"/>
      <c r="BG207" s="195"/>
    </row>
    <row r="208" spans="1:59" ht="15.75" customHeight="1" x14ac:dyDescent="0.2">
      <c r="A208" s="209"/>
      <c r="B208" s="209"/>
      <c r="C208" s="190"/>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89"/>
      <c r="AG208" s="189"/>
      <c r="AH208" s="189"/>
      <c r="AI208" s="189"/>
      <c r="AJ208" s="189"/>
      <c r="AK208" s="189"/>
      <c r="AL208" s="189"/>
      <c r="AM208" s="189"/>
      <c r="AN208" s="195"/>
      <c r="AO208" s="189"/>
      <c r="AP208" s="189"/>
      <c r="AQ208" s="189"/>
      <c r="AR208" s="189"/>
      <c r="AS208" s="189"/>
      <c r="AT208" s="189"/>
      <c r="AU208" s="189"/>
      <c r="AV208" s="189"/>
      <c r="AW208" s="189"/>
      <c r="AX208" s="189"/>
      <c r="AY208" s="189"/>
      <c r="AZ208" s="189"/>
      <c r="BA208" s="189"/>
      <c r="BB208" s="189"/>
      <c r="BC208" s="189"/>
      <c r="BD208" s="189"/>
      <c r="BE208" s="189"/>
      <c r="BF208" s="189"/>
      <c r="BG208" s="189"/>
    </row>
    <row r="209" spans="1:59" ht="15.75" customHeight="1" x14ac:dyDescent="0.2">
      <c r="A209" s="209"/>
      <c r="B209" s="209"/>
      <c r="C209" s="217" t="s">
        <v>227</v>
      </c>
      <c r="D209" s="172">
        <f t="shared" ref="D209:AE209" si="124">(D206-D210)*-1</f>
        <v>-42.850784180415992</v>
      </c>
      <c r="E209" s="172">
        <f t="shared" si="124"/>
        <v>-44.534751478588994</v>
      </c>
      <c r="F209" s="172">
        <f t="shared" si="124"/>
        <v>-45.682243609774908</v>
      </c>
      <c r="G209" s="172">
        <f t="shared" si="124"/>
        <v>-48.296453678266104</v>
      </c>
      <c r="H209" s="172">
        <f t="shared" si="124"/>
        <v>-181.36423294704602</v>
      </c>
      <c r="I209" s="172">
        <f t="shared" si="124"/>
        <v>-37.52900666</v>
      </c>
      <c r="J209" s="172">
        <f t="shared" si="124"/>
        <v>-38.306118640000001</v>
      </c>
      <c r="K209" s="172">
        <f t="shared" si="124"/>
        <v>-32.86449168</v>
      </c>
      <c r="L209" s="172">
        <f t="shared" si="124"/>
        <v>-30.586839519999998</v>
      </c>
      <c r="M209" s="172">
        <f t="shared" si="124"/>
        <v>-139.28645649999999</v>
      </c>
      <c r="N209" s="172">
        <f t="shared" si="124"/>
        <v>-31.472617629865002</v>
      </c>
      <c r="O209" s="172">
        <f t="shared" si="124"/>
        <v>-28.477476670477994</v>
      </c>
      <c r="P209" s="172">
        <f t="shared" si="124"/>
        <v>-30.884938856961995</v>
      </c>
      <c r="Q209" s="172">
        <f t="shared" si="124"/>
        <v>-32.516101969078008</v>
      </c>
      <c r="R209" s="172">
        <f t="shared" si="124"/>
        <v>-123.32091840999999</v>
      </c>
      <c r="S209" s="172">
        <f t="shared" si="124"/>
        <v>-32.520668369999996</v>
      </c>
      <c r="T209" s="172">
        <f t="shared" si="124"/>
        <v>-33.853134499999996</v>
      </c>
      <c r="U209" s="172">
        <f t="shared" si="124"/>
        <v>-39.113349530000001</v>
      </c>
      <c r="V209" s="172">
        <f t="shared" si="124"/>
        <v>-45.465131579999998</v>
      </c>
      <c r="W209" s="172">
        <f t="shared" si="124"/>
        <v>-150.95228398000003</v>
      </c>
      <c r="X209" s="172">
        <f t="shared" si="124"/>
        <v>-45.33794666</v>
      </c>
      <c r="Y209" s="172">
        <f t="shared" si="124"/>
        <v>-49.126368710000001</v>
      </c>
      <c r="Z209" s="172">
        <f t="shared" si="124"/>
        <v>-51.449753509999994</v>
      </c>
      <c r="AA209" s="172">
        <f t="shared" si="124"/>
        <v>-46.550806850000001</v>
      </c>
      <c r="AB209" s="172">
        <f t="shared" si="124"/>
        <v>-192.46487573000002</v>
      </c>
      <c r="AC209" s="172">
        <f t="shared" si="124"/>
        <v>-39.800831630000005</v>
      </c>
      <c r="AD209" s="172">
        <f t="shared" si="124"/>
        <v>-40.954601320000002</v>
      </c>
      <c r="AE209" s="172">
        <f t="shared" si="124"/>
        <v>-37.097002379999999</v>
      </c>
      <c r="AF209" s="189"/>
      <c r="AG209" s="189"/>
      <c r="AH209" s="189"/>
      <c r="AI209" s="189"/>
      <c r="AJ209" s="189"/>
      <c r="AK209" s="189"/>
      <c r="AL209" s="189"/>
      <c r="AM209" s="189"/>
      <c r="AN209" s="195"/>
      <c r="AO209" s="189"/>
      <c r="AP209" s="189"/>
      <c r="AQ209" s="189"/>
      <c r="AR209" s="189"/>
      <c r="AS209" s="189"/>
      <c r="AT209" s="189"/>
      <c r="AU209" s="189"/>
      <c r="AV209" s="189"/>
      <c r="AW209" s="189"/>
      <c r="AX209" s="189"/>
      <c r="AY209" s="189"/>
      <c r="AZ209" s="189"/>
      <c r="BA209" s="189"/>
      <c r="BB209" s="189"/>
      <c r="BC209" s="189"/>
      <c r="BD209" s="189"/>
      <c r="BE209" s="189"/>
      <c r="BF209" s="189"/>
      <c r="BG209" s="189"/>
    </row>
    <row r="210" spans="1:59" ht="15.75" customHeight="1" x14ac:dyDescent="0.2">
      <c r="A210" s="209"/>
      <c r="B210" s="209"/>
      <c r="C210" s="190" t="s">
        <v>189</v>
      </c>
      <c r="D210" s="172">
        <f t="shared" ref="D210:AA210" si="125">D93</f>
        <v>5.6530081095839986</v>
      </c>
      <c r="E210" s="172">
        <f t="shared" si="125"/>
        <v>5.3585679014109022</v>
      </c>
      <c r="F210" s="172">
        <f t="shared" si="125"/>
        <v>9.7490411802250989</v>
      </c>
      <c r="G210" s="172">
        <f t="shared" si="125"/>
        <v>5.4001289217338968</v>
      </c>
      <c r="H210" s="172">
        <f t="shared" si="125"/>
        <v>26.160746112953895</v>
      </c>
      <c r="I210" s="172">
        <f t="shared" si="125"/>
        <v>16.042227480000001</v>
      </c>
      <c r="J210" s="172">
        <f t="shared" si="125"/>
        <v>6.6186363600000018</v>
      </c>
      <c r="K210" s="172">
        <f t="shared" si="125"/>
        <v>10.877141050000001</v>
      </c>
      <c r="L210" s="172">
        <f t="shared" si="125"/>
        <v>6.4100234199999999</v>
      </c>
      <c r="M210" s="172">
        <f t="shared" si="125"/>
        <v>39.948028310000005</v>
      </c>
      <c r="N210" s="172">
        <f t="shared" si="125"/>
        <v>4.3877289601349974</v>
      </c>
      <c r="O210" s="172">
        <f t="shared" si="125"/>
        <v>7.4769757295220138</v>
      </c>
      <c r="P210" s="172">
        <f t="shared" si="125"/>
        <v>7.8505095730380114</v>
      </c>
      <c r="Q210" s="172">
        <f t="shared" si="125"/>
        <v>3.2999985509219947</v>
      </c>
      <c r="R210" s="172">
        <f t="shared" si="125"/>
        <v>23.04542953</v>
      </c>
      <c r="S210" s="172">
        <f t="shared" si="125"/>
        <v>10.21820129</v>
      </c>
      <c r="T210" s="172">
        <f t="shared" si="125"/>
        <v>9.5024208800000007</v>
      </c>
      <c r="U210" s="172">
        <f t="shared" si="125"/>
        <v>9.2950490099999996</v>
      </c>
      <c r="V210" s="172">
        <f t="shared" si="125"/>
        <v>9.6844691600000008</v>
      </c>
      <c r="W210" s="172">
        <f t="shared" si="125"/>
        <v>38.700140339999997</v>
      </c>
      <c r="X210" s="172">
        <f t="shared" si="125"/>
        <v>17.755275189999999</v>
      </c>
      <c r="Y210" s="172">
        <f t="shared" si="125"/>
        <v>10.4097784</v>
      </c>
      <c r="Z210" s="172">
        <f t="shared" si="125"/>
        <v>14.679113790000001</v>
      </c>
      <c r="AA210" s="172">
        <f t="shared" si="125"/>
        <v>9.8328570099999997</v>
      </c>
      <c r="AB210" s="172">
        <f>SUM(X210:AA210)</f>
        <v>52.67702439</v>
      </c>
      <c r="AC210" s="172">
        <f t="shared" ref="AC210:AE210" si="126">AC93</f>
        <v>14.18764878</v>
      </c>
      <c r="AD210" s="172">
        <f t="shared" si="126"/>
        <v>6.3950948499999996</v>
      </c>
      <c r="AE210" s="172">
        <f t="shared" si="126"/>
        <v>2.3640943399999998</v>
      </c>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row>
    <row r="211" spans="1:59" ht="15.75" customHeight="1" x14ac:dyDescent="0.2">
      <c r="A211" s="209"/>
      <c r="B211" s="209"/>
      <c r="C211" s="196" t="s">
        <v>222</v>
      </c>
      <c r="D211" s="140">
        <f t="shared" ref="D211:AE211" si="127">D210/D206</f>
        <v>0.11654775518963859</v>
      </c>
      <c r="E211" s="140">
        <f t="shared" si="127"/>
        <v>0.10740050908617084</v>
      </c>
      <c r="F211" s="140">
        <f t="shared" si="127"/>
        <v>0.17587615400146489</v>
      </c>
      <c r="G211" s="140">
        <f t="shared" si="127"/>
        <v>0.10056745998084982</v>
      </c>
      <c r="H211" s="140">
        <f t="shared" si="127"/>
        <v>0.12606070956590851</v>
      </c>
      <c r="I211" s="140">
        <f t="shared" si="127"/>
        <v>0.29945599980161297</v>
      </c>
      <c r="J211" s="140">
        <f t="shared" si="127"/>
        <v>0.14732715537346838</v>
      </c>
      <c r="K211" s="140">
        <f t="shared" si="127"/>
        <v>0.24866792506672855</v>
      </c>
      <c r="L211" s="140">
        <f t="shared" si="127"/>
        <v>0.17325856601397566</v>
      </c>
      <c r="M211" s="140">
        <f t="shared" si="127"/>
        <v>0.22288137437584885</v>
      </c>
      <c r="N211" s="140">
        <f t="shared" si="127"/>
        <v>0.12235601095273735</v>
      </c>
      <c r="O211" s="140">
        <f t="shared" si="127"/>
        <v>0.20795687961922657</v>
      </c>
      <c r="P211" s="140">
        <f t="shared" si="127"/>
        <v>0.20266990292431761</v>
      </c>
      <c r="Q211" s="140">
        <f t="shared" si="127"/>
        <v>9.2137293089158287E-2</v>
      </c>
      <c r="R211" s="140">
        <f t="shared" si="127"/>
        <v>0.15745032826430172</v>
      </c>
      <c r="S211" s="140">
        <f t="shared" si="127"/>
        <v>0.23908450015849109</v>
      </c>
      <c r="T211" s="140">
        <f t="shared" si="127"/>
        <v>0.21917423953432935</v>
      </c>
      <c r="U211" s="140">
        <f t="shared" si="127"/>
        <v>0.19201314834489874</v>
      </c>
      <c r="V211" s="140">
        <f t="shared" si="127"/>
        <v>0.17560361326380114</v>
      </c>
      <c r="W211" s="140">
        <f t="shared" si="127"/>
        <v>0.20405824222263225</v>
      </c>
      <c r="X211" s="140">
        <f t="shared" si="127"/>
        <v>0.28141335423022146</v>
      </c>
      <c r="Y211" s="140">
        <f t="shared" si="127"/>
        <v>0.17484803611437463</v>
      </c>
      <c r="Z211" s="140">
        <f t="shared" si="127"/>
        <v>0.22197739639795708</v>
      </c>
      <c r="AA211" s="140">
        <f t="shared" si="127"/>
        <v>0.17439194860438428</v>
      </c>
      <c r="AB211" s="140">
        <f t="shared" si="127"/>
        <v>0.21488380551922762</v>
      </c>
      <c r="AC211" s="140">
        <f t="shared" si="127"/>
        <v>0.26279029660134862</v>
      </c>
      <c r="AD211" s="140">
        <f t="shared" si="127"/>
        <v>0.13506094795285778</v>
      </c>
      <c r="AE211" s="140">
        <f t="shared" si="127"/>
        <v>5.9909494071456203E-2</v>
      </c>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c r="BG211" s="189"/>
    </row>
    <row r="212" spans="1:59" ht="15.75" customHeight="1" x14ac:dyDescent="0.2">
      <c r="A212" s="190"/>
      <c r="B212" s="190"/>
      <c r="C212" s="190" t="s">
        <v>241</v>
      </c>
      <c r="D212" s="140" t="s">
        <v>146</v>
      </c>
      <c r="E212" s="140" t="s">
        <v>146</v>
      </c>
      <c r="F212" s="140" t="s">
        <v>146</v>
      </c>
      <c r="G212" s="140" t="s">
        <v>146</v>
      </c>
      <c r="H212" s="140" t="s">
        <v>146</v>
      </c>
      <c r="I212" s="140">
        <f t="shared" ref="I212:AE212" si="128">I210/D210-1</f>
        <v>1.8378214163185658</v>
      </c>
      <c r="J212" s="140">
        <f t="shared" si="128"/>
        <v>0.23515022703310806</v>
      </c>
      <c r="K212" s="140">
        <f t="shared" si="128"/>
        <v>0.11571393011069975</v>
      </c>
      <c r="L212" s="140">
        <f t="shared" si="128"/>
        <v>0.18701303485581255</v>
      </c>
      <c r="M212" s="140">
        <f t="shared" si="128"/>
        <v>0.52702174997291551</v>
      </c>
      <c r="N212" s="140">
        <f t="shared" si="128"/>
        <v>-0.72648879554879642</v>
      </c>
      <c r="O212" s="140">
        <f t="shared" si="128"/>
        <v>0.12968522862343979</v>
      </c>
      <c r="P212" s="140">
        <f t="shared" si="128"/>
        <v>-0.27825615784967583</v>
      </c>
      <c r="Q212" s="140">
        <f t="shared" si="128"/>
        <v>-0.48518151421637168</v>
      </c>
      <c r="R212" s="140">
        <f t="shared" si="128"/>
        <v>-0.42311471917548571</v>
      </c>
      <c r="S212" s="140">
        <f t="shared" si="128"/>
        <v>1.3288132386567506</v>
      </c>
      <c r="T212" s="140">
        <f t="shared" si="128"/>
        <v>0.27089096230187559</v>
      </c>
      <c r="U212" s="140">
        <f t="shared" si="128"/>
        <v>0.18400581816028239</v>
      </c>
      <c r="V212" s="140">
        <f t="shared" si="128"/>
        <v>1.9346889129070171</v>
      </c>
      <c r="W212" s="140">
        <f t="shared" si="128"/>
        <v>0.67929785338221027</v>
      </c>
      <c r="X212" s="140">
        <f t="shared" si="128"/>
        <v>0.73761258817401898</v>
      </c>
      <c r="Y212" s="140">
        <f t="shared" si="128"/>
        <v>9.5486984996606461E-2</v>
      </c>
      <c r="Z212" s="140">
        <f t="shared" si="128"/>
        <v>0.57924006363039071</v>
      </c>
      <c r="AA212" s="140">
        <f t="shared" si="128"/>
        <v>1.5322249216600303E-2</v>
      </c>
      <c r="AB212" s="140">
        <f t="shared" si="128"/>
        <v>0.36115848488419222</v>
      </c>
      <c r="AC212" s="140">
        <f t="shared" si="128"/>
        <v>-0.20093332104530448</v>
      </c>
      <c r="AD212" s="140">
        <f t="shared" si="128"/>
        <v>-0.38566465065192945</v>
      </c>
      <c r="AE212" s="140">
        <f t="shared" si="128"/>
        <v>-0.83894842877977305</v>
      </c>
      <c r="AF212" s="195"/>
      <c r="AG212" s="195"/>
      <c r="AH212" s="195"/>
      <c r="AI212" s="195"/>
      <c r="AJ212" s="195"/>
      <c r="AK212" s="195"/>
      <c r="AL212" s="195"/>
      <c r="AM212" s="195"/>
      <c r="AN212" s="189"/>
      <c r="AO212" s="195"/>
      <c r="AP212" s="195"/>
      <c r="AQ212" s="195"/>
      <c r="AR212" s="195"/>
      <c r="AS212" s="195"/>
      <c r="AT212" s="195"/>
      <c r="AU212" s="195"/>
      <c r="AV212" s="195"/>
      <c r="AW212" s="195"/>
      <c r="AX212" s="195"/>
      <c r="AY212" s="195"/>
      <c r="AZ212" s="195"/>
      <c r="BA212" s="195"/>
      <c r="BB212" s="195"/>
      <c r="BC212" s="195"/>
      <c r="BD212" s="195"/>
      <c r="BE212" s="195"/>
      <c r="BF212" s="195"/>
      <c r="BG212" s="195"/>
    </row>
    <row r="213" spans="1:59" ht="15.75" customHeight="1" x14ac:dyDescent="0.2">
      <c r="A213" s="209"/>
      <c r="B213" s="209"/>
      <c r="C213" s="190"/>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row>
    <row r="214" spans="1:59" ht="15.75" customHeight="1" x14ac:dyDescent="0.2">
      <c r="A214" s="147"/>
      <c r="B214" s="147"/>
      <c r="C214" s="189" t="s">
        <v>242</v>
      </c>
      <c r="D214" s="172">
        <f t="shared" ref="D214:AE214" si="129">D217-D210</f>
        <v>-1.3292255005999998</v>
      </c>
      <c r="E214" s="172">
        <f t="shared" si="129"/>
        <v>-1.360745756839</v>
      </c>
      <c r="F214" s="172">
        <f t="shared" si="129"/>
        <v>-1.3806286452889971</v>
      </c>
      <c r="G214" s="172">
        <f t="shared" si="129"/>
        <v>-1.4076829109099993</v>
      </c>
      <c r="H214" s="172">
        <f t="shared" si="129"/>
        <v>-5.4782828136379962</v>
      </c>
      <c r="I214" s="172">
        <f t="shared" si="129"/>
        <v>-4.2334012200000011</v>
      </c>
      <c r="J214" s="172">
        <f t="shared" si="129"/>
        <v>-4.3563483900000008</v>
      </c>
      <c r="K214" s="172">
        <f t="shared" si="129"/>
        <v>-4.4800070200000013</v>
      </c>
      <c r="L214" s="172">
        <f t="shared" si="129"/>
        <v>-4.4467880999999991</v>
      </c>
      <c r="M214" s="172">
        <f t="shared" si="129"/>
        <v>-17.516544730000007</v>
      </c>
      <c r="N214" s="172">
        <f t="shared" si="129"/>
        <v>-4.1536226301349961</v>
      </c>
      <c r="O214" s="172">
        <f t="shared" si="129"/>
        <v>-4.1506918395220129</v>
      </c>
      <c r="P214" s="172">
        <f t="shared" si="129"/>
        <v>-4.0883603130380104</v>
      </c>
      <c r="Q214" s="172">
        <f t="shared" si="129"/>
        <v>-4.1560337809219945</v>
      </c>
      <c r="R214" s="172">
        <f t="shared" si="129"/>
        <v>-16.578925279999996</v>
      </c>
      <c r="S214" s="172">
        <f t="shared" si="129"/>
        <v>-4.1033831999999997</v>
      </c>
      <c r="T214" s="172">
        <f t="shared" si="129"/>
        <v>-4.0902739100000005</v>
      </c>
      <c r="U214" s="172">
        <f t="shared" si="129"/>
        <v>-3.7193670499999989</v>
      </c>
      <c r="V214" s="172">
        <f t="shared" si="129"/>
        <v>-3.0844691600000012</v>
      </c>
      <c r="W214" s="172">
        <f t="shared" si="129"/>
        <v>-14.997493319999997</v>
      </c>
      <c r="X214" s="172">
        <f t="shared" si="129"/>
        <v>-3.1019770499999986</v>
      </c>
      <c r="Y214" s="172">
        <f t="shared" si="129"/>
        <v>-3.2021576100000004</v>
      </c>
      <c r="Z214" s="172">
        <f t="shared" si="129"/>
        <v>-3.1350504299999997</v>
      </c>
      <c r="AA214" s="172">
        <f t="shared" si="129"/>
        <v>-3.1099316999999997</v>
      </c>
      <c r="AB214" s="172">
        <f t="shared" si="129"/>
        <v>-12.549116789999999</v>
      </c>
      <c r="AC214" s="172">
        <f t="shared" si="129"/>
        <v>-3.1711082299999998</v>
      </c>
      <c r="AD214" s="172">
        <f t="shared" si="129"/>
        <v>-3.1507129899999997</v>
      </c>
      <c r="AE214" s="172">
        <f t="shared" si="129"/>
        <v>-3.1199277799999998</v>
      </c>
      <c r="AF214" s="147"/>
      <c r="AG214" s="147"/>
      <c r="AH214" s="147"/>
      <c r="AI214" s="147"/>
      <c r="AJ214" s="147"/>
      <c r="AK214" s="147"/>
      <c r="AL214" s="147"/>
      <c r="AM214" s="147"/>
      <c r="AN214" s="189"/>
      <c r="AO214" s="147"/>
      <c r="AP214" s="147"/>
      <c r="AQ214" s="147"/>
      <c r="AR214" s="147"/>
      <c r="AS214" s="147"/>
      <c r="AT214" s="147"/>
      <c r="AU214" s="147"/>
      <c r="AV214" s="147"/>
      <c r="AW214" s="147"/>
      <c r="AX214" s="147"/>
      <c r="AY214" s="147"/>
      <c r="AZ214" s="147"/>
      <c r="BA214" s="147"/>
      <c r="BB214" s="147"/>
      <c r="BC214" s="147"/>
      <c r="BD214" s="147"/>
      <c r="BE214" s="147"/>
      <c r="BF214" s="147"/>
      <c r="BG214" s="147"/>
    </row>
    <row r="215" spans="1:59" ht="15.75" customHeight="1" x14ac:dyDescent="0.2">
      <c r="A215" s="147"/>
      <c r="B215" s="147"/>
      <c r="C215" s="189" t="s">
        <v>243</v>
      </c>
      <c r="D215" s="140" t="s">
        <v>146</v>
      </c>
      <c r="E215" s="140" t="s">
        <v>146</v>
      </c>
      <c r="F215" s="140" t="s">
        <v>146</v>
      </c>
      <c r="G215" s="140" t="s">
        <v>146</v>
      </c>
      <c r="H215" s="140" t="s">
        <v>146</v>
      </c>
      <c r="I215" s="140">
        <f t="shared" ref="I215:AE215" si="130">I214/D214-1</f>
        <v>2.1848630786041072</v>
      </c>
      <c r="J215" s="140">
        <f t="shared" si="130"/>
        <v>2.2014418329841119</v>
      </c>
      <c r="K215" s="140">
        <f t="shared" si="130"/>
        <v>2.2449037149031725</v>
      </c>
      <c r="L215" s="140">
        <f t="shared" si="130"/>
        <v>2.1589415951106234</v>
      </c>
      <c r="M215" s="140">
        <f t="shared" si="130"/>
        <v>2.1974517062889074</v>
      </c>
      <c r="N215" s="140">
        <f t="shared" si="130"/>
        <v>-1.8845033985463999E-2</v>
      </c>
      <c r="O215" s="140">
        <f t="shared" si="130"/>
        <v>-4.7208471882109526E-2</v>
      </c>
      <c r="P215" s="140">
        <f t="shared" si="130"/>
        <v>-8.7421002961283523E-2</v>
      </c>
      <c r="Q215" s="140">
        <f t="shared" si="130"/>
        <v>-6.5385242682916345E-2</v>
      </c>
      <c r="R215" s="140">
        <f t="shared" si="130"/>
        <v>-5.3527648543275852E-2</v>
      </c>
      <c r="S215" s="140">
        <f t="shared" si="130"/>
        <v>-1.2095328490003832E-2</v>
      </c>
      <c r="T215" s="140">
        <f t="shared" si="130"/>
        <v>-1.4556110609495465E-2</v>
      </c>
      <c r="U215" s="140">
        <f t="shared" si="130"/>
        <v>-9.0254584915441805E-2</v>
      </c>
      <c r="V215" s="140">
        <f t="shared" si="130"/>
        <v>-0.25783347234590381</v>
      </c>
      <c r="W215" s="140">
        <f t="shared" si="130"/>
        <v>-9.5388086579276776E-2</v>
      </c>
      <c r="X215" s="140">
        <f t="shared" si="130"/>
        <v>-0.24404402445279816</v>
      </c>
      <c r="Y215" s="140">
        <f t="shared" si="130"/>
        <v>-0.21712880837361814</v>
      </c>
      <c r="Z215" s="140">
        <f t="shared" si="130"/>
        <v>-0.15710109062777211</v>
      </c>
      <c r="AA215" s="140">
        <f t="shared" si="130"/>
        <v>8.2550801059066981E-3</v>
      </c>
      <c r="AB215" s="140">
        <f t="shared" si="130"/>
        <v>-0.16325238343229997</v>
      </c>
      <c r="AC215" s="140">
        <f t="shared" si="130"/>
        <v>2.228616746213552E-2</v>
      </c>
      <c r="AD215" s="140">
        <f t="shared" si="130"/>
        <v>-1.6065611461267393E-2</v>
      </c>
      <c r="AE215" s="140">
        <f t="shared" si="130"/>
        <v>-4.8237342070442946E-3</v>
      </c>
      <c r="AF215" s="147"/>
      <c r="AG215" s="147"/>
      <c r="AH215" s="147"/>
      <c r="AI215" s="147"/>
      <c r="AJ215" s="147"/>
      <c r="AK215" s="147"/>
      <c r="AL215" s="147"/>
      <c r="AM215" s="147"/>
      <c r="AN215" s="195"/>
      <c r="AO215" s="147"/>
      <c r="AP215" s="147"/>
      <c r="AQ215" s="147"/>
      <c r="AR215" s="147"/>
      <c r="AS215" s="147"/>
      <c r="AT215" s="147"/>
      <c r="AU215" s="147"/>
      <c r="AV215" s="147"/>
      <c r="AW215" s="147"/>
      <c r="AX215" s="147"/>
      <c r="AY215" s="147"/>
      <c r="AZ215" s="147"/>
      <c r="BA215" s="147"/>
      <c r="BB215" s="147"/>
      <c r="BC215" s="147"/>
      <c r="BD215" s="147"/>
      <c r="BE215" s="147"/>
      <c r="BF215" s="147"/>
      <c r="BG215" s="147"/>
    </row>
    <row r="216" spans="1:59" ht="15.75" customHeight="1" x14ac:dyDescent="0.2">
      <c r="A216" s="209"/>
      <c r="B216" s="209"/>
      <c r="C216" s="190"/>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c r="BG216" s="189"/>
    </row>
    <row r="217" spans="1:59" ht="15.75" customHeight="1" x14ac:dyDescent="0.2">
      <c r="A217" s="209"/>
      <c r="B217" s="209"/>
      <c r="C217" s="190" t="s">
        <v>190</v>
      </c>
      <c r="D217" s="172">
        <v>4.3237826089839988</v>
      </c>
      <c r="E217" s="172">
        <v>3.9978221445719022</v>
      </c>
      <c r="F217" s="172">
        <v>8.3684125349361018</v>
      </c>
      <c r="G217" s="172">
        <v>3.9924460108238975</v>
      </c>
      <c r="H217" s="172">
        <v>20.682463299315899</v>
      </c>
      <c r="I217" s="172">
        <v>11.80882626</v>
      </c>
      <c r="J217" s="172">
        <v>2.2622879700000009</v>
      </c>
      <c r="K217" s="172">
        <v>6.3971340299999992</v>
      </c>
      <c r="L217" s="172">
        <v>1.9632353200000008</v>
      </c>
      <c r="M217" s="172">
        <v>22.431483579999998</v>
      </c>
      <c r="N217" s="172">
        <v>0.23410633000000125</v>
      </c>
      <c r="O217" s="172">
        <v>3.3262838900000009</v>
      </c>
      <c r="P217" s="172">
        <v>3.762149260000001</v>
      </c>
      <c r="Q217" s="172">
        <v>-0.85603522999999981</v>
      </c>
      <c r="R217" s="172">
        <v>6.4665042500000034</v>
      </c>
      <c r="S217" s="172">
        <v>6.11481809</v>
      </c>
      <c r="T217" s="172">
        <v>5.4121469700000002</v>
      </c>
      <c r="U217" s="172">
        <v>5.5756819600000007</v>
      </c>
      <c r="V217" s="172">
        <v>6.6</v>
      </c>
      <c r="W217" s="172">
        <f>SUM(S217:V217)</f>
        <v>23.702647020000001</v>
      </c>
      <c r="X217" s="172">
        <v>14.65329814</v>
      </c>
      <c r="Y217" s="172">
        <v>7.20762079</v>
      </c>
      <c r="Z217" s="172">
        <v>11.544063360000001</v>
      </c>
      <c r="AA217" s="172">
        <v>6.7229253099999999</v>
      </c>
      <c r="AB217" s="172">
        <f>SUM(X217:AA217)</f>
        <v>40.1279076</v>
      </c>
      <c r="AC217" s="172">
        <v>11.01654055</v>
      </c>
      <c r="AD217" s="172">
        <v>3.2443818599999998</v>
      </c>
      <c r="AE217" s="172">
        <v>-0.75583343999999997</v>
      </c>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c r="BD217" s="189"/>
      <c r="BE217" s="189"/>
      <c r="BF217" s="189"/>
      <c r="BG217" s="189"/>
    </row>
    <row r="218" spans="1:59" ht="15.75" customHeight="1" x14ac:dyDescent="0.2">
      <c r="A218" s="209"/>
      <c r="B218" s="209"/>
      <c r="C218" s="196" t="s">
        <v>244</v>
      </c>
      <c r="D218" s="140">
        <f t="shared" ref="D218:AE218" si="131">D217/D206</f>
        <v>8.9143186642654151E-2</v>
      </c>
      <c r="E218" s="140">
        <f t="shared" si="131"/>
        <v>8.0127403713581319E-2</v>
      </c>
      <c r="F218" s="140">
        <f t="shared" si="131"/>
        <v>0.15096912450504471</v>
      </c>
      <c r="G218" s="140">
        <f t="shared" si="131"/>
        <v>7.4351957191851115E-2</v>
      </c>
      <c r="H218" s="140">
        <f t="shared" si="131"/>
        <v>9.9662524448857578E-2</v>
      </c>
      <c r="I218" s="140">
        <f t="shared" si="131"/>
        <v>0.22043222355377307</v>
      </c>
      <c r="J218" s="140">
        <f t="shared" si="131"/>
        <v>5.035726894893474E-2</v>
      </c>
      <c r="K218" s="140">
        <f t="shared" si="131"/>
        <v>0.14624817663956458</v>
      </c>
      <c r="L218" s="140">
        <f t="shared" si="131"/>
        <v>5.3064913184231205E-2</v>
      </c>
      <c r="M218" s="140">
        <f t="shared" si="131"/>
        <v>0.12515160575142001</v>
      </c>
      <c r="N218" s="140">
        <f t="shared" si="131"/>
        <v>6.5282785098703996E-3</v>
      </c>
      <c r="O218" s="140">
        <f t="shared" si="131"/>
        <v>9.2513824240582798E-2</v>
      </c>
      <c r="P218" s="140">
        <f t="shared" si="131"/>
        <v>9.7124195342637998E-2</v>
      </c>
      <c r="Q218" s="140">
        <f t="shared" si="131"/>
        <v>-2.3900849550106185E-2</v>
      </c>
      <c r="R218" s="140">
        <f t="shared" si="131"/>
        <v>4.4180266441100381E-2</v>
      </c>
      <c r="S218" s="140">
        <f t="shared" si="131"/>
        <v>0.14307393102918109</v>
      </c>
      <c r="T218" s="140">
        <f t="shared" si="131"/>
        <v>0.1248316835654384</v>
      </c>
      <c r="U218" s="140">
        <f t="shared" si="131"/>
        <v>0.11518005404357259</v>
      </c>
      <c r="V218" s="140">
        <f t="shared" si="131"/>
        <v>0.11967448379391477</v>
      </c>
      <c r="W218" s="140">
        <f t="shared" si="131"/>
        <v>0.12497940432338786</v>
      </c>
      <c r="X218" s="140">
        <f t="shared" si="131"/>
        <v>0.23224837328544193</v>
      </c>
      <c r="Y218" s="140">
        <f t="shared" si="131"/>
        <v>0.121062936381877</v>
      </c>
      <c r="Z218" s="140">
        <f t="shared" si="131"/>
        <v>0.17456919846561475</v>
      </c>
      <c r="AA218" s="140">
        <f t="shared" si="131"/>
        <v>0.1192353396312263</v>
      </c>
      <c r="AB218" s="140">
        <f t="shared" si="131"/>
        <v>0.16369256981510258</v>
      </c>
      <c r="AC218" s="140">
        <f t="shared" si="131"/>
        <v>0.20405354005776877</v>
      </c>
      <c r="AD218" s="140">
        <f t="shared" si="131"/>
        <v>6.8519591938914853E-2</v>
      </c>
      <c r="AE218" s="140">
        <f t="shared" si="131"/>
        <v>-1.9153888331160402E-2</v>
      </c>
      <c r="AF218" s="189"/>
      <c r="AG218" s="189"/>
      <c r="AH218" s="189"/>
      <c r="AI218" s="189"/>
      <c r="AJ218" s="189"/>
      <c r="AK218" s="189"/>
      <c r="AL218" s="189"/>
      <c r="AM218" s="189"/>
      <c r="AN218" s="84"/>
      <c r="AO218" s="189"/>
      <c r="AP218" s="189"/>
      <c r="AQ218" s="189"/>
      <c r="AR218" s="189"/>
      <c r="AS218" s="189"/>
      <c r="AT218" s="189"/>
      <c r="AU218" s="189"/>
      <c r="AV218" s="189"/>
      <c r="AW218" s="189"/>
      <c r="AX218" s="189"/>
      <c r="AY218" s="189"/>
      <c r="AZ218" s="189"/>
      <c r="BA218" s="189"/>
      <c r="BB218" s="189"/>
      <c r="BC218" s="189"/>
      <c r="BD218" s="189"/>
      <c r="BE218" s="189"/>
      <c r="BF218" s="189"/>
      <c r="BG218" s="189"/>
    </row>
    <row r="219" spans="1:59" ht="15.75" customHeight="1" x14ac:dyDescent="0.2">
      <c r="A219" s="189"/>
      <c r="B219" s="189"/>
      <c r="C219" s="190" t="s">
        <v>245</v>
      </c>
      <c r="D219" s="140" t="s">
        <v>146</v>
      </c>
      <c r="E219" s="140" t="s">
        <v>146</v>
      </c>
      <c r="F219" s="140" t="s">
        <v>146</v>
      </c>
      <c r="G219" s="140" t="s">
        <v>146</v>
      </c>
      <c r="H219" s="140" t="s">
        <v>146</v>
      </c>
      <c r="I219" s="191">
        <v>1.731133206</v>
      </c>
      <c r="J219" s="191">
        <v>-0.43411990620000002</v>
      </c>
      <c r="K219" s="191">
        <v>-0.23556182210000001</v>
      </c>
      <c r="L219" s="191">
        <v>-0.50826252510000003</v>
      </c>
      <c r="M219" s="191">
        <v>8.4565375770000006E-2</v>
      </c>
      <c r="N219" s="191">
        <v>-0.98017530909999995</v>
      </c>
      <c r="O219" s="191">
        <v>0.47031851559999999</v>
      </c>
      <c r="P219" s="191">
        <v>-0.4119008227</v>
      </c>
      <c r="Q219" s="191" t="s">
        <v>347</v>
      </c>
      <c r="R219" s="191">
        <v>-0.71172195419999995</v>
      </c>
      <c r="S219" s="191">
        <v>25.119832339999999</v>
      </c>
      <c r="T219" s="191">
        <v>0.62708510429999997</v>
      </c>
      <c r="U219" s="191">
        <v>0.48204698289999998</v>
      </c>
      <c r="V219" s="191" t="s">
        <v>347</v>
      </c>
      <c r="W219" s="191">
        <v>2.6654498480000002</v>
      </c>
      <c r="X219" s="191">
        <v>1.3963588</v>
      </c>
      <c r="Y219" s="191">
        <v>0.33174890299999998</v>
      </c>
      <c r="Z219" s="191">
        <v>1.070430746</v>
      </c>
      <c r="AA219" s="191">
        <v>1.862504697E-2</v>
      </c>
      <c r="AB219" s="191">
        <v>0.69297157259999997</v>
      </c>
      <c r="AC219" s="191">
        <v>-0.24818696479999999</v>
      </c>
      <c r="AD219" s="191">
        <v>-0.54986784759999996</v>
      </c>
      <c r="AE219" s="191" t="s">
        <v>347</v>
      </c>
      <c r="AF219" s="189"/>
      <c r="AG219" s="189"/>
      <c r="AH219" s="189"/>
      <c r="AI219" s="189"/>
      <c r="AJ219" s="189"/>
      <c r="AK219" s="189"/>
      <c r="AL219" s="189"/>
      <c r="AM219" s="189"/>
      <c r="AN219" s="84"/>
      <c r="AO219" s="189"/>
      <c r="AP219" s="189"/>
      <c r="AQ219" s="189"/>
      <c r="AR219" s="189"/>
      <c r="AS219" s="189"/>
      <c r="AT219" s="189"/>
      <c r="AU219" s="189"/>
      <c r="AV219" s="189"/>
      <c r="AW219" s="189"/>
      <c r="AX219" s="189"/>
      <c r="AY219" s="189"/>
      <c r="AZ219" s="189"/>
      <c r="BA219" s="189"/>
      <c r="BB219" s="189"/>
      <c r="BC219" s="189"/>
      <c r="BD219" s="189"/>
      <c r="BE219" s="189"/>
      <c r="BF219" s="189"/>
      <c r="BG219" s="189"/>
    </row>
    <row r="220" spans="1:59" ht="15.75" customHeight="1" x14ac:dyDescent="0.2">
      <c r="A220" s="189"/>
      <c r="B220" s="189"/>
      <c r="C220" s="190" t="s">
        <v>246</v>
      </c>
      <c r="D220" s="172">
        <v>1.4626554299999996</v>
      </c>
      <c r="E220" s="172">
        <v>0.85530867000000044</v>
      </c>
      <c r="F220" s="172">
        <v>1.37561029</v>
      </c>
      <c r="G220" s="172">
        <v>2.9481452199999993</v>
      </c>
      <c r="H220" s="172">
        <f>SUM(D220:G220)</f>
        <v>6.6417196099999991</v>
      </c>
      <c r="I220" s="172">
        <v>0.49493970000000004</v>
      </c>
      <c r="J220" s="172">
        <v>0.33305490000000004</v>
      </c>
      <c r="K220" s="172">
        <v>0.36728040000000001</v>
      </c>
      <c r="L220" s="172">
        <v>0.85088651000000004</v>
      </c>
      <c r="M220" s="172">
        <f>SUM(I220:L220)</f>
        <v>2.0461615100000001</v>
      </c>
      <c r="N220" s="172">
        <v>0</v>
      </c>
      <c r="O220" s="172">
        <v>0</v>
      </c>
      <c r="P220" s="172">
        <v>0</v>
      </c>
      <c r="Q220" s="172">
        <v>0</v>
      </c>
      <c r="R220" s="172">
        <f>SUM(N220:Q220)</f>
        <v>0</v>
      </c>
      <c r="S220" s="172">
        <v>7.0000000000000001E-3</v>
      </c>
      <c r="T220" s="172">
        <v>0.17</v>
      </c>
      <c r="U220" s="172">
        <v>0.60831733999999993</v>
      </c>
      <c r="V220" s="172">
        <v>0.3</v>
      </c>
      <c r="W220" s="172">
        <f>SUM(S220:V220)</f>
        <v>1.08531734</v>
      </c>
      <c r="X220" s="172">
        <v>0.54382470999999999</v>
      </c>
      <c r="Y220" s="172">
        <v>0.50149317000000004</v>
      </c>
      <c r="Z220" s="172">
        <v>0.22117095000000001</v>
      </c>
      <c r="AA220" s="172">
        <v>3.27679309</v>
      </c>
      <c r="AB220" s="172">
        <f>SUM(X220:AA220)</f>
        <v>4.5432819200000001</v>
      </c>
      <c r="AC220" s="172">
        <v>0.22656423000000001</v>
      </c>
      <c r="AD220" s="172">
        <v>0.70577855</v>
      </c>
      <c r="AE220" s="172">
        <v>1.08173509</v>
      </c>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row>
    <row r="221" spans="1:59" ht="15.75" customHeight="1" x14ac:dyDescent="0.2">
      <c r="A221" s="147"/>
      <c r="B221" s="147"/>
      <c r="C221" s="189" t="s">
        <v>247</v>
      </c>
      <c r="D221" s="140" t="s">
        <v>146</v>
      </c>
      <c r="E221" s="140" t="s">
        <v>146</v>
      </c>
      <c r="F221" s="140" t="s">
        <v>146</v>
      </c>
      <c r="G221" s="140" t="s">
        <v>146</v>
      </c>
      <c r="H221" s="140" t="s">
        <v>146</v>
      </c>
      <c r="I221" s="140">
        <f t="shared" ref="I221:AE221" si="132">IFERROR((I220/D220-1),"n.a.")</f>
        <v>-0.66161565475472228</v>
      </c>
      <c r="J221" s="140">
        <f t="shared" si="132"/>
        <v>-0.61060268452557609</v>
      </c>
      <c r="K221" s="140">
        <f t="shared" si="132"/>
        <v>-0.73300548660478548</v>
      </c>
      <c r="L221" s="140">
        <f t="shared" si="132"/>
        <v>-0.71138242979767452</v>
      </c>
      <c r="M221" s="140">
        <f t="shared" si="132"/>
        <v>-0.69192293108561376</v>
      </c>
      <c r="N221" s="140">
        <f t="shared" si="132"/>
        <v>-1</v>
      </c>
      <c r="O221" s="140">
        <f t="shared" si="132"/>
        <v>-1</v>
      </c>
      <c r="P221" s="140">
        <f t="shared" si="132"/>
        <v>-1</v>
      </c>
      <c r="Q221" s="140">
        <f t="shared" si="132"/>
        <v>-1</v>
      </c>
      <c r="R221" s="140">
        <f t="shared" si="132"/>
        <v>-1</v>
      </c>
      <c r="S221" s="140" t="str">
        <f t="shared" si="132"/>
        <v>n.a.</v>
      </c>
      <c r="T221" s="140" t="str">
        <f t="shared" si="132"/>
        <v>n.a.</v>
      </c>
      <c r="U221" s="140" t="str">
        <f t="shared" si="132"/>
        <v>n.a.</v>
      </c>
      <c r="V221" s="140" t="str">
        <f t="shared" si="132"/>
        <v>n.a.</v>
      </c>
      <c r="W221" s="140" t="str">
        <f t="shared" si="132"/>
        <v>n.a.</v>
      </c>
      <c r="X221" s="140">
        <f t="shared" si="132"/>
        <v>76.689244285714281</v>
      </c>
      <c r="Y221" s="140">
        <f t="shared" si="132"/>
        <v>1.949959823529412</v>
      </c>
      <c r="Z221" s="140">
        <f t="shared" si="132"/>
        <v>-0.63642175644705445</v>
      </c>
      <c r="AA221" s="140">
        <f t="shared" si="132"/>
        <v>9.9226436333333332</v>
      </c>
      <c r="AB221" s="140">
        <f t="shared" si="132"/>
        <v>3.1861322514205845</v>
      </c>
      <c r="AC221" s="140">
        <f t="shared" si="132"/>
        <v>-0.58338739333856304</v>
      </c>
      <c r="AD221" s="140">
        <f t="shared" si="132"/>
        <v>0.40735426167419186</v>
      </c>
      <c r="AE221" s="140">
        <f t="shared" si="132"/>
        <v>3.8909456237358473</v>
      </c>
      <c r="AF221" s="147"/>
      <c r="AG221" s="147"/>
      <c r="AH221" s="147"/>
      <c r="AI221" s="147"/>
      <c r="AJ221" s="147"/>
      <c r="AK221" s="147"/>
      <c r="AL221" s="147"/>
      <c r="AM221" s="147"/>
      <c r="AN221" s="189"/>
      <c r="AO221" s="147"/>
      <c r="AP221" s="147"/>
      <c r="AQ221" s="147"/>
      <c r="AR221" s="147"/>
      <c r="AS221" s="147"/>
      <c r="AT221" s="147"/>
      <c r="AU221" s="147"/>
      <c r="AV221" s="147"/>
      <c r="AW221" s="147"/>
      <c r="AX221" s="147"/>
      <c r="AY221" s="147"/>
      <c r="AZ221" s="147"/>
      <c r="BA221" s="147"/>
      <c r="BB221" s="147"/>
      <c r="BC221" s="147"/>
      <c r="BD221" s="147"/>
      <c r="BE221" s="147"/>
      <c r="BF221" s="147"/>
      <c r="BG221" s="147"/>
    </row>
    <row r="222" spans="1:59" ht="15.75" customHeight="1" x14ac:dyDescent="0.2">
      <c r="A222" s="209"/>
      <c r="B222" s="209"/>
      <c r="C222" s="230"/>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147"/>
      <c r="AG222" s="147"/>
      <c r="AH222" s="147"/>
      <c r="AI222" s="147"/>
      <c r="AJ222" s="147"/>
      <c r="AK222" s="147"/>
      <c r="AL222" s="147"/>
      <c r="AM222" s="147"/>
      <c r="AN222" s="195"/>
      <c r="AO222" s="147"/>
      <c r="AP222" s="147"/>
      <c r="AQ222" s="147"/>
      <c r="AR222" s="147"/>
      <c r="AS222" s="147"/>
      <c r="AT222" s="147"/>
      <c r="AU222" s="147"/>
      <c r="AV222" s="147"/>
      <c r="AW222" s="147"/>
      <c r="AX222" s="147"/>
      <c r="AY222" s="147"/>
      <c r="AZ222" s="147"/>
      <c r="BA222" s="147"/>
      <c r="BB222" s="147"/>
      <c r="BC222" s="147"/>
      <c r="BD222" s="147"/>
      <c r="BE222" s="147"/>
      <c r="BF222" s="147"/>
      <c r="BG222" s="147"/>
    </row>
    <row r="223" spans="1:59" ht="15.75" customHeight="1" x14ac:dyDescent="0.2">
      <c r="A223" s="162"/>
      <c r="B223" s="162"/>
      <c r="C223" s="227" t="s">
        <v>23</v>
      </c>
      <c r="D223" s="228" t="s">
        <v>98</v>
      </c>
      <c r="E223" s="228" t="s">
        <v>99</v>
      </c>
      <c r="F223" s="228" t="s">
        <v>100</v>
      </c>
      <c r="G223" s="228" t="s">
        <v>101</v>
      </c>
      <c r="H223" s="229">
        <v>2018</v>
      </c>
      <c r="I223" s="228" t="s">
        <v>102</v>
      </c>
      <c r="J223" s="228" t="s">
        <v>103</v>
      </c>
      <c r="K223" s="228" t="s">
        <v>104</v>
      </c>
      <c r="L223" s="228" t="s">
        <v>105</v>
      </c>
      <c r="M223" s="229">
        <v>2019</v>
      </c>
      <c r="N223" s="228" t="s">
        <v>158</v>
      </c>
      <c r="O223" s="228" t="s">
        <v>107</v>
      </c>
      <c r="P223" s="228" t="s">
        <v>108</v>
      </c>
      <c r="Q223" s="228" t="s">
        <v>109</v>
      </c>
      <c r="R223" s="229">
        <v>2020</v>
      </c>
      <c r="S223" s="228" t="s">
        <v>110</v>
      </c>
      <c r="T223" s="228" t="s">
        <v>111</v>
      </c>
      <c r="U223" s="228" t="s">
        <v>112</v>
      </c>
      <c r="V223" s="228" t="s">
        <v>113</v>
      </c>
      <c r="W223" s="229">
        <v>2021</v>
      </c>
      <c r="X223" s="228" t="s">
        <v>114</v>
      </c>
      <c r="Y223" s="228" t="s">
        <v>115</v>
      </c>
      <c r="Z223" s="228" t="str">
        <f>$Z$4</f>
        <v>3Q22</v>
      </c>
      <c r="AA223" s="228" t="str">
        <f>$AA$4</f>
        <v>4Q22</v>
      </c>
      <c r="AB223" s="229">
        <v>2022</v>
      </c>
      <c r="AC223" s="228" t="str">
        <f t="shared" ref="AC223:AE223" si="133">AC205</f>
        <v>1Q23</v>
      </c>
      <c r="AD223" s="228" t="str">
        <f t="shared" si="133"/>
        <v>2Q23</v>
      </c>
      <c r="AE223" s="228" t="str">
        <f t="shared" si="133"/>
        <v>3Q23</v>
      </c>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row>
    <row r="224" spans="1:59" ht="15.75" customHeight="1" x14ac:dyDescent="0.2">
      <c r="A224" s="189"/>
      <c r="B224" s="189"/>
      <c r="C224" s="190" t="s">
        <v>188</v>
      </c>
      <c r="D224" s="172">
        <f t="shared" ref="D224:AA224" si="134">D66</f>
        <v>140.14951191</v>
      </c>
      <c r="E224" s="172">
        <f t="shared" si="134"/>
        <v>155.63561142499901</v>
      </c>
      <c r="F224" s="172">
        <f t="shared" si="134"/>
        <v>161.217129725001</v>
      </c>
      <c r="G224" s="172">
        <f t="shared" si="134"/>
        <v>146.40601980000002</v>
      </c>
      <c r="H224" s="172">
        <f t="shared" si="134"/>
        <v>603.40827286000012</v>
      </c>
      <c r="I224" s="172">
        <f t="shared" si="134"/>
        <v>137.32483081999999</v>
      </c>
      <c r="J224" s="172">
        <f t="shared" si="134"/>
        <v>147.71722498</v>
      </c>
      <c r="K224" s="172">
        <f t="shared" si="134"/>
        <v>170.12914581000001</v>
      </c>
      <c r="L224" s="172">
        <f t="shared" si="134"/>
        <v>175.50664115999999</v>
      </c>
      <c r="M224" s="172">
        <f t="shared" si="134"/>
        <v>630.67784276999998</v>
      </c>
      <c r="N224" s="172">
        <f t="shared" si="134"/>
        <v>182.49637001999994</v>
      </c>
      <c r="O224" s="172">
        <f t="shared" si="134"/>
        <v>223.23219498000003</v>
      </c>
      <c r="P224" s="172">
        <f t="shared" si="134"/>
        <v>237.36360369500005</v>
      </c>
      <c r="Q224" s="172">
        <f t="shared" si="134"/>
        <v>254.36940173000085</v>
      </c>
      <c r="R224" s="172">
        <f t="shared" si="134"/>
        <v>897.46157042999994</v>
      </c>
      <c r="S224" s="172">
        <f t="shared" si="134"/>
        <v>246.49407238999999</v>
      </c>
      <c r="T224" s="172">
        <f t="shared" si="134"/>
        <v>253.71552022</v>
      </c>
      <c r="U224" s="172">
        <f t="shared" si="134"/>
        <v>278.21157765999999</v>
      </c>
      <c r="V224" s="172">
        <f t="shared" si="134"/>
        <v>295.66862048000002</v>
      </c>
      <c r="W224" s="172">
        <f t="shared" si="134"/>
        <v>1074.08979075</v>
      </c>
      <c r="X224" s="172">
        <f t="shared" si="134"/>
        <v>253.63604058000001</v>
      </c>
      <c r="Y224" s="172">
        <f t="shared" si="134"/>
        <v>262.25176262999997</v>
      </c>
      <c r="Z224" s="172">
        <f t="shared" si="134"/>
        <v>319.40650749000002</v>
      </c>
      <c r="AA224" s="172">
        <f t="shared" si="134"/>
        <v>295.25051318999999</v>
      </c>
      <c r="AB224" s="172">
        <f>SUM(X224:AA224)</f>
        <v>1130.5448238900001</v>
      </c>
      <c r="AC224" s="172">
        <f t="shared" ref="AC224:AE224" si="135">AC66</f>
        <v>276.28321460000001</v>
      </c>
      <c r="AD224" s="172">
        <f t="shared" si="135"/>
        <v>304.26549485999999</v>
      </c>
      <c r="AE224" s="172">
        <f t="shared" si="135"/>
        <v>324.28810883</v>
      </c>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c r="BG224" s="189"/>
    </row>
    <row r="225" spans="1:59" ht="15.75" customHeight="1" x14ac:dyDescent="0.2">
      <c r="A225" s="196"/>
      <c r="B225" s="196"/>
      <c r="C225" s="196" t="s">
        <v>248</v>
      </c>
      <c r="D225" s="140" t="s">
        <v>146</v>
      </c>
      <c r="E225" s="140" t="s">
        <v>146</v>
      </c>
      <c r="F225" s="140" t="s">
        <v>146</v>
      </c>
      <c r="G225" s="140" t="s">
        <v>146</v>
      </c>
      <c r="H225" s="140" t="s">
        <v>146</v>
      </c>
      <c r="I225" s="140">
        <f t="shared" ref="I225:AE225" si="136">I224/D224-1</f>
        <v>-2.0154769370969605E-2</v>
      </c>
      <c r="J225" s="140">
        <f t="shared" si="136"/>
        <v>-5.0877728898279129E-2</v>
      </c>
      <c r="K225" s="140">
        <f t="shared" si="136"/>
        <v>5.5279585365406447E-2</v>
      </c>
      <c r="L225" s="140">
        <f t="shared" si="136"/>
        <v>0.19876656301259521</v>
      </c>
      <c r="M225" s="140">
        <f t="shared" si="136"/>
        <v>4.5192568840246583E-2</v>
      </c>
      <c r="N225" s="140">
        <f t="shared" si="136"/>
        <v>0.32893933988681945</v>
      </c>
      <c r="O225" s="140">
        <f t="shared" si="136"/>
        <v>0.51121302888152886</v>
      </c>
      <c r="P225" s="140">
        <f t="shared" si="136"/>
        <v>0.3951965876563408</v>
      </c>
      <c r="Q225" s="140">
        <f t="shared" si="136"/>
        <v>0.44934345531748798</v>
      </c>
      <c r="R225" s="140">
        <f t="shared" si="136"/>
        <v>0.42301109943590087</v>
      </c>
      <c r="S225" s="140">
        <f t="shared" si="136"/>
        <v>0.35067931687072162</v>
      </c>
      <c r="T225" s="140">
        <f t="shared" si="136"/>
        <v>0.13655434084107387</v>
      </c>
      <c r="U225" s="140">
        <f t="shared" si="136"/>
        <v>0.17209030082593224</v>
      </c>
      <c r="V225" s="140">
        <f t="shared" si="136"/>
        <v>0.16235922429788174</v>
      </c>
      <c r="W225" s="140">
        <f t="shared" si="136"/>
        <v>0.19680867252663803</v>
      </c>
      <c r="X225" s="140">
        <f t="shared" si="136"/>
        <v>2.8974198530421935E-2</v>
      </c>
      <c r="Y225" s="140">
        <f t="shared" si="136"/>
        <v>3.3644935881723237E-2</v>
      </c>
      <c r="Z225" s="140">
        <f t="shared" si="136"/>
        <v>0.14807050869875726</v>
      </c>
      <c r="AA225" s="140">
        <f t="shared" si="136"/>
        <v>-1.4141077579394867E-3</v>
      </c>
      <c r="AB225" s="140">
        <f t="shared" si="136"/>
        <v>5.256081346847119E-2</v>
      </c>
      <c r="AC225" s="140">
        <f t="shared" si="136"/>
        <v>8.9290047140823336E-2</v>
      </c>
      <c r="AD225" s="140">
        <f t="shared" si="136"/>
        <v>0.16020381258323679</v>
      </c>
      <c r="AE225" s="140">
        <f t="shared" si="136"/>
        <v>1.5283349667360113E-2</v>
      </c>
      <c r="AF225" s="195"/>
      <c r="AG225" s="195"/>
      <c r="AH225" s="195"/>
      <c r="AI225" s="195"/>
      <c r="AJ225" s="195"/>
      <c r="AK225" s="195"/>
      <c r="AL225" s="195"/>
      <c r="AM225" s="195"/>
      <c r="AN225" s="189"/>
      <c r="AO225" s="195"/>
      <c r="AP225" s="195"/>
      <c r="AQ225" s="195"/>
      <c r="AR225" s="195"/>
      <c r="AS225" s="195"/>
      <c r="AT225" s="195"/>
      <c r="AU225" s="195"/>
      <c r="AV225" s="195"/>
      <c r="AW225" s="195"/>
      <c r="AX225" s="195"/>
      <c r="AY225" s="195"/>
      <c r="AZ225" s="195"/>
      <c r="BA225" s="195"/>
      <c r="BB225" s="195"/>
      <c r="BC225" s="195"/>
      <c r="BD225" s="195"/>
      <c r="BE225" s="195"/>
      <c r="BF225" s="195"/>
      <c r="BG225" s="195"/>
    </row>
    <row r="226" spans="1:59" ht="15.75" customHeight="1" x14ac:dyDescent="0.2">
      <c r="A226" s="189"/>
      <c r="B226" s="189"/>
      <c r="C226" s="190"/>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89"/>
      <c r="AG226" s="189"/>
      <c r="AH226" s="189"/>
      <c r="AI226" s="189"/>
      <c r="AJ226" s="189"/>
      <c r="AK226" s="189"/>
      <c r="AL226" s="189"/>
      <c r="AM226" s="189"/>
      <c r="AN226" s="195"/>
      <c r="AO226" s="189"/>
      <c r="AP226" s="189"/>
      <c r="AQ226" s="189"/>
      <c r="AR226" s="189"/>
      <c r="AS226" s="189"/>
      <c r="AT226" s="189"/>
      <c r="AU226" s="189"/>
      <c r="AV226" s="189"/>
      <c r="AW226" s="189"/>
      <c r="AX226" s="189"/>
      <c r="AY226" s="189"/>
      <c r="AZ226" s="189"/>
      <c r="BA226" s="189"/>
      <c r="BB226" s="189"/>
      <c r="BC226" s="189"/>
      <c r="BD226" s="189"/>
      <c r="BE226" s="189"/>
      <c r="BF226" s="189"/>
      <c r="BG226" s="189"/>
    </row>
    <row r="227" spans="1:59" ht="15.75" customHeight="1" x14ac:dyDescent="0.2">
      <c r="A227" s="189"/>
      <c r="B227" s="189"/>
      <c r="C227" s="217" t="s">
        <v>227</v>
      </c>
      <c r="D227" s="172">
        <f t="shared" ref="D227:AE227" si="137">(D224-D228)*-1</f>
        <v>-76.791640933328097</v>
      </c>
      <c r="E227" s="172">
        <f t="shared" si="137"/>
        <v>-83.036983454954523</v>
      </c>
      <c r="F227" s="172">
        <f t="shared" si="137"/>
        <v>-76.329155118548115</v>
      </c>
      <c r="G227" s="172">
        <f t="shared" si="137"/>
        <v>-76.305370488410389</v>
      </c>
      <c r="H227" s="172">
        <f t="shared" si="137"/>
        <v>-312.46314999524122</v>
      </c>
      <c r="I227" s="172">
        <f t="shared" si="137"/>
        <v>-79.375980969999986</v>
      </c>
      <c r="J227" s="172">
        <f t="shared" si="137"/>
        <v>-83.757855079999999</v>
      </c>
      <c r="K227" s="172">
        <f t="shared" si="137"/>
        <v>-77.876342730000019</v>
      </c>
      <c r="L227" s="172">
        <f t="shared" si="137"/>
        <v>-89.839450039999988</v>
      </c>
      <c r="M227" s="172">
        <f t="shared" si="137"/>
        <v>-330.84962882000002</v>
      </c>
      <c r="N227" s="172">
        <f t="shared" si="137"/>
        <v>-94.482694457551034</v>
      </c>
      <c r="O227" s="172">
        <f t="shared" si="137"/>
        <v>-101.90523529723507</v>
      </c>
      <c r="P227" s="172">
        <f t="shared" si="137"/>
        <v>-117.05081002166585</v>
      </c>
      <c r="Q227" s="172">
        <f t="shared" si="137"/>
        <v>-141.97944685624893</v>
      </c>
      <c r="R227" s="172">
        <f t="shared" si="137"/>
        <v>-457.22973888999996</v>
      </c>
      <c r="S227" s="172">
        <f t="shared" si="137"/>
        <v>-115.67236798999997</v>
      </c>
      <c r="T227" s="172">
        <f t="shared" si="137"/>
        <v>-127.86440244000001</v>
      </c>
      <c r="U227" s="172">
        <f t="shared" si="137"/>
        <v>-138.94942085999998</v>
      </c>
      <c r="V227" s="172">
        <f t="shared" si="137"/>
        <v>-157.33675577</v>
      </c>
      <c r="W227" s="172">
        <f t="shared" si="137"/>
        <v>-539.82294705999993</v>
      </c>
      <c r="X227" s="172">
        <f t="shared" si="137"/>
        <v>-144.89524689000001</v>
      </c>
      <c r="Y227" s="172">
        <f t="shared" si="137"/>
        <v>-143.07081407999999</v>
      </c>
      <c r="Z227" s="172">
        <f t="shared" si="137"/>
        <v>-170.59875353000001</v>
      </c>
      <c r="AA227" s="172">
        <f t="shared" si="137"/>
        <v>-168.48293171</v>
      </c>
      <c r="AB227" s="172">
        <f t="shared" si="137"/>
        <v>-627.04774621000001</v>
      </c>
      <c r="AC227" s="172">
        <f t="shared" si="137"/>
        <v>-149.58317547000001</v>
      </c>
      <c r="AD227" s="172">
        <f t="shared" si="137"/>
        <v>-180.67624324997399</v>
      </c>
      <c r="AE227" s="172">
        <f t="shared" si="137"/>
        <v>-167.55585818</v>
      </c>
      <c r="AF227" s="189"/>
      <c r="AG227" s="189"/>
      <c r="AH227" s="189"/>
      <c r="AI227" s="189"/>
      <c r="AJ227" s="189"/>
      <c r="AK227" s="189"/>
      <c r="AL227" s="189"/>
      <c r="AM227" s="189"/>
      <c r="AN227" s="195"/>
      <c r="AO227" s="189"/>
      <c r="AP227" s="189"/>
      <c r="AQ227" s="189"/>
      <c r="AR227" s="189"/>
      <c r="AS227" s="189"/>
      <c r="AT227" s="189"/>
      <c r="AU227" s="189"/>
      <c r="AV227" s="189"/>
      <c r="AW227" s="189"/>
      <c r="AX227" s="189"/>
      <c r="AY227" s="189"/>
      <c r="AZ227" s="189"/>
      <c r="BA227" s="189"/>
      <c r="BB227" s="189"/>
      <c r="BC227" s="189"/>
      <c r="BD227" s="189"/>
      <c r="BE227" s="189"/>
      <c r="BF227" s="189"/>
      <c r="BG227" s="189"/>
    </row>
    <row r="228" spans="1:59" ht="15.75" customHeight="1" x14ac:dyDescent="0.2">
      <c r="A228" s="189"/>
      <c r="B228" s="189"/>
      <c r="C228" s="190" t="s">
        <v>189</v>
      </c>
      <c r="D228" s="172">
        <f t="shared" ref="D228:AA228" si="138">D94</f>
        <v>63.357870976671904</v>
      </c>
      <c r="E228" s="172">
        <f t="shared" si="138"/>
        <v>72.59862797004449</v>
      </c>
      <c r="F228" s="172">
        <f t="shared" si="138"/>
        <v>84.887974606452886</v>
      </c>
      <c r="G228" s="172">
        <f t="shared" si="138"/>
        <v>70.100649311589635</v>
      </c>
      <c r="H228" s="172">
        <f t="shared" si="138"/>
        <v>290.9451228647589</v>
      </c>
      <c r="I228" s="172">
        <f t="shared" si="138"/>
        <v>57.948849850000002</v>
      </c>
      <c r="J228" s="172">
        <f t="shared" si="138"/>
        <v>63.959369899999999</v>
      </c>
      <c r="K228" s="172">
        <f t="shared" si="138"/>
        <v>92.252803079999993</v>
      </c>
      <c r="L228" s="172">
        <f t="shared" si="138"/>
        <v>85.667191119999998</v>
      </c>
      <c r="M228" s="172">
        <f t="shared" si="138"/>
        <v>299.82821394999996</v>
      </c>
      <c r="N228" s="172">
        <f t="shared" si="138"/>
        <v>88.01367556244891</v>
      </c>
      <c r="O228" s="172">
        <f t="shared" si="138"/>
        <v>121.32695968276497</v>
      </c>
      <c r="P228" s="172">
        <f t="shared" si="138"/>
        <v>120.3127936733342</v>
      </c>
      <c r="Q228" s="172">
        <f t="shared" si="138"/>
        <v>112.38995487375192</v>
      </c>
      <c r="R228" s="172">
        <f t="shared" si="138"/>
        <v>440.23183153999997</v>
      </c>
      <c r="S228" s="172">
        <f t="shared" si="138"/>
        <v>130.82170440000002</v>
      </c>
      <c r="T228" s="172">
        <f t="shared" si="138"/>
        <v>125.85111778</v>
      </c>
      <c r="U228" s="172">
        <f t="shared" si="138"/>
        <v>139.26215680000001</v>
      </c>
      <c r="V228" s="172">
        <f t="shared" si="138"/>
        <v>138.33186471000002</v>
      </c>
      <c r="W228" s="172">
        <f t="shared" si="138"/>
        <v>534.26684369000009</v>
      </c>
      <c r="X228" s="172">
        <f t="shared" si="138"/>
        <v>108.74079369</v>
      </c>
      <c r="Y228" s="172">
        <f t="shared" si="138"/>
        <v>119.18094855</v>
      </c>
      <c r="Z228" s="172">
        <f t="shared" si="138"/>
        <v>148.80775396000001</v>
      </c>
      <c r="AA228" s="172">
        <f t="shared" si="138"/>
        <v>126.76758148</v>
      </c>
      <c r="AB228" s="172">
        <f>SUM(X228:AA228)</f>
        <v>503.49707768000002</v>
      </c>
      <c r="AC228" s="172">
        <f t="shared" ref="AC228:AE228" si="139">AC94</f>
        <v>126.70003912999999</v>
      </c>
      <c r="AD228" s="172">
        <f t="shared" si="139"/>
        <v>123.589251610026</v>
      </c>
      <c r="AE228" s="172">
        <f t="shared" si="139"/>
        <v>156.73225065</v>
      </c>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row>
    <row r="229" spans="1:59" ht="15.75" customHeight="1" x14ac:dyDescent="0.2">
      <c r="A229" s="195"/>
      <c r="B229" s="195"/>
      <c r="C229" s="196" t="s">
        <v>222</v>
      </c>
      <c r="D229" s="140">
        <f t="shared" ref="D229:AE229" si="140">D228/D224</f>
        <v>0.45207343295892827</v>
      </c>
      <c r="E229" s="140">
        <f t="shared" si="140"/>
        <v>0.4664654014934741</v>
      </c>
      <c r="F229" s="140">
        <f t="shared" si="140"/>
        <v>0.52654438614092725</v>
      </c>
      <c r="G229" s="140">
        <f t="shared" si="140"/>
        <v>0.47880988368751232</v>
      </c>
      <c r="H229" s="140">
        <f t="shared" si="140"/>
        <v>0.48216959553065752</v>
      </c>
      <c r="I229" s="140">
        <f t="shared" si="140"/>
        <v>0.42198377018907152</v>
      </c>
      <c r="J229" s="140">
        <f t="shared" si="140"/>
        <v>0.43298518442016293</v>
      </c>
      <c r="K229" s="140">
        <f t="shared" si="140"/>
        <v>0.542251609157127</v>
      </c>
      <c r="L229" s="140">
        <f t="shared" si="140"/>
        <v>0.48811367224503954</v>
      </c>
      <c r="M229" s="140">
        <f t="shared" si="140"/>
        <v>0.47540629084593261</v>
      </c>
      <c r="N229" s="140">
        <f t="shared" si="140"/>
        <v>0.48227630803178939</v>
      </c>
      <c r="O229" s="140">
        <f t="shared" si="140"/>
        <v>0.54350117237182105</v>
      </c>
      <c r="P229" s="140">
        <f t="shared" si="140"/>
        <v>0.50687128018131167</v>
      </c>
      <c r="Q229" s="140">
        <f t="shared" si="140"/>
        <v>0.44183755636241062</v>
      </c>
      <c r="R229" s="140">
        <f t="shared" si="140"/>
        <v>0.49053000824210458</v>
      </c>
      <c r="S229" s="140">
        <f t="shared" si="140"/>
        <v>0.53072961605752322</v>
      </c>
      <c r="T229" s="140">
        <f t="shared" si="140"/>
        <v>0.49603239750911915</v>
      </c>
      <c r="U229" s="140">
        <f t="shared" si="140"/>
        <v>0.50056204695475004</v>
      </c>
      <c r="V229" s="140">
        <f t="shared" si="140"/>
        <v>0.46786116323547172</v>
      </c>
      <c r="W229" s="140">
        <f t="shared" si="140"/>
        <v>0.49741357593292074</v>
      </c>
      <c r="X229" s="140">
        <f t="shared" si="140"/>
        <v>0.42872768965064245</v>
      </c>
      <c r="Y229" s="140">
        <f t="shared" si="140"/>
        <v>0.45445242142432196</v>
      </c>
      <c r="Z229" s="140">
        <f t="shared" si="140"/>
        <v>0.46588829742192678</v>
      </c>
      <c r="AA229" s="140">
        <f t="shared" si="140"/>
        <v>0.42935600724399881</v>
      </c>
      <c r="AB229" s="140">
        <f t="shared" si="140"/>
        <v>0.4453579080107215</v>
      </c>
      <c r="AC229" s="140">
        <f t="shared" si="140"/>
        <v>0.45858753784023759</v>
      </c>
      <c r="AD229" s="140">
        <f t="shared" si="140"/>
        <v>0.40618885051981474</v>
      </c>
      <c r="AE229" s="140">
        <f t="shared" si="140"/>
        <v>0.48331174157287093</v>
      </c>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c r="BD229" s="189"/>
      <c r="BE229" s="189"/>
      <c r="BF229" s="189"/>
      <c r="BG229" s="189"/>
    </row>
    <row r="230" spans="1:59" ht="15.75" customHeight="1" x14ac:dyDescent="0.2">
      <c r="A230" s="190"/>
      <c r="B230" s="190"/>
      <c r="C230" s="190" t="s">
        <v>241</v>
      </c>
      <c r="D230" s="140" t="s">
        <v>146</v>
      </c>
      <c r="E230" s="140" t="s">
        <v>146</v>
      </c>
      <c r="F230" s="140" t="s">
        <v>146</v>
      </c>
      <c r="G230" s="140" t="s">
        <v>146</v>
      </c>
      <c r="H230" s="140" t="s">
        <v>146</v>
      </c>
      <c r="I230" s="140">
        <f t="shared" ref="I230:AE230" si="141">I228/D228-1</f>
        <v>-8.5372520308699795E-2</v>
      </c>
      <c r="J230" s="140">
        <f t="shared" si="141"/>
        <v>-0.11900029396711476</v>
      </c>
      <c r="K230" s="140">
        <f t="shared" si="141"/>
        <v>8.6759385032933345E-2</v>
      </c>
      <c r="L230" s="140">
        <f t="shared" si="141"/>
        <v>0.22205988049010505</v>
      </c>
      <c r="M230" s="140">
        <f t="shared" si="141"/>
        <v>3.0531843935978964E-2</v>
      </c>
      <c r="N230" s="140">
        <f t="shared" si="141"/>
        <v>0.51881660792701489</v>
      </c>
      <c r="O230" s="140">
        <f t="shared" si="141"/>
        <v>0.89693800724520534</v>
      </c>
      <c r="P230" s="140">
        <f t="shared" si="141"/>
        <v>0.30416409752884244</v>
      </c>
      <c r="Q230" s="140">
        <f t="shared" si="141"/>
        <v>0.31193696681754735</v>
      </c>
      <c r="R230" s="140">
        <f t="shared" si="141"/>
        <v>0.46828020532255188</v>
      </c>
      <c r="S230" s="140">
        <f t="shared" si="141"/>
        <v>0.48637928780939554</v>
      </c>
      <c r="T230" s="140">
        <f t="shared" si="141"/>
        <v>3.7288976078065472E-2</v>
      </c>
      <c r="U230" s="140">
        <f t="shared" si="141"/>
        <v>0.15750081556676299</v>
      </c>
      <c r="V230" s="140">
        <f t="shared" si="141"/>
        <v>0.23082053787981982</v>
      </c>
      <c r="W230" s="140">
        <f t="shared" si="141"/>
        <v>0.21360339124286143</v>
      </c>
      <c r="X230" s="140">
        <f t="shared" si="141"/>
        <v>-0.16878629437884018</v>
      </c>
      <c r="Y230" s="140">
        <f t="shared" si="141"/>
        <v>-5.3000476655758466E-2</v>
      </c>
      <c r="Z230" s="140">
        <f t="shared" si="141"/>
        <v>6.8544085337618466E-2</v>
      </c>
      <c r="AA230" s="140">
        <f t="shared" si="141"/>
        <v>-8.3598115692602448E-2</v>
      </c>
      <c r="AB230" s="140">
        <f t="shared" si="141"/>
        <v>-5.7592505268497907E-2</v>
      </c>
      <c r="AC230" s="140">
        <f t="shared" si="141"/>
        <v>0.16515646824501284</v>
      </c>
      <c r="AD230" s="140">
        <f t="shared" si="141"/>
        <v>3.6988319976129169E-2</v>
      </c>
      <c r="AE230" s="140">
        <f t="shared" si="141"/>
        <v>5.3253251118420275E-2</v>
      </c>
      <c r="AF230" s="195"/>
      <c r="AG230" s="195"/>
      <c r="AH230" s="195"/>
      <c r="AI230" s="195"/>
      <c r="AJ230" s="195"/>
      <c r="AK230" s="195"/>
      <c r="AL230" s="195"/>
      <c r="AM230" s="195"/>
      <c r="AN230" s="189"/>
      <c r="AO230" s="195"/>
      <c r="AP230" s="195"/>
      <c r="AQ230" s="195"/>
      <c r="AR230" s="195"/>
      <c r="AS230" s="195"/>
      <c r="AT230" s="195"/>
      <c r="AU230" s="195"/>
      <c r="AV230" s="195"/>
      <c r="AW230" s="195"/>
      <c r="AX230" s="195"/>
      <c r="AY230" s="195"/>
      <c r="AZ230" s="195"/>
      <c r="BA230" s="195"/>
      <c r="BB230" s="195"/>
      <c r="BC230" s="195"/>
      <c r="BD230" s="195"/>
      <c r="BE230" s="195"/>
      <c r="BF230" s="195"/>
      <c r="BG230" s="195"/>
    </row>
    <row r="231" spans="1:59" ht="15.75" customHeight="1" x14ac:dyDescent="0.2">
      <c r="A231" s="189"/>
      <c r="B231" s="189"/>
      <c r="C231" s="190"/>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89"/>
      <c r="AG231" s="189"/>
      <c r="AH231" s="189"/>
      <c r="AI231" s="189"/>
      <c r="AJ231" s="189"/>
      <c r="AK231" s="189"/>
      <c r="AL231" s="189"/>
      <c r="AM231" s="189"/>
      <c r="AN231" s="189"/>
      <c r="AO231" s="189"/>
      <c r="AP231" s="189"/>
      <c r="AQ231" s="189"/>
      <c r="AR231" s="189"/>
      <c r="AS231" s="189"/>
      <c r="AT231" s="189"/>
      <c r="AU231" s="189"/>
      <c r="AV231" s="189"/>
      <c r="AW231" s="189"/>
      <c r="AX231" s="189"/>
      <c r="AY231" s="189"/>
      <c r="AZ231" s="189"/>
      <c r="BA231" s="189"/>
      <c r="BB231" s="189"/>
      <c r="BC231" s="189"/>
      <c r="BD231" s="189"/>
      <c r="BE231" s="189"/>
      <c r="BF231" s="189"/>
      <c r="BG231" s="189"/>
    </row>
    <row r="232" spans="1:59" ht="15.75" customHeight="1" x14ac:dyDescent="0.2">
      <c r="A232" s="147"/>
      <c r="B232" s="147"/>
      <c r="C232" s="189" t="s">
        <v>242</v>
      </c>
      <c r="D232" s="172">
        <f t="shared" ref="D232:AE232" si="142">D235-D228</f>
        <v>-22.365817120946197</v>
      </c>
      <c r="E232" s="172">
        <f t="shared" si="142"/>
        <v>-25.321491129419002</v>
      </c>
      <c r="F232" s="172">
        <f t="shared" si="142"/>
        <v>-28.0186608423354</v>
      </c>
      <c r="G232" s="172">
        <f t="shared" si="142"/>
        <v>-27.686312651121511</v>
      </c>
      <c r="H232" s="172">
        <f t="shared" si="142"/>
        <v>-103.39228174382208</v>
      </c>
      <c r="I232" s="172">
        <f t="shared" si="142"/>
        <v>-27.660187270000005</v>
      </c>
      <c r="J232" s="172">
        <f t="shared" si="142"/>
        <v>-30.525785110000001</v>
      </c>
      <c r="K232" s="172">
        <f t="shared" si="142"/>
        <v>-30.373363949999991</v>
      </c>
      <c r="L232" s="172">
        <f t="shared" si="142"/>
        <v>-32.15961772</v>
      </c>
      <c r="M232" s="172">
        <f t="shared" si="142"/>
        <v>-120.71895404999998</v>
      </c>
      <c r="N232" s="172">
        <f t="shared" si="142"/>
        <v>-35.458264622448915</v>
      </c>
      <c r="O232" s="172">
        <f t="shared" si="142"/>
        <v>-43.984085292764959</v>
      </c>
      <c r="P232" s="172">
        <f t="shared" si="142"/>
        <v>-43.759946483334204</v>
      </c>
      <c r="Q232" s="172">
        <f t="shared" si="142"/>
        <v>-44.832015843751918</v>
      </c>
      <c r="R232" s="172">
        <f t="shared" si="142"/>
        <v>-166.22275998999999</v>
      </c>
      <c r="S232" s="172">
        <f t="shared" si="142"/>
        <v>-43.325987090000012</v>
      </c>
      <c r="T232" s="172">
        <f t="shared" si="142"/>
        <v>-40.841957939999986</v>
      </c>
      <c r="U232" s="172">
        <f t="shared" si="142"/>
        <v>-38.444165300000009</v>
      </c>
      <c r="V232" s="172">
        <f t="shared" si="142"/>
        <v>-42.907656450000019</v>
      </c>
      <c r="W232" s="172">
        <f t="shared" si="142"/>
        <v>-165.51976678000005</v>
      </c>
      <c r="X232" s="172">
        <f t="shared" si="142"/>
        <v>-41.719076690000009</v>
      </c>
      <c r="Y232" s="172">
        <f t="shared" si="142"/>
        <v>-39.7299735</v>
      </c>
      <c r="Z232" s="172">
        <f t="shared" si="142"/>
        <v>-43.456387520000007</v>
      </c>
      <c r="AA232" s="172">
        <f t="shared" si="142"/>
        <v>-47.861285620000004</v>
      </c>
      <c r="AB232" s="172">
        <f t="shared" si="142"/>
        <v>-172.76672333000005</v>
      </c>
      <c r="AC232" s="172">
        <f t="shared" si="142"/>
        <v>-49.942733059999995</v>
      </c>
      <c r="AD232" s="172">
        <f t="shared" si="142"/>
        <v>-48.353872941474705</v>
      </c>
      <c r="AE232" s="172">
        <f t="shared" si="142"/>
        <v>-48.247812080000003</v>
      </c>
      <c r="AF232" s="147"/>
      <c r="AG232" s="147"/>
      <c r="AH232" s="147"/>
      <c r="AI232" s="147"/>
      <c r="AJ232" s="147"/>
      <c r="AK232" s="147"/>
      <c r="AL232" s="147"/>
      <c r="AM232" s="147"/>
      <c r="AN232" s="189"/>
      <c r="AO232" s="147"/>
      <c r="AP232" s="147"/>
      <c r="AQ232" s="147"/>
      <c r="AR232" s="147"/>
      <c r="AS232" s="147"/>
      <c r="AT232" s="147"/>
      <c r="AU232" s="147"/>
      <c r="AV232" s="147"/>
      <c r="AW232" s="147"/>
      <c r="AX232" s="147"/>
      <c r="AY232" s="147"/>
      <c r="AZ232" s="147"/>
      <c r="BA232" s="147"/>
      <c r="BB232" s="147"/>
      <c r="BC232" s="147"/>
      <c r="BD232" s="147"/>
      <c r="BE232" s="147"/>
      <c r="BF232" s="147"/>
      <c r="BG232" s="147"/>
    </row>
    <row r="233" spans="1:59" ht="15.75" customHeight="1" x14ac:dyDescent="0.2">
      <c r="A233" s="147"/>
      <c r="B233" s="147"/>
      <c r="C233" s="189" t="s">
        <v>243</v>
      </c>
      <c r="D233" s="140" t="s">
        <v>146</v>
      </c>
      <c r="E233" s="140" t="s">
        <v>146</v>
      </c>
      <c r="F233" s="140" t="s">
        <v>146</v>
      </c>
      <c r="G233" s="140" t="s">
        <v>146</v>
      </c>
      <c r="H233" s="140" t="s">
        <v>146</v>
      </c>
      <c r="I233" s="140">
        <f t="shared" ref="I233:AE233" si="143">I232/D232-1</f>
        <v>0.23671704549955774</v>
      </c>
      <c r="J233" s="140">
        <f t="shared" si="143"/>
        <v>0.20552873264776061</v>
      </c>
      <c r="K233" s="140">
        <f t="shared" si="143"/>
        <v>8.4040530020860205E-2</v>
      </c>
      <c r="L233" s="140">
        <f t="shared" si="143"/>
        <v>0.16157099449273482</v>
      </c>
      <c r="M233" s="140">
        <f t="shared" si="143"/>
        <v>0.16758187375251743</v>
      </c>
      <c r="N233" s="140">
        <f t="shared" si="143"/>
        <v>0.28192424282342565</v>
      </c>
      <c r="O233" s="140">
        <f t="shared" si="143"/>
        <v>0.44088301526947871</v>
      </c>
      <c r="P233" s="140">
        <f t="shared" si="143"/>
        <v>0.44073427478664962</v>
      </c>
      <c r="Q233" s="140">
        <f t="shared" si="143"/>
        <v>0.39404691417929949</v>
      </c>
      <c r="R233" s="140">
        <f t="shared" si="143"/>
        <v>0.376940028167847</v>
      </c>
      <c r="S233" s="140">
        <f t="shared" si="143"/>
        <v>0.2218868450366851</v>
      </c>
      <c r="T233" s="140">
        <f t="shared" si="143"/>
        <v>-7.1437824200514366E-2</v>
      </c>
      <c r="U233" s="140">
        <f t="shared" si="143"/>
        <v>-0.12147595256677679</v>
      </c>
      <c r="V233" s="140">
        <f t="shared" si="143"/>
        <v>-4.2923775733365588E-2</v>
      </c>
      <c r="W233" s="140">
        <f t="shared" si="143"/>
        <v>-4.2292235434078229E-3</v>
      </c>
      <c r="X233" s="140">
        <f t="shared" si="143"/>
        <v>-3.7088835314057822E-2</v>
      </c>
      <c r="Y233" s="140">
        <f t="shared" si="143"/>
        <v>-2.7226521354181354E-2</v>
      </c>
      <c r="Z233" s="140">
        <f t="shared" si="143"/>
        <v>0.13037666914828283</v>
      </c>
      <c r="AA233" s="140">
        <f t="shared" si="143"/>
        <v>0.11544860707487992</v>
      </c>
      <c r="AB233" s="140">
        <f t="shared" si="143"/>
        <v>4.3783027797714702E-2</v>
      </c>
      <c r="AC233" s="140">
        <f t="shared" si="143"/>
        <v>0.19711980759083247</v>
      </c>
      <c r="AD233" s="140">
        <f t="shared" si="143"/>
        <v>0.21706280376639842</v>
      </c>
      <c r="AE233" s="140">
        <f t="shared" si="143"/>
        <v>0.11025823436876414</v>
      </c>
      <c r="AF233" s="147"/>
      <c r="AG233" s="147"/>
      <c r="AH233" s="147"/>
      <c r="AI233" s="147"/>
      <c r="AJ233" s="147"/>
      <c r="AK233" s="147"/>
      <c r="AL233" s="147"/>
      <c r="AM233" s="147"/>
      <c r="AN233" s="195"/>
      <c r="AO233" s="147"/>
      <c r="AP233" s="147"/>
      <c r="AQ233" s="147"/>
      <c r="AR233" s="147"/>
      <c r="AS233" s="147"/>
      <c r="AT233" s="147"/>
      <c r="AU233" s="147"/>
      <c r="AV233" s="147"/>
      <c r="AW233" s="147"/>
      <c r="AX233" s="147"/>
      <c r="AY233" s="147"/>
      <c r="AZ233" s="147"/>
      <c r="BA233" s="147"/>
      <c r="BB233" s="147"/>
      <c r="BC233" s="147"/>
      <c r="BD233" s="147"/>
      <c r="BE233" s="147"/>
      <c r="BF233" s="147"/>
      <c r="BG233" s="147"/>
    </row>
    <row r="234" spans="1:59" ht="15.75" customHeight="1" x14ac:dyDescent="0.2">
      <c r="A234" s="189"/>
      <c r="B234" s="189"/>
      <c r="C234" s="190"/>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row>
    <row r="235" spans="1:59" ht="15.75" customHeight="1" x14ac:dyDescent="0.2">
      <c r="A235" s="189"/>
      <c r="B235" s="189"/>
      <c r="C235" s="190" t="s">
        <v>190</v>
      </c>
      <c r="D235" s="172">
        <v>40.992053855725707</v>
      </c>
      <c r="E235" s="172">
        <v>47.277136840625488</v>
      </c>
      <c r="F235" s="172">
        <v>56.869313764117486</v>
      </c>
      <c r="G235" s="172">
        <v>42.414336660468123</v>
      </c>
      <c r="H235" s="172">
        <v>187.55284112093682</v>
      </c>
      <c r="I235" s="172">
        <v>30.288662579999997</v>
      </c>
      <c r="J235" s="172">
        <v>33.433584789999998</v>
      </c>
      <c r="K235" s="172">
        <v>61.879439130000002</v>
      </c>
      <c r="L235" s="172">
        <v>53.507573399999998</v>
      </c>
      <c r="M235" s="172">
        <v>179.10925989999998</v>
      </c>
      <c r="N235" s="172">
        <v>52.555410939999994</v>
      </c>
      <c r="O235" s="172">
        <v>77.342874390000006</v>
      </c>
      <c r="P235" s="172">
        <v>76.552847189999994</v>
      </c>
      <c r="Q235" s="172">
        <v>67.55793903</v>
      </c>
      <c r="R235" s="172">
        <v>274.00907154999999</v>
      </c>
      <c r="S235" s="172">
        <v>87.495717310000003</v>
      </c>
      <c r="T235" s="172">
        <v>85.009159840000009</v>
      </c>
      <c r="U235" s="172">
        <v>100.81799150000001</v>
      </c>
      <c r="V235" s="172">
        <v>95.42420826</v>
      </c>
      <c r="W235" s="172">
        <f>SUM(S235:V235)</f>
        <v>368.74707691000003</v>
      </c>
      <c r="X235" s="172">
        <v>67.021716999999995</v>
      </c>
      <c r="Y235" s="172">
        <v>79.450975049999997</v>
      </c>
      <c r="Z235" s="172">
        <v>105.35136644000001</v>
      </c>
      <c r="AA235" s="172">
        <v>78.90629586</v>
      </c>
      <c r="AB235" s="172">
        <f>SUM(X235:AA235)</f>
        <v>330.73035434999997</v>
      </c>
      <c r="AC235" s="172">
        <v>76.757306069999998</v>
      </c>
      <c r="AD235" s="172">
        <v>75.235378668551292</v>
      </c>
      <c r="AE235" s="172">
        <v>108.48443856999999</v>
      </c>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row>
    <row r="236" spans="1:59" ht="15.75" customHeight="1" x14ac:dyDescent="0.2">
      <c r="A236" s="195"/>
      <c r="B236" s="195"/>
      <c r="C236" s="196" t="s">
        <v>244</v>
      </c>
      <c r="D236" s="140">
        <f t="shared" ref="D236:AE236" si="144">D235/D224</f>
        <v>0.2924880243753516</v>
      </c>
      <c r="E236" s="140">
        <f t="shared" si="144"/>
        <v>0.30376811841297902</v>
      </c>
      <c r="F236" s="140">
        <f t="shared" si="144"/>
        <v>0.35274982169154934</v>
      </c>
      <c r="G236" s="140">
        <f t="shared" si="144"/>
        <v>0.28970350207190126</v>
      </c>
      <c r="H236" s="140">
        <f t="shared" si="144"/>
        <v>0.31082245563519467</v>
      </c>
      <c r="I236" s="140">
        <f t="shared" si="144"/>
        <v>0.22056216926785216</v>
      </c>
      <c r="J236" s="140">
        <f t="shared" si="144"/>
        <v>0.22633504518194611</v>
      </c>
      <c r="K236" s="140">
        <f t="shared" si="144"/>
        <v>0.36372038921012906</v>
      </c>
      <c r="L236" s="140">
        <f t="shared" si="144"/>
        <v>0.30487492123571558</v>
      </c>
      <c r="M236" s="140">
        <f t="shared" si="144"/>
        <v>0.28399485086289739</v>
      </c>
      <c r="N236" s="140">
        <f t="shared" si="144"/>
        <v>0.2879805824863278</v>
      </c>
      <c r="O236" s="140">
        <f t="shared" si="144"/>
        <v>0.34646827890094151</v>
      </c>
      <c r="P236" s="140">
        <f t="shared" si="144"/>
        <v>0.32251299693092983</v>
      </c>
      <c r="Q236" s="140">
        <f t="shared" si="144"/>
        <v>0.26558988058520122</v>
      </c>
      <c r="R236" s="140">
        <f t="shared" si="144"/>
        <v>0.30531565983233605</v>
      </c>
      <c r="S236" s="140">
        <f t="shared" si="144"/>
        <v>0.35496073581666227</v>
      </c>
      <c r="T236" s="140">
        <f t="shared" si="144"/>
        <v>0.33505699519795823</v>
      </c>
      <c r="U236" s="140">
        <f t="shared" si="144"/>
        <v>0.36237884975156864</v>
      </c>
      <c r="V236" s="140">
        <f t="shared" si="144"/>
        <v>0.32274039803440963</v>
      </c>
      <c r="W236" s="140">
        <f t="shared" si="144"/>
        <v>0.34331122042647533</v>
      </c>
      <c r="X236" s="140">
        <f t="shared" si="144"/>
        <v>0.26424366524070736</v>
      </c>
      <c r="Y236" s="140">
        <f t="shared" si="144"/>
        <v>0.30295687721303916</v>
      </c>
      <c r="Z236" s="140">
        <f t="shared" si="144"/>
        <v>0.32983475279788516</v>
      </c>
      <c r="AA236" s="140">
        <f t="shared" si="144"/>
        <v>0.26725201933593973</v>
      </c>
      <c r="AB236" s="140">
        <f t="shared" si="144"/>
        <v>0.29254068247556669</v>
      </c>
      <c r="AC236" s="140">
        <f t="shared" si="144"/>
        <v>0.27782109811169103</v>
      </c>
      <c r="AD236" s="140">
        <f t="shared" si="144"/>
        <v>0.24726884888202302</v>
      </c>
      <c r="AE236" s="140">
        <f t="shared" si="144"/>
        <v>0.33453104081244706</v>
      </c>
      <c r="AF236" s="189"/>
      <c r="AG236" s="189"/>
      <c r="AH236" s="189"/>
      <c r="AI236" s="189"/>
      <c r="AJ236" s="189"/>
      <c r="AK236" s="189"/>
      <c r="AL236" s="189"/>
      <c r="AM236" s="189"/>
      <c r="AN236" s="84"/>
      <c r="AO236" s="189"/>
      <c r="AP236" s="189"/>
      <c r="AQ236" s="189"/>
      <c r="AR236" s="189"/>
      <c r="AS236" s="189"/>
      <c r="AT236" s="189"/>
      <c r="AU236" s="189"/>
      <c r="AV236" s="189"/>
      <c r="AW236" s="189"/>
      <c r="AX236" s="189"/>
      <c r="AY236" s="189"/>
      <c r="AZ236" s="189"/>
      <c r="BA236" s="189"/>
      <c r="BB236" s="189"/>
      <c r="BC236" s="189"/>
      <c r="BD236" s="189"/>
      <c r="BE236" s="189"/>
      <c r="BF236" s="189"/>
      <c r="BG236" s="189"/>
    </row>
    <row r="237" spans="1:59" ht="15.75" customHeight="1" x14ac:dyDescent="0.2">
      <c r="A237" s="189"/>
      <c r="B237" s="189"/>
      <c r="C237" s="190" t="s">
        <v>245</v>
      </c>
      <c r="D237" s="140" t="s">
        <v>146</v>
      </c>
      <c r="E237" s="140" t="s">
        <v>146</v>
      </c>
      <c r="F237" s="140" t="s">
        <v>146</v>
      </c>
      <c r="G237" s="140" t="s">
        <v>146</v>
      </c>
      <c r="H237" s="140" t="s">
        <v>146</v>
      </c>
      <c r="I237" s="140">
        <f t="shared" ref="I237:AE237" si="145">I235/D235-1</f>
        <v>-0.26110892890112358</v>
      </c>
      <c r="J237" s="140">
        <f t="shared" si="145"/>
        <v>-0.29281705652550549</v>
      </c>
      <c r="K237" s="140">
        <f t="shared" si="145"/>
        <v>8.8098924257526745E-2</v>
      </c>
      <c r="L237" s="140">
        <f t="shared" si="145"/>
        <v>0.26154450624406955</v>
      </c>
      <c r="M237" s="140">
        <f t="shared" si="145"/>
        <v>-4.5019745744572792E-2</v>
      </c>
      <c r="N237" s="140">
        <f t="shared" si="145"/>
        <v>0.73515125671818282</v>
      </c>
      <c r="O237" s="140">
        <f t="shared" si="145"/>
        <v>1.3133287942587986</v>
      </c>
      <c r="P237" s="140">
        <f t="shared" si="145"/>
        <v>0.23712897638217489</v>
      </c>
      <c r="Q237" s="140">
        <f t="shared" si="145"/>
        <v>0.26258648518716043</v>
      </c>
      <c r="R237" s="140">
        <f t="shared" si="145"/>
        <v>0.529843134313571</v>
      </c>
      <c r="S237" s="140">
        <f t="shared" si="145"/>
        <v>0.66482795482066903</v>
      </c>
      <c r="T237" s="140">
        <f t="shared" si="145"/>
        <v>9.9120772410693059E-2</v>
      </c>
      <c r="U237" s="140">
        <f t="shared" si="145"/>
        <v>0.31697246021137859</v>
      </c>
      <c r="V237" s="140">
        <f t="shared" si="145"/>
        <v>0.41247956391365959</v>
      </c>
      <c r="W237" s="140">
        <f t="shared" si="145"/>
        <v>0.34574769668789118</v>
      </c>
      <c r="X237" s="140">
        <f t="shared" si="145"/>
        <v>-0.23400002810949017</v>
      </c>
      <c r="Y237" s="140">
        <f t="shared" si="145"/>
        <v>-6.5383363398266114E-2</v>
      </c>
      <c r="Z237" s="140">
        <f t="shared" si="145"/>
        <v>4.4965931899169087E-2</v>
      </c>
      <c r="AA237" s="140">
        <f t="shared" si="145"/>
        <v>-0.17309981084667792</v>
      </c>
      <c r="AB237" s="140">
        <f t="shared" si="145"/>
        <v>-0.10309701402535809</v>
      </c>
      <c r="AC237" s="140">
        <f t="shared" si="145"/>
        <v>0.14526021572977621</v>
      </c>
      <c r="AD237" s="140">
        <f t="shared" si="145"/>
        <v>-5.3059089316345731E-2</v>
      </c>
      <c r="AE237" s="140">
        <f t="shared" si="145"/>
        <v>2.9739264291216871E-2</v>
      </c>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row>
    <row r="238" spans="1:59" ht="15.75" customHeight="1" x14ac:dyDescent="0.2">
      <c r="A238" s="189"/>
      <c r="B238" s="189"/>
      <c r="C238" s="190" t="s">
        <v>246</v>
      </c>
      <c r="D238" s="172">
        <v>38.391384725910342</v>
      </c>
      <c r="E238" s="172">
        <v>22.105727308789938</v>
      </c>
      <c r="F238" s="172">
        <v>34.870862515672187</v>
      </c>
      <c r="G238" s="172">
        <v>33.07031370398213</v>
      </c>
      <c r="H238" s="172">
        <f>SUM(D238:G238)</f>
        <v>128.4382882543546</v>
      </c>
      <c r="I238" s="172">
        <v>27.16334741</v>
      </c>
      <c r="J238" s="172">
        <v>32.908856450000002</v>
      </c>
      <c r="K238" s="172">
        <v>16.473397670000001</v>
      </c>
      <c r="L238" s="172">
        <v>13.750044800000001</v>
      </c>
      <c r="M238" s="172">
        <f>SUM(I238:L238)</f>
        <v>90.295646329999997</v>
      </c>
      <c r="N238" s="172">
        <v>9.9868145572606775</v>
      </c>
      <c r="O238" s="172">
        <v>12.455405710856258</v>
      </c>
      <c r="P238" s="172">
        <v>10.553847138203777</v>
      </c>
      <c r="Q238" s="172">
        <v>31.186870617418325</v>
      </c>
      <c r="R238" s="172">
        <f>SUM(N238:Q238)</f>
        <v>64.182938023739041</v>
      </c>
      <c r="S238" s="172">
        <v>19.7</v>
      </c>
      <c r="T238" s="172">
        <v>41.7</v>
      </c>
      <c r="U238" s="172">
        <v>42.096377560000001</v>
      </c>
      <c r="V238" s="172">
        <v>88.611016770000006</v>
      </c>
      <c r="W238" s="172">
        <f>SUM(S238:V238)</f>
        <v>192.10739433000003</v>
      </c>
      <c r="X238" s="172">
        <v>58.990616410000001</v>
      </c>
      <c r="Y238" s="172">
        <v>53.984707880000002</v>
      </c>
      <c r="Z238" s="172">
        <v>66.229441129999998</v>
      </c>
      <c r="AA238" s="172">
        <v>57.44280886</v>
      </c>
      <c r="AB238" s="172">
        <f>SUM(X238:AA238)</f>
        <v>236.64757428000001</v>
      </c>
      <c r="AC238" s="172">
        <v>54.331703699999998</v>
      </c>
      <c r="AD238" s="172">
        <v>44.919574811473105</v>
      </c>
      <c r="AE238" s="172">
        <v>73.769427449999995</v>
      </c>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c r="BG238" s="189"/>
    </row>
    <row r="239" spans="1:59" ht="15.75" customHeight="1" x14ac:dyDescent="0.2">
      <c r="A239" s="84"/>
      <c r="B239" s="84"/>
      <c r="C239" s="189" t="s">
        <v>247</v>
      </c>
      <c r="D239" s="140" t="s">
        <v>146</v>
      </c>
      <c r="E239" s="140" t="s">
        <v>146</v>
      </c>
      <c r="F239" s="140" t="s">
        <v>146</v>
      </c>
      <c r="G239" s="140" t="s">
        <v>146</v>
      </c>
      <c r="H239" s="140" t="s">
        <v>146</v>
      </c>
      <c r="I239" s="140">
        <f t="shared" ref="I239:AE239" si="146">I238/D238-1</f>
        <v>-0.29246242082882046</v>
      </c>
      <c r="J239" s="140">
        <f t="shared" si="146"/>
        <v>0.48870272352063249</v>
      </c>
      <c r="K239" s="140">
        <f t="shared" si="146"/>
        <v>-0.52758846551053107</v>
      </c>
      <c r="L239" s="140">
        <f t="shared" si="146"/>
        <v>-0.58421789030854265</v>
      </c>
      <c r="M239" s="140">
        <f t="shared" si="146"/>
        <v>-0.29697251841926042</v>
      </c>
      <c r="N239" s="140">
        <f t="shared" si="146"/>
        <v>-0.6323422733391062</v>
      </c>
      <c r="O239" s="140">
        <f t="shared" si="146"/>
        <v>-0.62151812446657484</v>
      </c>
      <c r="P239" s="140">
        <f t="shared" si="146"/>
        <v>-0.35933998865191141</v>
      </c>
      <c r="Q239" s="140">
        <f t="shared" si="146"/>
        <v>1.2681286549276058</v>
      </c>
      <c r="R239" s="140">
        <f t="shared" si="146"/>
        <v>-0.2891912220311027</v>
      </c>
      <c r="S239" s="140">
        <f t="shared" si="146"/>
        <v>0.97260096170280641</v>
      </c>
      <c r="T239" s="140">
        <f t="shared" si="146"/>
        <v>2.3479439343877702</v>
      </c>
      <c r="U239" s="140">
        <f t="shared" si="146"/>
        <v>2.9887234492544148</v>
      </c>
      <c r="V239" s="140">
        <f t="shared" si="146"/>
        <v>1.8412923456484744</v>
      </c>
      <c r="W239" s="140">
        <f t="shared" si="146"/>
        <v>1.9931224753056052</v>
      </c>
      <c r="X239" s="140">
        <f t="shared" si="146"/>
        <v>1.9944475335025382</v>
      </c>
      <c r="Y239" s="140">
        <f t="shared" si="146"/>
        <v>0.29459731127098321</v>
      </c>
      <c r="Z239" s="140">
        <f t="shared" si="146"/>
        <v>0.57328124101897182</v>
      </c>
      <c r="AA239" s="140">
        <f t="shared" si="146"/>
        <v>-0.35174190575987452</v>
      </c>
      <c r="AB239" s="140">
        <f t="shared" si="146"/>
        <v>0.23185041942471685</v>
      </c>
      <c r="AC239" s="140">
        <f t="shared" si="146"/>
        <v>-7.8977183042458154E-2</v>
      </c>
      <c r="AD239" s="140">
        <f t="shared" si="146"/>
        <v>-0.1679203875415487</v>
      </c>
      <c r="AE239" s="140">
        <f t="shared" si="146"/>
        <v>0.11384644338459626</v>
      </c>
      <c r="AF239" s="84"/>
      <c r="AG239" s="84"/>
      <c r="AH239" s="84"/>
      <c r="AI239" s="84"/>
      <c r="AJ239" s="84"/>
      <c r="AK239" s="84"/>
      <c r="AL239" s="84"/>
      <c r="AM239" s="84"/>
      <c r="AN239" s="189"/>
      <c r="AO239" s="84"/>
      <c r="AP239" s="84"/>
      <c r="AQ239" s="84"/>
      <c r="AR239" s="84"/>
      <c r="AS239" s="84"/>
      <c r="AT239" s="84"/>
      <c r="AU239" s="84"/>
      <c r="AV239" s="84"/>
      <c r="AW239" s="84"/>
      <c r="AX239" s="84"/>
      <c r="AY239" s="84"/>
      <c r="AZ239" s="84"/>
      <c r="BA239" s="84"/>
      <c r="BB239" s="84"/>
      <c r="BC239" s="84"/>
      <c r="BD239" s="84"/>
      <c r="BE239" s="84"/>
      <c r="BF239" s="84"/>
      <c r="BG239" s="84"/>
    </row>
    <row r="240" spans="1:59" ht="15.75" customHeight="1" x14ac:dyDescent="0.2">
      <c r="A240" s="190"/>
      <c r="B240" s="190"/>
      <c r="C240" s="190"/>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189"/>
      <c r="AG240" s="189"/>
      <c r="AH240" s="189"/>
      <c r="AI240" s="189"/>
      <c r="AJ240" s="189"/>
      <c r="AK240" s="189"/>
      <c r="AL240" s="189"/>
      <c r="AM240" s="189"/>
      <c r="AN240" s="195"/>
      <c r="AO240" s="189"/>
      <c r="AP240" s="189"/>
      <c r="AQ240" s="189"/>
      <c r="AR240" s="189"/>
      <c r="AS240" s="189"/>
      <c r="AT240" s="189"/>
      <c r="AU240" s="189"/>
      <c r="AV240" s="189"/>
      <c r="AW240" s="189"/>
      <c r="AX240" s="189"/>
      <c r="AY240" s="189"/>
      <c r="AZ240" s="189"/>
      <c r="BA240" s="189"/>
      <c r="BB240" s="189"/>
      <c r="BC240" s="189"/>
      <c r="BD240" s="189"/>
      <c r="BE240" s="189"/>
      <c r="BF240" s="189"/>
      <c r="BG240" s="189"/>
    </row>
    <row r="241" spans="1:59" ht="15.75" customHeight="1" x14ac:dyDescent="0.2">
      <c r="A241" s="162"/>
      <c r="B241" s="162"/>
      <c r="C241" s="227" t="s">
        <v>25</v>
      </c>
      <c r="D241" s="228" t="s">
        <v>98</v>
      </c>
      <c r="E241" s="228" t="s">
        <v>99</v>
      </c>
      <c r="F241" s="228" t="s">
        <v>100</v>
      </c>
      <c r="G241" s="228" t="s">
        <v>101</v>
      </c>
      <c r="H241" s="229">
        <v>2018</v>
      </c>
      <c r="I241" s="228" t="s">
        <v>102</v>
      </c>
      <c r="J241" s="228" t="s">
        <v>103</v>
      </c>
      <c r="K241" s="228" t="s">
        <v>104</v>
      </c>
      <c r="L241" s="228" t="s">
        <v>105</v>
      </c>
      <c r="M241" s="229">
        <v>2019</v>
      </c>
      <c r="N241" s="228" t="s">
        <v>158</v>
      </c>
      <c r="O241" s="228" t="s">
        <v>107</v>
      </c>
      <c r="P241" s="228" t="s">
        <v>108</v>
      </c>
      <c r="Q241" s="228" t="s">
        <v>109</v>
      </c>
      <c r="R241" s="229">
        <v>2020</v>
      </c>
      <c r="S241" s="228" t="s">
        <v>110</v>
      </c>
      <c r="T241" s="228" t="s">
        <v>111</v>
      </c>
      <c r="U241" s="228" t="s">
        <v>112</v>
      </c>
      <c r="V241" s="228" t="s">
        <v>113</v>
      </c>
      <c r="W241" s="229">
        <v>2021</v>
      </c>
      <c r="X241" s="228" t="s">
        <v>114</v>
      </c>
      <c r="Y241" s="228" t="s">
        <v>115</v>
      </c>
      <c r="Z241" s="228" t="str">
        <f>$Z$4</f>
        <v>3Q22</v>
      </c>
      <c r="AA241" s="228" t="str">
        <f>$AA$4</f>
        <v>4Q22</v>
      </c>
      <c r="AB241" s="229">
        <v>2022</v>
      </c>
      <c r="AC241" s="228" t="str">
        <f t="shared" ref="AC241:AE241" si="147">AC223</f>
        <v>1Q23</v>
      </c>
      <c r="AD241" s="228" t="str">
        <f t="shared" si="147"/>
        <v>2Q23</v>
      </c>
      <c r="AE241" s="228" t="str">
        <f t="shared" si="147"/>
        <v>3Q23</v>
      </c>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c r="BG241" s="189"/>
    </row>
    <row r="242" spans="1:59" ht="15.75" customHeight="1" x14ac:dyDescent="0.2">
      <c r="A242" s="189"/>
      <c r="B242" s="189"/>
      <c r="C242" s="190" t="s">
        <v>188</v>
      </c>
      <c r="D242" s="172">
        <f t="shared" ref="D242:AA242" si="148">D67</f>
        <v>7.6539371999999997</v>
      </c>
      <c r="E242" s="172">
        <f t="shared" si="148"/>
        <v>9.3383706400000186</v>
      </c>
      <c r="F242" s="172">
        <f t="shared" si="148"/>
        <v>9.8674366299999807</v>
      </c>
      <c r="G242" s="172">
        <f t="shared" si="148"/>
        <v>9.4734990700000701</v>
      </c>
      <c r="H242" s="172">
        <f t="shared" si="148"/>
        <v>36.333243540000069</v>
      </c>
      <c r="I242" s="172">
        <f t="shared" si="148"/>
        <v>8.1110761199999999</v>
      </c>
      <c r="J242" s="172">
        <f t="shared" si="148"/>
        <v>8.5174733499999995</v>
      </c>
      <c r="K242" s="172">
        <f t="shared" si="148"/>
        <v>10.354238430000001</v>
      </c>
      <c r="L242" s="172">
        <f t="shared" si="148"/>
        <v>9.5039064700000004</v>
      </c>
      <c r="M242" s="172">
        <f t="shared" si="148"/>
        <v>36.486694369999995</v>
      </c>
      <c r="N242" s="172">
        <f t="shared" si="148"/>
        <v>9.4110153499999996</v>
      </c>
      <c r="O242" s="172">
        <f t="shared" si="148"/>
        <v>10.22864742000001</v>
      </c>
      <c r="P242" s="172">
        <f t="shared" si="148"/>
        <v>10.665170029999999</v>
      </c>
      <c r="Q242" s="172">
        <f t="shared" si="148"/>
        <v>11.487471029999988</v>
      </c>
      <c r="R242" s="172">
        <f t="shared" si="148"/>
        <v>41.792303830000002</v>
      </c>
      <c r="S242" s="172">
        <f t="shared" si="148"/>
        <v>11.387311279999999</v>
      </c>
      <c r="T242" s="172">
        <f t="shared" si="148"/>
        <v>11.49110303</v>
      </c>
      <c r="U242" s="172">
        <f t="shared" si="148"/>
        <v>11.85329567</v>
      </c>
      <c r="V242" s="172">
        <f t="shared" si="148"/>
        <v>12.60479204</v>
      </c>
      <c r="W242" s="172">
        <f t="shared" si="148"/>
        <v>47.336502019999998</v>
      </c>
      <c r="X242" s="172">
        <f t="shared" si="148"/>
        <v>11.91382134</v>
      </c>
      <c r="Y242" s="172">
        <f t="shared" si="148"/>
        <v>11.110177719999999</v>
      </c>
      <c r="Z242" s="172">
        <f t="shared" si="148"/>
        <v>13.98906994</v>
      </c>
      <c r="AA242" s="172">
        <f t="shared" si="148"/>
        <v>14.12708271</v>
      </c>
      <c r="AB242" s="172">
        <f>SUM(X242:AA242)</f>
        <v>51.140151709999998</v>
      </c>
      <c r="AC242" s="172">
        <f t="shared" ref="AC242:AE242" si="149">AC67</f>
        <v>13.904463509999999</v>
      </c>
      <c r="AD242" s="172">
        <f t="shared" si="149"/>
        <v>12.644874060000001</v>
      </c>
      <c r="AE242" s="172">
        <f t="shared" si="149"/>
        <v>13.05355424</v>
      </c>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c r="BG242" s="189"/>
    </row>
    <row r="243" spans="1:59" ht="15.75" customHeight="1" x14ac:dyDescent="0.2">
      <c r="A243" s="196"/>
      <c r="B243" s="196"/>
      <c r="C243" s="196" t="s">
        <v>240</v>
      </c>
      <c r="D243" s="140" t="s">
        <v>146</v>
      </c>
      <c r="E243" s="140" t="s">
        <v>146</v>
      </c>
      <c r="F243" s="140" t="s">
        <v>146</v>
      </c>
      <c r="G243" s="140" t="s">
        <v>146</v>
      </c>
      <c r="H243" s="140" t="s">
        <v>146</v>
      </c>
      <c r="I243" s="140">
        <f t="shared" ref="I243:AE243" si="150">I242/D242-1</f>
        <v>5.9725982596251281E-2</v>
      </c>
      <c r="J243" s="140">
        <f t="shared" si="150"/>
        <v>-8.7905837286408772E-2</v>
      </c>
      <c r="K243" s="140">
        <f t="shared" si="150"/>
        <v>4.9334170388284582E-2</v>
      </c>
      <c r="L243" s="140">
        <f t="shared" si="150"/>
        <v>3.2097327265510067E-3</v>
      </c>
      <c r="M243" s="140">
        <f t="shared" si="150"/>
        <v>4.2234277771262541E-3</v>
      </c>
      <c r="N243" s="140">
        <f t="shared" si="150"/>
        <v>0.16026717179914707</v>
      </c>
      <c r="O243" s="140">
        <f t="shared" si="150"/>
        <v>0.200901605403909</v>
      </c>
      <c r="P243" s="140">
        <f t="shared" si="150"/>
        <v>3.0029403137860511E-2</v>
      </c>
      <c r="Q243" s="140">
        <f t="shared" si="150"/>
        <v>0.20871044620033885</v>
      </c>
      <c r="R243" s="140">
        <f t="shared" si="150"/>
        <v>0.1454121715219665</v>
      </c>
      <c r="S243" s="140">
        <f t="shared" si="150"/>
        <v>0.20999816241931857</v>
      </c>
      <c r="T243" s="140">
        <f t="shared" si="150"/>
        <v>0.12342351419128184</v>
      </c>
      <c r="U243" s="140">
        <f t="shared" si="150"/>
        <v>0.1114024095872761</v>
      </c>
      <c r="V243" s="140">
        <f t="shared" si="150"/>
        <v>9.7264315799542311E-2</v>
      </c>
      <c r="W243" s="140">
        <f t="shared" si="150"/>
        <v>0.1326607456854334</v>
      </c>
      <c r="X243" s="140">
        <f t="shared" si="150"/>
        <v>4.6236556378741689E-2</v>
      </c>
      <c r="Y243" s="140">
        <f t="shared" si="150"/>
        <v>-3.3149586162922073E-2</v>
      </c>
      <c r="Z243" s="140">
        <f t="shared" si="150"/>
        <v>0.1801840036274065</v>
      </c>
      <c r="AA243" s="140">
        <f t="shared" si="150"/>
        <v>0.1207707882184148</v>
      </c>
      <c r="AB243" s="140">
        <f t="shared" si="150"/>
        <v>8.0353417081661993E-2</v>
      </c>
      <c r="AC243" s="140">
        <f t="shared" si="150"/>
        <v>0.16708679047557373</v>
      </c>
      <c r="AD243" s="140">
        <f t="shared" si="150"/>
        <v>0.1381342745973646</v>
      </c>
      <c r="AE243" s="140">
        <f t="shared" si="150"/>
        <v>-6.6874760367378605E-2</v>
      </c>
      <c r="AF243" s="195"/>
      <c r="AG243" s="195"/>
      <c r="AH243" s="195"/>
      <c r="AI243" s="195"/>
      <c r="AJ243" s="195"/>
      <c r="AK243" s="195"/>
      <c r="AL243" s="195"/>
      <c r="AM243" s="195"/>
      <c r="AN243" s="189"/>
      <c r="AO243" s="195"/>
      <c r="AP243" s="195"/>
      <c r="AQ243" s="195"/>
      <c r="AR243" s="195"/>
      <c r="AS243" s="195"/>
      <c r="AT243" s="195"/>
      <c r="AU243" s="195"/>
      <c r="AV243" s="195"/>
      <c r="AW243" s="195"/>
      <c r="AX243" s="195"/>
      <c r="AY243" s="195"/>
      <c r="AZ243" s="195"/>
      <c r="BA243" s="195"/>
      <c r="BB243" s="195"/>
      <c r="BC243" s="195"/>
      <c r="BD243" s="195"/>
      <c r="BE243" s="195"/>
      <c r="BF243" s="195"/>
      <c r="BG243" s="195"/>
    </row>
    <row r="244" spans="1:59" ht="15.75" customHeight="1" x14ac:dyDescent="0.2">
      <c r="A244" s="189"/>
      <c r="B244" s="189"/>
      <c r="C244" s="190"/>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row>
    <row r="245" spans="1:59" ht="15.75" customHeight="1" x14ac:dyDescent="0.2">
      <c r="A245" s="189"/>
      <c r="B245" s="189"/>
      <c r="C245" s="217" t="s">
        <v>227</v>
      </c>
      <c r="D245" s="172">
        <f t="shared" ref="D245:AE245" si="151">(D242-D246)*-1</f>
        <v>-8.360826472349002</v>
      </c>
      <c r="E245" s="172">
        <f t="shared" si="151"/>
        <v>-8.4834831622279996</v>
      </c>
      <c r="F245" s="172">
        <f t="shared" si="151"/>
        <v>-8.3079767413710002</v>
      </c>
      <c r="G245" s="172">
        <f t="shared" si="151"/>
        <v>-6.4757556541350247</v>
      </c>
      <c r="H245" s="172">
        <f t="shared" si="151"/>
        <v>-31.628042030083023</v>
      </c>
      <c r="I245" s="172">
        <f t="shared" si="151"/>
        <v>-7.6093296600000002</v>
      </c>
      <c r="J245" s="172">
        <f t="shared" si="151"/>
        <v>-8.1638903000000003</v>
      </c>
      <c r="K245" s="172">
        <f t="shared" si="151"/>
        <v>-7.9413353600000001</v>
      </c>
      <c r="L245" s="172">
        <f t="shared" si="151"/>
        <v>-6.7005450100000008</v>
      </c>
      <c r="M245" s="172">
        <f t="shared" si="151"/>
        <v>-30.415100329999994</v>
      </c>
      <c r="N245" s="172">
        <f t="shared" si="151"/>
        <v>-10.413827322655001</v>
      </c>
      <c r="O245" s="172">
        <f t="shared" si="151"/>
        <v>-7.3049513052740016</v>
      </c>
      <c r="P245" s="172">
        <f t="shared" si="151"/>
        <v>-7.5686142934050018</v>
      </c>
      <c r="Q245" s="172">
        <f t="shared" si="151"/>
        <v>-8.8088638733840146</v>
      </c>
      <c r="R245" s="172">
        <f t="shared" si="151"/>
        <v>-29.085059360000002</v>
      </c>
      <c r="S245" s="172">
        <f t="shared" si="151"/>
        <v>-8.818166269999999</v>
      </c>
      <c r="T245" s="172">
        <f t="shared" si="151"/>
        <v>-8.8032347599999987</v>
      </c>
      <c r="U245" s="172">
        <f t="shared" si="151"/>
        <v>-9.0075724299999997</v>
      </c>
      <c r="V245" s="172">
        <f t="shared" si="151"/>
        <v>-9.7848174300000004</v>
      </c>
      <c r="W245" s="172">
        <f t="shared" si="151"/>
        <v>-36.413790890000001</v>
      </c>
      <c r="X245" s="172">
        <f t="shared" si="151"/>
        <v>-9.4925309700000007</v>
      </c>
      <c r="Y245" s="172">
        <f t="shared" si="151"/>
        <v>-8.7520500800000001</v>
      </c>
      <c r="Z245" s="172">
        <f t="shared" si="151"/>
        <v>-12.38033444</v>
      </c>
      <c r="AA245" s="172">
        <f t="shared" si="151"/>
        <v>-11.93853049</v>
      </c>
      <c r="AB245" s="172">
        <f t="shared" si="151"/>
        <v>-42.563445979999997</v>
      </c>
      <c r="AC245" s="172">
        <f t="shared" si="151"/>
        <v>-15.22878766</v>
      </c>
      <c r="AD245" s="172">
        <f t="shared" si="151"/>
        <v>-14.028548942647021</v>
      </c>
      <c r="AE245" s="172">
        <f t="shared" si="151"/>
        <v>-12.15559318</v>
      </c>
      <c r="AF245" s="189"/>
      <c r="AG245" s="189"/>
      <c r="AH245" s="189"/>
      <c r="AI245" s="189"/>
      <c r="AJ245" s="189"/>
      <c r="AK245" s="189"/>
      <c r="AL245" s="189"/>
      <c r="AM245" s="189"/>
      <c r="AN245" s="195"/>
      <c r="AO245" s="189"/>
      <c r="AP245" s="189"/>
      <c r="AQ245" s="189"/>
      <c r="AR245" s="189"/>
      <c r="AS245" s="189"/>
      <c r="AT245" s="189"/>
      <c r="AU245" s="189"/>
      <c r="AV245" s="189"/>
      <c r="AW245" s="189"/>
      <c r="AX245" s="189"/>
      <c r="AY245" s="189"/>
      <c r="AZ245" s="189"/>
      <c r="BA245" s="189"/>
      <c r="BB245" s="189"/>
      <c r="BC245" s="189"/>
      <c r="BD245" s="189"/>
      <c r="BE245" s="189"/>
      <c r="BF245" s="189"/>
      <c r="BG245" s="189"/>
    </row>
    <row r="246" spans="1:59" ht="15.75" customHeight="1" x14ac:dyDescent="0.2">
      <c r="A246" s="189"/>
      <c r="B246" s="189"/>
      <c r="C246" s="190" t="s">
        <v>189</v>
      </c>
      <c r="D246" s="172">
        <f t="shared" ref="D246:AA246" si="152">D95</f>
        <v>-0.70688927234900156</v>
      </c>
      <c r="E246" s="172">
        <f t="shared" si="152"/>
        <v>0.85488747777201957</v>
      </c>
      <c r="F246" s="172">
        <f t="shared" si="152"/>
        <v>1.5594598886289812</v>
      </c>
      <c r="G246" s="172">
        <f t="shared" si="152"/>
        <v>2.9977434158650453</v>
      </c>
      <c r="H246" s="172">
        <f t="shared" si="152"/>
        <v>4.7052015099170443</v>
      </c>
      <c r="I246" s="172">
        <f t="shared" si="152"/>
        <v>0.50174646000000001</v>
      </c>
      <c r="J246" s="172">
        <f t="shared" si="152"/>
        <v>0.35358305000000001</v>
      </c>
      <c r="K246" s="172">
        <f t="shared" si="152"/>
        <v>2.41290307</v>
      </c>
      <c r="L246" s="172">
        <f t="shared" si="152"/>
        <v>2.8033614600000001</v>
      </c>
      <c r="M246" s="172">
        <f t="shared" si="152"/>
        <v>6.0715940400000008</v>
      </c>
      <c r="N246" s="172">
        <f t="shared" si="152"/>
        <v>-1.0028119726550009</v>
      </c>
      <c r="O246" s="172">
        <f t="shared" si="152"/>
        <v>2.9236961147260088</v>
      </c>
      <c r="P246" s="172">
        <f t="shared" si="152"/>
        <v>3.0965557365949969</v>
      </c>
      <c r="Q246" s="172">
        <f t="shared" si="152"/>
        <v>2.6786071566159735</v>
      </c>
      <c r="R246" s="172">
        <f t="shared" si="152"/>
        <v>12.707244469999999</v>
      </c>
      <c r="S246" s="172">
        <f t="shared" si="152"/>
        <v>2.5691450099999997</v>
      </c>
      <c r="T246" s="172">
        <f t="shared" si="152"/>
        <v>2.6878682700000001</v>
      </c>
      <c r="U246" s="172">
        <f t="shared" si="152"/>
        <v>2.8457232400000003</v>
      </c>
      <c r="V246" s="172">
        <f t="shared" si="152"/>
        <v>2.81997461</v>
      </c>
      <c r="W246" s="172">
        <f t="shared" si="152"/>
        <v>10.92271113</v>
      </c>
      <c r="X246" s="172">
        <f t="shared" si="152"/>
        <v>2.4212903699999999</v>
      </c>
      <c r="Y246" s="172">
        <f t="shared" si="152"/>
        <v>2.3581276400000002</v>
      </c>
      <c r="Z246" s="172">
        <f t="shared" si="152"/>
        <v>1.6087355000000001</v>
      </c>
      <c r="AA246" s="172">
        <f t="shared" si="152"/>
        <v>2.18855222</v>
      </c>
      <c r="AB246" s="172">
        <f>SUM(X246:AA246)</f>
        <v>8.5767057300000005</v>
      </c>
      <c r="AC246" s="172">
        <f t="shared" ref="AC246:AE246" si="153">AC95</f>
        <v>-1.32432415</v>
      </c>
      <c r="AD246" s="172">
        <f t="shared" si="153"/>
        <v>-1.38367488264702</v>
      </c>
      <c r="AE246" s="172">
        <f t="shared" si="153"/>
        <v>0.89796105999999998</v>
      </c>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c r="BG246" s="189"/>
    </row>
    <row r="247" spans="1:59" ht="15.75" customHeight="1" x14ac:dyDescent="0.2">
      <c r="A247" s="195"/>
      <c r="B247" s="195"/>
      <c r="C247" s="196" t="s">
        <v>222</v>
      </c>
      <c r="D247" s="140">
        <f t="shared" ref="D247:AE247" si="154">D246/D242</f>
        <v>-9.2356293745002455E-2</v>
      </c>
      <c r="E247" s="140">
        <f t="shared" si="154"/>
        <v>9.1545678655138268E-2</v>
      </c>
      <c r="F247" s="140">
        <f t="shared" si="154"/>
        <v>0.15804103407036366</v>
      </c>
      <c r="G247" s="140">
        <f t="shared" si="154"/>
        <v>0.31643465563405848</v>
      </c>
      <c r="H247" s="140">
        <f t="shared" si="154"/>
        <v>0.12950127903491424</v>
      </c>
      <c r="I247" s="140">
        <f t="shared" si="154"/>
        <v>6.1859419462580507E-2</v>
      </c>
      <c r="J247" s="140">
        <f t="shared" si="154"/>
        <v>4.1512668777531313E-2</v>
      </c>
      <c r="K247" s="140">
        <f t="shared" si="154"/>
        <v>0.23303530108104725</v>
      </c>
      <c r="L247" s="140">
        <f t="shared" si="154"/>
        <v>0.29496938641484755</v>
      </c>
      <c r="M247" s="140">
        <f t="shared" si="154"/>
        <v>0.16640570336215968</v>
      </c>
      <c r="N247" s="140">
        <f t="shared" si="154"/>
        <v>-0.10655725608342578</v>
      </c>
      <c r="O247" s="140">
        <f t="shared" si="154"/>
        <v>0.28583408877788907</v>
      </c>
      <c r="P247" s="140">
        <f t="shared" si="154"/>
        <v>0.29034283821867934</v>
      </c>
      <c r="Q247" s="140">
        <f t="shared" si="154"/>
        <v>0.23317640145691634</v>
      </c>
      <c r="R247" s="140">
        <f t="shared" si="154"/>
        <v>0.30405704652439591</v>
      </c>
      <c r="S247" s="140">
        <f t="shared" si="154"/>
        <v>0.22561471683946099</v>
      </c>
      <c r="T247" s="140">
        <f t="shared" si="154"/>
        <v>0.2339086389690129</v>
      </c>
      <c r="U247" s="140">
        <f t="shared" si="154"/>
        <v>0.24007865147600763</v>
      </c>
      <c r="V247" s="140">
        <f t="shared" si="154"/>
        <v>0.22372242247639654</v>
      </c>
      <c r="W247" s="140">
        <f t="shared" si="154"/>
        <v>0.23074605566302892</v>
      </c>
      <c r="X247" s="140">
        <f t="shared" si="154"/>
        <v>0.20323373172221834</v>
      </c>
      <c r="Y247" s="140">
        <f t="shared" si="154"/>
        <v>0.21224931764637878</v>
      </c>
      <c r="Z247" s="140">
        <f t="shared" si="154"/>
        <v>0.11499946078616861</v>
      </c>
      <c r="AA247" s="140">
        <f t="shared" si="154"/>
        <v>0.15491890752864432</v>
      </c>
      <c r="AB247" s="140">
        <f t="shared" si="154"/>
        <v>0.16770982179786734</v>
      </c>
      <c r="AC247" s="140">
        <f t="shared" si="154"/>
        <v>-9.5244534177644086E-2</v>
      </c>
      <c r="AD247" s="140">
        <f t="shared" si="154"/>
        <v>-0.1094257543476886</v>
      </c>
      <c r="AE247" s="140">
        <f t="shared" si="154"/>
        <v>6.8790541142302708E-2</v>
      </c>
      <c r="AF247" s="189"/>
      <c r="AG247" s="189"/>
      <c r="AH247" s="189"/>
      <c r="AI247" s="189"/>
      <c r="AJ247" s="189"/>
      <c r="AK247" s="189"/>
      <c r="AL247" s="189"/>
      <c r="AM247" s="189"/>
      <c r="AN247" s="147"/>
      <c r="AO247" s="189"/>
      <c r="AP247" s="189"/>
      <c r="AQ247" s="189"/>
      <c r="AR247" s="189"/>
      <c r="AS247" s="189"/>
      <c r="AT247" s="189"/>
      <c r="AU247" s="189"/>
      <c r="AV247" s="189"/>
      <c r="AW247" s="189"/>
      <c r="AX247" s="189"/>
      <c r="AY247" s="189"/>
      <c r="AZ247" s="189"/>
      <c r="BA247" s="189"/>
      <c r="BB247" s="189"/>
      <c r="BC247" s="189"/>
      <c r="BD247" s="189"/>
      <c r="BE247" s="189"/>
      <c r="BF247" s="189"/>
      <c r="BG247" s="189"/>
    </row>
    <row r="248" spans="1:59" ht="15.75" customHeight="1" x14ac:dyDescent="0.2">
      <c r="A248" s="190"/>
      <c r="B248" s="190"/>
      <c r="C248" s="190" t="s">
        <v>241</v>
      </c>
      <c r="D248" s="140" t="s">
        <v>146</v>
      </c>
      <c r="E248" s="140" t="s">
        <v>146</v>
      </c>
      <c r="F248" s="140" t="s">
        <v>146</v>
      </c>
      <c r="G248" s="140" t="s">
        <v>146</v>
      </c>
      <c r="H248" s="140" t="s">
        <v>146</v>
      </c>
      <c r="I248" s="191" t="s">
        <v>347</v>
      </c>
      <c r="J248" s="191">
        <v>-0.58639814099999998</v>
      </c>
      <c r="K248" s="191">
        <v>0.54726844060000002</v>
      </c>
      <c r="L248" s="191">
        <v>-6.484275967E-2</v>
      </c>
      <c r="M248" s="191">
        <v>0.2904004275</v>
      </c>
      <c r="N248" s="191" t="s">
        <v>347</v>
      </c>
      <c r="O248" s="191">
        <v>7.2687677329999998</v>
      </c>
      <c r="P248" s="191">
        <v>0.28333200580000001</v>
      </c>
      <c r="Q248" s="191">
        <v>-4.4501683129999997E-2</v>
      </c>
      <c r="R248" s="191">
        <v>1.0929008739999999</v>
      </c>
      <c r="S248" s="191" t="s">
        <v>347</v>
      </c>
      <c r="T248" s="191">
        <v>-8.0660860589999994E-2</v>
      </c>
      <c r="U248" s="191">
        <v>-8.1003707970000005E-2</v>
      </c>
      <c r="V248" s="191">
        <v>5.2776478639999999E-2</v>
      </c>
      <c r="W248" s="191">
        <v>-0.14043432820000001</v>
      </c>
      <c r="X248" s="191">
        <v>-5.7550134160000002E-2</v>
      </c>
      <c r="Y248" s="191">
        <v>-0.1226773773</v>
      </c>
      <c r="Z248" s="191">
        <v>-0.43468307900000003</v>
      </c>
      <c r="AA248" s="191">
        <v>-0.2239106649</v>
      </c>
      <c r="AB248" s="191">
        <v>-0.21478233490000001</v>
      </c>
      <c r="AC248" s="191" t="s">
        <v>347</v>
      </c>
      <c r="AD248" s="191" t="s">
        <v>347</v>
      </c>
      <c r="AE248" s="191">
        <v>-0.44182181599999998</v>
      </c>
      <c r="AF248" s="195"/>
      <c r="AG248" s="195"/>
      <c r="AH248" s="195"/>
      <c r="AI248" s="195"/>
      <c r="AJ248" s="195"/>
      <c r="AK248" s="195"/>
      <c r="AL248" s="195"/>
      <c r="AM248" s="195"/>
      <c r="AN248" s="147"/>
      <c r="AO248" s="195"/>
      <c r="AP248" s="195"/>
      <c r="AQ248" s="195"/>
      <c r="AR248" s="195"/>
      <c r="AS248" s="195"/>
      <c r="AT248" s="195"/>
      <c r="AU248" s="195"/>
      <c r="AV248" s="195"/>
      <c r="AW248" s="195"/>
      <c r="AX248" s="195"/>
      <c r="AY248" s="195"/>
      <c r="AZ248" s="195"/>
      <c r="BA248" s="195"/>
      <c r="BB248" s="195"/>
      <c r="BC248" s="195"/>
      <c r="BD248" s="195"/>
      <c r="BE248" s="195"/>
      <c r="BF248" s="195"/>
      <c r="BG248" s="195"/>
    </row>
    <row r="249" spans="1:59" ht="15.75" customHeight="1" x14ac:dyDescent="0.2">
      <c r="A249" s="189"/>
      <c r="B249" s="189"/>
      <c r="C249" s="190"/>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189"/>
    </row>
    <row r="250" spans="1:59" ht="15.75" customHeight="1" x14ac:dyDescent="0.2">
      <c r="A250" s="147"/>
      <c r="B250" s="147"/>
      <c r="C250" s="189" t="s">
        <v>242</v>
      </c>
      <c r="D250" s="172">
        <f t="shared" ref="D250:AE250" si="155">D253-D246</f>
        <v>-0.19097253467500008</v>
      </c>
      <c r="E250" s="172">
        <f t="shared" si="155"/>
        <v>-0.21268620571899999</v>
      </c>
      <c r="F250" s="172">
        <f t="shared" si="155"/>
        <v>-0.23192357554999976</v>
      </c>
      <c r="G250" s="172">
        <f t="shared" si="155"/>
        <v>-0.20824632502500018</v>
      </c>
      <c r="H250" s="172">
        <f t="shared" si="155"/>
        <v>-0.8438286409689999</v>
      </c>
      <c r="I250" s="172">
        <f t="shared" si="155"/>
        <v>-0.43351654000000001</v>
      </c>
      <c r="J250" s="172">
        <f t="shared" si="155"/>
        <v>-0.7092811</v>
      </c>
      <c r="K250" s="172">
        <f t="shared" si="155"/>
        <v>-0.13631819000000034</v>
      </c>
      <c r="L250" s="172">
        <f t="shared" si="155"/>
        <v>-0.44206829999999986</v>
      </c>
      <c r="M250" s="172">
        <f t="shared" si="155"/>
        <v>-1.721184130000001</v>
      </c>
      <c r="N250" s="172">
        <f t="shared" si="155"/>
        <v>0.74060512265500089</v>
      </c>
      <c r="O250" s="172">
        <f t="shared" si="155"/>
        <v>0.72959361527399125</v>
      </c>
      <c r="P250" s="172">
        <f t="shared" si="155"/>
        <v>0.90099118340500306</v>
      </c>
      <c r="Q250" s="172">
        <f t="shared" si="155"/>
        <v>0.89010049338402641</v>
      </c>
      <c r="R250" s="172">
        <f t="shared" si="155"/>
        <v>-1.7499070199999984</v>
      </c>
      <c r="S250" s="172">
        <f t="shared" si="155"/>
        <v>-0.43762104999999973</v>
      </c>
      <c r="T250" s="172">
        <f t="shared" si="155"/>
        <v>-0.40522814000000018</v>
      </c>
      <c r="U250" s="172">
        <f t="shared" si="155"/>
        <v>-0.33943462000000002</v>
      </c>
      <c r="V250" s="172">
        <f t="shared" si="155"/>
        <v>-0.35117413999999991</v>
      </c>
      <c r="W250" s="172">
        <f t="shared" si="155"/>
        <v>-1.533457949999999</v>
      </c>
      <c r="X250" s="172">
        <f t="shared" si="155"/>
        <v>-0.3577855999999997</v>
      </c>
      <c r="Y250" s="172">
        <f t="shared" si="155"/>
        <v>-0.43935254000000024</v>
      </c>
      <c r="Z250" s="172">
        <f t="shared" si="155"/>
        <v>-0.43947924000000005</v>
      </c>
      <c r="AA250" s="172">
        <f t="shared" si="155"/>
        <v>-0.38860187999999996</v>
      </c>
      <c r="AB250" s="172">
        <f t="shared" si="155"/>
        <v>-1.6252192599999997</v>
      </c>
      <c r="AC250" s="172">
        <f t="shared" si="155"/>
        <v>-0.44678006999999997</v>
      </c>
      <c r="AD250" s="172">
        <f t="shared" si="155"/>
        <v>-0.42855419268200001</v>
      </c>
      <c r="AE250" s="172">
        <f t="shared" si="155"/>
        <v>-0.38280616000000001</v>
      </c>
      <c r="AF250" s="147"/>
      <c r="AG250" s="147"/>
      <c r="AH250" s="147"/>
      <c r="AI250" s="147"/>
      <c r="AJ250" s="147"/>
      <c r="AK250" s="147"/>
      <c r="AL250" s="147"/>
      <c r="AM250" s="147"/>
      <c r="AN250" s="189"/>
      <c r="AO250" s="147"/>
      <c r="AP250" s="147"/>
      <c r="AQ250" s="147"/>
      <c r="AR250" s="147"/>
      <c r="AS250" s="147"/>
      <c r="AT250" s="147"/>
      <c r="AU250" s="147"/>
      <c r="AV250" s="147"/>
      <c r="AW250" s="147"/>
      <c r="AX250" s="147"/>
      <c r="AY250" s="147"/>
      <c r="AZ250" s="147"/>
      <c r="BA250" s="147"/>
      <c r="BB250" s="147"/>
      <c r="BC250" s="147"/>
      <c r="BD250" s="147"/>
      <c r="BE250" s="147"/>
      <c r="BF250" s="147"/>
      <c r="BG250" s="147"/>
    </row>
    <row r="251" spans="1:59" ht="15.75" customHeight="1" x14ac:dyDescent="0.2">
      <c r="A251" s="147"/>
      <c r="B251" s="147"/>
      <c r="C251" s="189" t="s">
        <v>243</v>
      </c>
      <c r="D251" s="140" t="s">
        <v>146</v>
      </c>
      <c r="E251" s="140" t="s">
        <v>146</v>
      </c>
      <c r="F251" s="140" t="s">
        <v>146</v>
      </c>
      <c r="G251" s="140" t="s">
        <v>146</v>
      </c>
      <c r="H251" s="140" t="s">
        <v>146</v>
      </c>
      <c r="I251" s="140">
        <f t="shared" ref="I251:AE251" si="156">I250/D250-1</f>
        <v>1.2700465317579042</v>
      </c>
      <c r="J251" s="140">
        <f t="shared" si="156"/>
        <v>2.3348711901753463</v>
      </c>
      <c r="K251" s="140">
        <f t="shared" si="156"/>
        <v>-0.41222797347477136</v>
      </c>
      <c r="L251" s="140">
        <f t="shared" si="156"/>
        <v>1.1228144119562691</v>
      </c>
      <c r="M251" s="140">
        <f t="shared" si="156"/>
        <v>1.0397318204600179</v>
      </c>
      <c r="N251" s="140">
        <f t="shared" si="156"/>
        <v>-2.7083664735260182</v>
      </c>
      <c r="O251" s="140">
        <f t="shared" si="156"/>
        <v>-2.028638173601399</v>
      </c>
      <c r="P251" s="140">
        <f t="shared" si="156"/>
        <v>-7.6094714388813465</v>
      </c>
      <c r="Q251" s="140">
        <f t="shared" si="156"/>
        <v>-3.0134908867793206</v>
      </c>
      <c r="R251" s="140">
        <f t="shared" si="156"/>
        <v>1.6687865928671552E-2</v>
      </c>
      <c r="S251" s="140">
        <f t="shared" si="156"/>
        <v>-1.5908966014590458</v>
      </c>
      <c r="T251" s="140">
        <f t="shared" si="156"/>
        <v>-1.5554162365412436</v>
      </c>
      <c r="U251" s="140">
        <f t="shared" si="156"/>
        <v>-1.3767346742697495</v>
      </c>
      <c r="V251" s="140">
        <f t="shared" si="156"/>
        <v>-1.3945331371122931</v>
      </c>
      <c r="W251" s="140">
        <f t="shared" si="156"/>
        <v>-0.12369175477677641</v>
      </c>
      <c r="X251" s="140">
        <f t="shared" si="156"/>
        <v>-0.18243055264366304</v>
      </c>
      <c r="Y251" s="140">
        <f t="shared" si="156"/>
        <v>8.421034136474348E-2</v>
      </c>
      <c r="Z251" s="140">
        <f t="shared" si="156"/>
        <v>0.29473899863249087</v>
      </c>
      <c r="AA251" s="140">
        <f t="shared" si="156"/>
        <v>0.10657886141616246</v>
      </c>
      <c r="AB251" s="140">
        <f t="shared" si="156"/>
        <v>5.9839469350953411E-2</v>
      </c>
      <c r="AC251" s="140">
        <f t="shared" si="156"/>
        <v>0.24873686923118288</v>
      </c>
      <c r="AD251" s="140">
        <f t="shared" si="156"/>
        <v>-2.4577864778021374E-2</v>
      </c>
      <c r="AE251" s="140">
        <f t="shared" si="156"/>
        <v>-0.12895507874274115</v>
      </c>
      <c r="AF251" s="147"/>
      <c r="AG251" s="147"/>
      <c r="AH251" s="147"/>
      <c r="AI251" s="147"/>
      <c r="AJ251" s="147"/>
      <c r="AK251" s="147"/>
      <c r="AL251" s="147"/>
      <c r="AM251" s="147"/>
      <c r="AN251" s="189"/>
      <c r="AO251" s="147"/>
      <c r="AP251" s="147"/>
      <c r="AQ251" s="147"/>
      <c r="AR251" s="147"/>
      <c r="AS251" s="147"/>
      <c r="AT251" s="147"/>
      <c r="AU251" s="147"/>
      <c r="AV251" s="147"/>
      <c r="AW251" s="147"/>
      <c r="AX251" s="147"/>
      <c r="AY251" s="147"/>
      <c r="AZ251" s="147"/>
      <c r="BA251" s="147"/>
      <c r="BB251" s="147"/>
      <c r="BC251" s="147"/>
      <c r="BD251" s="147"/>
      <c r="BE251" s="147"/>
      <c r="BF251" s="147"/>
      <c r="BG251" s="147"/>
    </row>
    <row r="252" spans="1:59" ht="15.75" customHeight="1" x14ac:dyDescent="0.2">
      <c r="A252" s="189"/>
      <c r="B252" s="189"/>
      <c r="C252" s="190"/>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row>
    <row r="253" spans="1:59" ht="15.75" customHeight="1" x14ac:dyDescent="0.2">
      <c r="A253" s="189"/>
      <c r="B253" s="189"/>
      <c r="C253" s="190" t="s">
        <v>190</v>
      </c>
      <c r="D253" s="172">
        <v>-0.89786180702400165</v>
      </c>
      <c r="E253" s="172">
        <v>0.64220127205301958</v>
      </c>
      <c r="F253" s="172">
        <v>1.3275363130789815</v>
      </c>
      <c r="G253" s="172">
        <v>2.7894970908400452</v>
      </c>
      <c r="H253" s="172">
        <v>3.8613728689480444</v>
      </c>
      <c r="I253" s="172">
        <v>6.8229919999999999E-2</v>
      </c>
      <c r="J253" s="172">
        <v>-0.35569804999999999</v>
      </c>
      <c r="K253" s="172">
        <v>2.2765848799999997</v>
      </c>
      <c r="L253" s="172">
        <v>2.3612931600000002</v>
      </c>
      <c r="M253" s="172">
        <v>4.3504099099999998</v>
      </c>
      <c r="N253" s="172">
        <v>-0.26220684999999999</v>
      </c>
      <c r="O253" s="172">
        <v>3.65328973</v>
      </c>
      <c r="P253" s="172">
        <v>3.99754692</v>
      </c>
      <c r="Q253" s="172">
        <v>3.5687076499999999</v>
      </c>
      <c r="R253" s="172">
        <v>10.957337450000001</v>
      </c>
      <c r="S253" s="172">
        <v>2.13152396</v>
      </c>
      <c r="T253" s="172">
        <v>2.2826401299999999</v>
      </c>
      <c r="U253" s="172">
        <v>2.5062886200000003</v>
      </c>
      <c r="V253" s="172">
        <v>2.4688004700000001</v>
      </c>
      <c r="W253" s="172">
        <f>SUM(S253:V253)</f>
        <v>9.3892531800000008</v>
      </c>
      <c r="X253" s="172">
        <v>2.0635047700000002</v>
      </c>
      <c r="Y253" s="172">
        <v>1.9187751</v>
      </c>
      <c r="Z253" s="172">
        <v>1.16925626</v>
      </c>
      <c r="AA253" s="172">
        <v>1.7999503400000001</v>
      </c>
      <c r="AB253" s="172">
        <f>SUM(X253:AA253)</f>
        <v>6.9514864700000008</v>
      </c>
      <c r="AC253" s="172">
        <v>-1.77110422</v>
      </c>
      <c r="AD253" s="172">
        <v>-1.81222907532902</v>
      </c>
      <c r="AE253" s="172">
        <v>0.51515489999999997</v>
      </c>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c r="BG253" s="189"/>
    </row>
    <row r="254" spans="1:59" ht="15.75" customHeight="1" x14ac:dyDescent="0.2">
      <c r="A254" s="195"/>
      <c r="B254" s="195"/>
      <c r="C254" s="196" t="s">
        <v>244</v>
      </c>
      <c r="D254" s="140">
        <f t="shared" ref="D254:AE254" si="157">D253/D242</f>
        <v>-0.11730718237719558</v>
      </c>
      <c r="E254" s="140">
        <f t="shared" si="157"/>
        <v>6.8770163105564885E-2</v>
      </c>
      <c r="F254" s="140">
        <f t="shared" si="157"/>
        <v>0.13453710045047274</v>
      </c>
      <c r="G254" s="140">
        <f t="shared" si="157"/>
        <v>0.29445266951823584</v>
      </c>
      <c r="H254" s="140">
        <f t="shared" si="157"/>
        <v>0.1062765801433878</v>
      </c>
      <c r="I254" s="140">
        <f t="shared" si="157"/>
        <v>8.4119442341024416E-3</v>
      </c>
      <c r="J254" s="140">
        <f t="shared" si="157"/>
        <v>-4.1760981852675828E-2</v>
      </c>
      <c r="K254" s="140">
        <f t="shared" si="157"/>
        <v>0.2198698528521329</v>
      </c>
      <c r="L254" s="140">
        <f t="shared" si="157"/>
        <v>0.2484550082067464</v>
      </c>
      <c r="M254" s="140">
        <f t="shared" si="157"/>
        <v>0.11923277745810219</v>
      </c>
      <c r="N254" s="140">
        <f t="shared" si="157"/>
        <v>-2.7861696134625899E-2</v>
      </c>
      <c r="O254" s="140">
        <f t="shared" si="157"/>
        <v>0.35716254358877847</v>
      </c>
      <c r="P254" s="140">
        <f t="shared" si="157"/>
        <v>0.37482261499397779</v>
      </c>
      <c r="Q254" s="140">
        <f t="shared" si="157"/>
        <v>0.31066086179283309</v>
      </c>
      <c r="R254" s="140">
        <f t="shared" si="157"/>
        <v>0.26218553288116253</v>
      </c>
      <c r="S254" s="140">
        <f t="shared" si="157"/>
        <v>0.18718413044031587</v>
      </c>
      <c r="T254" s="140">
        <f t="shared" si="157"/>
        <v>0.19864412702946585</v>
      </c>
      <c r="U254" s="140">
        <f t="shared" si="157"/>
        <v>0.21144234395023745</v>
      </c>
      <c r="V254" s="140">
        <f t="shared" si="157"/>
        <v>0.19586205485703517</v>
      </c>
      <c r="W254" s="140">
        <f t="shared" si="157"/>
        <v>0.19835122536162425</v>
      </c>
      <c r="X254" s="140">
        <f t="shared" si="157"/>
        <v>0.17320259479398908</v>
      </c>
      <c r="Y254" s="140">
        <f t="shared" si="157"/>
        <v>0.17270426705649494</v>
      </c>
      <c r="Z254" s="140">
        <f t="shared" si="157"/>
        <v>8.358355952289992E-2</v>
      </c>
      <c r="AA254" s="140">
        <f t="shared" si="157"/>
        <v>0.12741132595803994</v>
      </c>
      <c r="AB254" s="140">
        <f t="shared" si="157"/>
        <v>0.1359301104427639</v>
      </c>
      <c r="AC254" s="140">
        <f t="shared" si="157"/>
        <v>-0.12737666712032675</v>
      </c>
      <c r="AD254" s="140">
        <f t="shared" si="157"/>
        <v>-0.14331728941941077</v>
      </c>
      <c r="AE254" s="140">
        <f t="shared" si="157"/>
        <v>3.9464722827857186E-2</v>
      </c>
      <c r="AF254" s="189"/>
      <c r="AG254" s="189"/>
      <c r="AH254" s="189"/>
      <c r="AI254" s="189"/>
      <c r="AJ254" s="189"/>
      <c r="AK254" s="189"/>
      <c r="AL254" s="189"/>
      <c r="AM254" s="189"/>
      <c r="AN254" s="147"/>
      <c r="AO254" s="189"/>
      <c r="AP254" s="189"/>
      <c r="AQ254" s="189"/>
      <c r="AR254" s="189"/>
      <c r="AS254" s="189"/>
      <c r="AT254" s="189"/>
      <c r="AU254" s="189"/>
      <c r="AV254" s="189"/>
      <c r="AW254" s="189"/>
      <c r="AX254" s="189"/>
      <c r="AY254" s="189"/>
      <c r="AZ254" s="189"/>
      <c r="BA254" s="189"/>
      <c r="BB254" s="189"/>
      <c r="BC254" s="189"/>
      <c r="BD254" s="189"/>
      <c r="BE254" s="189"/>
      <c r="BF254" s="189"/>
      <c r="BG254" s="189"/>
    </row>
    <row r="255" spans="1:59" ht="15.75" customHeight="1" x14ac:dyDescent="0.2">
      <c r="A255" s="189"/>
      <c r="B255" s="189"/>
      <c r="C255" s="190" t="s">
        <v>245</v>
      </c>
      <c r="D255" s="140" t="s">
        <v>146</v>
      </c>
      <c r="E255" s="140" t="s">
        <v>146</v>
      </c>
      <c r="F255" s="140" t="s">
        <v>146</v>
      </c>
      <c r="G255" s="140" t="s">
        <v>146</v>
      </c>
      <c r="H255" s="140" t="s">
        <v>146</v>
      </c>
      <c r="I255" s="191" t="s">
        <v>347</v>
      </c>
      <c r="J255" s="191" t="s">
        <v>347</v>
      </c>
      <c r="K255" s="191">
        <v>0.71489461909999996</v>
      </c>
      <c r="L255" s="191">
        <v>-0.15350578149999999</v>
      </c>
      <c r="M255" s="191">
        <v>0.12664848940000001</v>
      </c>
      <c r="N255" s="191" t="s">
        <v>347</v>
      </c>
      <c r="O255" s="191" t="s">
        <v>347</v>
      </c>
      <c r="P255" s="191">
        <v>0.7559402046</v>
      </c>
      <c r="Q255" s="191">
        <v>0.51133612309999998</v>
      </c>
      <c r="R255" s="191">
        <v>1.5186908079999999</v>
      </c>
      <c r="S255" s="191" t="s">
        <v>347</v>
      </c>
      <c r="T255" s="191">
        <v>-0.37518228809999998</v>
      </c>
      <c r="U255" s="191">
        <v>-0.37304335129999999</v>
      </c>
      <c r="V255" s="191">
        <v>-0.30820882179999998</v>
      </c>
      <c r="W255" s="191">
        <v>-0.14310814799999999</v>
      </c>
      <c r="X255" s="191">
        <v>-3.1911060480000003E-2</v>
      </c>
      <c r="Y255" s="191">
        <v>-0.15940534170000001</v>
      </c>
      <c r="Z255" s="191">
        <v>-0.53347102540000002</v>
      </c>
      <c r="AA255" s="191">
        <v>-0.2709210963</v>
      </c>
      <c r="AB255" s="191">
        <v>-0.25963371769999999</v>
      </c>
      <c r="AC255" s="191" t="s">
        <v>347</v>
      </c>
      <c r="AD255" s="191" t="s">
        <v>347</v>
      </c>
      <c r="AE255" s="191">
        <v>-0.55941659870000005</v>
      </c>
      <c r="AF255" s="189"/>
      <c r="AG255" s="189"/>
      <c r="AH255" s="189"/>
      <c r="AI255" s="189"/>
      <c r="AJ255" s="189"/>
      <c r="AK255" s="189"/>
      <c r="AL255" s="189"/>
      <c r="AM255" s="189"/>
      <c r="AN255" s="147"/>
      <c r="AO255" s="189"/>
      <c r="AP255" s="189"/>
      <c r="AQ255" s="189"/>
      <c r="AR255" s="189"/>
      <c r="AS255" s="189"/>
      <c r="AT255" s="189"/>
      <c r="AU255" s="189"/>
      <c r="AV255" s="189"/>
      <c r="AW255" s="189"/>
      <c r="AX255" s="189"/>
      <c r="AY255" s="189"/>
      <c r="AZ255" s="189"/>
      <c r="BA255" s="189"/>
      <c r="BB255" s="189"/>
      <c r="BC255" s="189"/>
      <c r="BD255" s="189"/>
      <c r="BE255" s="189"/>
      <c r="BF255" s="189"/>
      <c r="BG255" s="189"/>
    </row>
    <row r="256" spans="1:59" ht="15.75" customHeight="1" x14ac:dyDescent="0.2">
      <c r="A256" s="189"/>
      <c r="B256" s="189"/>
      <c r="C256" s="190" t="s">
        <v>246</v>
      </c>
      <c r="D256" s="172">
        <v>9.2010773401000001E-2</v>
      </c>
      <c r="E256" s="172">
        <v>8.5741221065000012E-2</v>
      </c>
      <c r="F256" s="172">
        <v>4.0058312036000014E-2</v>
      </c>
      <c r="G256" s="172">
        <v>3.2504339490999991E-2</v>
      </c>
      <c r="H256" s="172">
        <f>SUM(D256:G256)</f>
        <v>0.25031464599300002</v>
      </c>
      <c r="I256" s="172">
        <v>7.1822440000000001E-2</v>
      </c>
      <c r="J256" s="172">
        <v>0</v>
      </c>
      <c r="K256" s="172">
        <v>0.50864787</v>
      </c>
      <c r="L256" s="172">
        <v>0.12040613</v>
      </c>
      <c r="M256" s="172">
        <f>SUM(I256:L256)</f>
        <v>0.70087644000000004</v>
      </c>
      <c r="N256" s="172">
        <v>0.5</v>
      </c>
      <c r="O256" s="172">
        <v>0.13039134999999999</v>
      </c>
      <c r="P256" s="172">
        <v>0.20134960999999998</v>
      </c>
      <c r="Q256" s="172">
        <v>0.15211810000000001</v>
      </c>
      <c r="R256" s="172">
        <f>SUM(N256:Q256)</f>
        <v>0.98385906000000001</v>
      </c>
      <c r="S256" s="172">
        <v>0.1</v>
      </c>
      <c r="T256" s="172">
        <v>7.0000000000000007E-2</v>
      </c>
      <c r="U256" s="172">
        <v>0.26326114</v>
      </c>
      <c r="V256" s="172">
        <v>7.5282409999999994E-2</v>
      </c>
      <c r="W256" s="172">
        <f>SUM(S256:V256)</f>
        <v>0.50854355000000007</v>
      </c>
      <c r="X256" s="172">
        <v>5.5181510000000003E-2</v>
      </c>
      <c r="Y256" s="172">
        <v>0.28988016</v>
      </c>
      <c r="Z256" s="172">
        <v>0.34862956000000001</v>
      </c>
      <c r="AA256" s="172">
        <v>0.19710275999999999</v>
      </c>
      <c r="AB256" s="172">
        <f>SUM(X256:AA256)</f>
        <v>0.89079398999999992</v>
      </c>
      <c r="AC256" s="172">
        <v>0.14592226999999999</v>
      </c>
      <c r="AD256" s="172">
        <v>0.16897542117700001</v>
      </c>
      <c r="AE256" s="172">
        <v>5.6802909999999998E-2</v>
      </c>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c r="BD256" s="189"/>
      <c r="BE256" s="189"/>
      <c r="BF256" s="189"/>
      <c r="BG256" s="189"/>
    </row>
    <row r="257" spans="1:59" ht="15.75" customHeight="1" x14ac:dyDescent="0.2">
      <c r="A257" s="84"/>
      <c r="B257" s="84"/>
      <c r="C257" s="189" t="s">
        <v>247</v>
      </c>
      <c r="D257" s="140" t="s">
        <v>146</v>
      </c>
      <c r="E257" s="140" t="s">
        <v>146</v>
      </c>
      <c r="F257" s="140" t="s">
        <v>146</v>
      </c>
      <c r="G257" s="140" t="s">
        <v>146</v>
      </c>
      <c r="H257" s="140" t="s">
        <v>146</v>
      </c>
      <c r="I257" s="140">
        <f t="shared" ref="I257:AE257" si="158">IFERROR((I256/D256-1),"0")</f>
        <v>-0.21941271282456787</v>
      </c>
      <c r="J257" s="140">
        <f t="shared" si="158"/>
        <v>-1</v>
      </c>
      <c r="K257" s="140">
        <f t="shared" si="158"/>
        <v>11.697686051845697</v>
      </c>
      <c r="L257" s="140">
        <f t="shared" si="158"/>
        <v>2.7043093902381501</v>
      </c>
      <c r="M257" s="140">
        <f t="shared" si="158"/>
        <v>1.7999817478502629</v>
      </c>
      <c r="N257" s="140">
        <f t="shared" si="158"/>
        <v>5.9616125545163881</v>
      </c>
      <c r="O257" s="140" t="str">
        <f t="shared" si="158"/>
        <v>0</v>
      </c>
      <c r="P257" s="140">
        <f t="shared" si="158"/>
        <v>-0.60414734460600417</v>
      </c>
      <c r="Q257" s="140">
        <f t="shared" si="158"/>
        <v>0.2633750457721713</v>
      </c>
      <c r="R257" s="140">
        <f t="shared" si="158"/>
        <v>0.40375536093066544</v>
      </c>
      <c r="S257" s="140">
        <f t="shared" si="158"/>
        <v>-0.8</v>
      </c>
      <c r="T257" s="140">
        <f t="shared" si="158"/>
        <v>-0.46315457275348393</v>
      </c>
      <c r="U257" s="140">
        <f t="shared" si="158"/>
        <v>0.30748274108899443</v>
      </c>
      <c r="V257" s="140">
        <f t="shared" si="158"/>
        <v>-0.50510550683975153</v>
      </c>
      <c r="W257" s="140">
        <f t="shared" si="158"/>
        <v>-0.48311341463888124</v>
      </c>
      <c r="X257" s="140">
        <f t="shared" si="158"/>
        <v>-0.4481849</v>
      </c>
      <c r="Y257" s="140">
        <f t="shared" si="158"/>
        <v>3.1411451428571429</v>
      </c>
      <c r="Z257" s="140">
        <f t="shared" si="158"/>
        <v>0.32427277341426075</v>
      </c>
      <c r="AA257" s="140">
        <f t="shared" si="158"/>
        <v>1.6181781374958639</v>
      </c>
      <c r="AB257" s="140">
        <f t="shared" si="158"/>
        <v>0.7516572376151458</v>
      </c>
      <c r="AC257" s="140">
        <f t="shared" si="158"/>
        <v>1.6444051639761215</v>
      </c>
      <c r="AD257" s="140">
        <f t="shared" si="158"/>
        <v>-0.41708524937684588</v>
      </c>
      <c r="AE257" s="140">
        <f t="shared" si="158"/>
        <v>-0.83706800421628047</v>
      </c>
      <c r="AF257" s="84"/>
      <c r="AG257" s="84"/>
      <c r="AH257" s="84"/>
      <c r="AI257" s="84"/>
      <c r="AJ257" s="84"/>
      <c r="AK257" s="84"/>
      <c r="AL257" s="84"/>
      <c r="AM257" s="84"/>
      <c r="AN257" s="189"/>
      <c r="AO257" s="84"/>
      <c r="AP257" s="84"/>
      <c r="AQ257" s="84"/>
      <c r="AR257" s="84"/>
      <c r="AS257" s="84"/>
      <c r="AT257" s="84"/>
      <c r="AU257" s="84"/>
      <c r="AV257" s="84"/>
      <c r="AW257" s="84"/>
      <c r="AX257" s="84"/>
      <c r="AY257" s="84"/>
      <c r="AZ257" s="84"/>
      <c r="BA257" s="84"/>
      <c r="BB257" s="84"/>
      <c r="BC257" s="84"/>
      <c r="BD257" s="84"/>
      <c r="BE257" s="84"/>
      <c r="BF257" s="84"/>
      <c r="BG257" s="84"/>
    </row>
    <row r="258" spans="1:59" ht="15.75" customHeight="1" x14ac:dyDescent="0.2">
      <c r="A258" s="209"/>
      <c r="B258" s="209"/>
      <c r="C258" s="230"/>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147"/>
      <c r="AG258" s="147"/>
      <c r="AH258" s="147"/>
      <c r="AI258" s="147"/>
      <c r="AJ258" s="147"/>
      <c r="AK258" s="147"/>
      <c r="AL258" s="147"/>
      <c r="AM258" s="147"/>
      <c r="AN258" s="195"/>
      <c r="AO258" s="147"/>
      <c r="AP258" s="147"/>
      <c r="AQ258" s="147"/>
      <c r="AR258" s="147"/>
      <c r="AS258" s="147"/>
      <c r="AT258" s="147"/>
      <c r="AU258" s="147"/>
      <c r="AV258" s="147"/>
      <c r="AW258" s="147"/>
      <c r="AX258" s="147"/>
      <c r="AY258" s="147"/>
      <c r="AZ258" s="147"/>
      <c r="BA258" s="147"/>
      <c r="BB258" s="147"/>
      <c r="BC258" s="147"/>
      <c r="BD258" s="147"/>
      <c r="BE258" s="147"/>
      <c r="BF258" s="147"/>
      <c r="BG258" s="147"/>
    </row>
    <row r="259" spans="1:59" ht="15.75" customHeight="1" x14ac:dyDescent="0.2">
      <c r="A259" s="162"/>
      <c r="B259" s="162"/>
      <c r="C259" s="227" t="s">
        <v>29</v>
      </c>
      <c r="D259" s="228" t="s">
        <v>98</v>
      </c>
      <c r="E259" s="228" t="s">
        <v>99</v>
      </c>
      <c r="F259" s="228" t="s">
        <v>100</v>
      </c>
      <c r="G259" s="228" t="s">
        <v>101</v>
      </c>
      <c r="H259" s="229">
        <v>2018</v>
      </c>
      <c r="I259" s="228" t="s">
        <v>102</v>
      </c>
      <c r="J259" s="228" t="s">
        <v>103</v>
      </c>
      <c r="K259" s="228" t="s">
        <v>104</v>
      </c>
      <c r="L259" s="228" t="s">
        <v>105</v>
      </c>
      <c r="M259" s="229">
        <v>2019</v>
      </c>
      <c r="N259" s="228" t="s">
        <v>158</v>
      </c>
      <c r="O259" s="228" t="s">
        <v>107</v>
      </c>
      <c r="P259" s="228" t="s">
        <v>108</v>
      </c>
      <c r="Q259" s="228" t="s">
        <v>109</v>
      </c>
      <c r="R259" s="229">
        <v>2020</v>
      </c>
      <c r="S259" s="228" t="s">
        <v>110</v>
      </c>
      <c r="T259" s="228" t="s">
        <v>111</v>
      </c>
      <c r="U259" s="228" t="s">
        <v>112</v>
      </c>
      <c r="V259" s="228" t="s">
        <v>113</v>
      </c>
      <c r="W259" s="229">
        <v>2021</v>
      </c>
      <c r="X259" s="228" t="s">
        <v>114</v>
      </c>
      <c r="Y259" s="228" t="s">
        <v>115</v>
      </c>
      <c r="Z259" s="228" t="str">
        <f>$Z$4</f>
        <v>3Q22</v>
      </c>
      <c r="AA259" s="228" t="str">
        <f>$AA$4</f>
        <v>4Q22</v>
      </c>
      <c r="AB259" s="229">
        <v>2022</v>
      </c>
      <c r="AC259" s="228" t="str">
        <f t="shared" ref="AC259:AE259" si="159">AC241</f>
        <v>1Q23</v>
      </c>
      <c r="AD259" s="228" t="str">
        <f t="shared" si="159"/>
        <v>2Q23</v>
      </c>
      <c r="AE259" s="228" t="str">
        <f t="shared" si="159"/>
        <v>3Q23</v>
      </c>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row>
    <row r="260" spans="1:59" ht="15.75" customHeight="1" x14ac:dyDescent="0.2">
      <c r="A260" s="189"/>
      <c r="B260" s="189"/>
      <c r="C260" s="190" t="s">
        <v>188</v>
      </c>
      <c r="D260" s="172">
        <f t="shared" ref="D260:AA260" si="160">D68</f>
        <v>21.962528239999997</v>
      </c>
      <c r="E260" s="172">
        <f t="shared" si="160"/>
        <v>29.017377740000001</v>
      </c>
      <c r="F260" s="172">
        <f t="shared" si="160"/>
        <v>12.654127890000201</v>
      </c>
      <c r="G260" s="172">
        <f t="shared" si="160"/>
        <v>22.277691660000201</v>
      </c>
      <c r="H260" s="172">
        <f t="shared" si="160"/>
        <v>85.911725530000396</v>
      </c>
      <c r="I260" s="172">
        <f t="shared" si="160"/>
        <v>6.0613707199999993</v>
      </c>
      <c r="J260" s="172">
        <f t="shared" si="160"/>
        <v>5.5312901200000004</v>
      </c>
      <c r="K260" s="172">
        <f t="shared" si="160"/>
        <v>3.6937262099999999</v>
      </c>
      <c r="L260" s="172">
        <f t="shared" si="160"/>
        <v>2.22361108</v>
      </c>
      <c r="M260" s="172">
        <f t="shared" si="160"/>
        <v>17.50999813</v>
      </c>
      <c r="N260" s="172">
        <f t="shared" si="160"/>
        <v>2.9516470348640027</v>
      </c>
      <c r="O260" s="172">
        <f t="shared" si="160"/>
        <v>2.8979514092720273</v>
      </c>
      <c r="P260" s="172">
        <f t="shared" si="160"/>
        <v>2.0964466788140101</v>
      </c>
      <c r="Q260" s="172">
        <f t="shared" si="160"/>
        <v>3.4876790221640217</v>
      </c>
      <c r="R260" s="172">
        <f t="shared" si="160"/>
        <v>11.39165465</v>
      </c>
      <c r="S260" s="172">
        <f t="shared" si="160"/>
        <v>13.631755929999999</v>
      </c>
      <c r="T260" s="172">
        <f t="shared" si="160"/>
        <v>3.8623366299999997</v>
      </c>
      <c r="U260" s="172">
        <f t="shared" si="160"/>
        <v>4.5141950999999993</v>
      </c>
      <c r="V260" s="172">
        <f t="shared" si="160"/>
        <v>1.7912096799999999</v>
      </c>
      <c r="W260" s="172">
        <f t="shared" si="160"/>
        <v>23.799497339999999</v>
      </c>
      <c r="X260" s="172">
        <f t="shared" si="160"/>
        <v>6.9947060499999996</v>
      </c>
      <c r="Y260" s="172">
        <f t="shared" si="160"/>
        <v>7.9650631900000004</v>
      </c>
      <c r="Z260" s="172">
        <f t="shared" si="160"/>
        <v>5.81546669</v>
      </c>
      <c r="AA260" s="172">
        <f t="shared" si="160"/>
        <v>2.31867723</v>
      </c>
      <c r="AB260" s="172">
        <f>SUM(X260:AA260)</f>
        <v>23.09391316</v>
      </c>
      <c r="AC260" s="172">
        <f t="shared" ref="AC260:AE260" si="161">AC68</f>
        <v>9.4493188799999999</v>
      </c>
      <c r="AD260" s="172">
        <f t="shared" si="161"/>
        <v>9.7402651700000291</v>
      </c>
      <c r="AE260" s="172">
        <f t="shared" si="161"/>
        <v>3.0583161799999998</v>
      </c>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c r="BG260" s="189"/>
    </row>
    <row r="261" spans="1:59" ht="15.75" customHeight="1" x14ac:dyDescent="0.2">
      <c r="A261" s="190"/>
      <c r="B261" s="190"/>
      <c r="C261" s="190" t="s">
        <v>240</v>
      </c>
      <c r="D261" s="140" t="s">
        <v>146</v>
      </c>
      <c r="E261" s="140" t="s">
        <v>146</v>
      </c>
      <c r="F261" s="140" t="s">
        <v>146</v>
      </c>
      <c r="G261" s="140" t="s">
        <v>146</v>
      </c>
      <c r="H261" s="140" t="s">
        <v>146</v>
      </c>
      <c r="I261" s="140">
        <f t="shared" ref="I261:AE261" si="162">I260/D260-1</f>
        <v>-0.72401307109258384</v>
      </c>
      <c r="J261" s="140">
        <f t="shared" si="162"/>
        <v>-0.80938008356367763</v>
      </c>
      <c r="K261" s="140">
        <f t="shared" si="162"/>
        <v>-0.70810108431740049</v>
      </c>
      <c r="L261" s="140">
        <f t="shared" si="162"/>
        <v>-0.90018664797338432</v>
      </c>
      <c r="M261" s="140">
        <f t="shared" si="162"/>
        <v>-0.79618616641699846</v>
      </c>
      <c r="N261" s="140">
        <f t="shared" si="162"/>
        <v>-0.51303967844685749</v>
      </c>
      <c r="O261" s="140">
        <f t="shared" si="162"/>
        <v>-0.47608038153818133</v>
      </c>
      <c r="P261" s="140">
        <f t="shared" si="162"/>
        <v>-0.43243040777134101</v>
      </c>
      <c r="Q261" s="140">
        <f t="shared" si="162"/>
        <v>0.56847528487941412</v>
      </c>
      <c r="R261" s="140">
        <f t="shared" si="162"/>
        <v>-0.34941999619733832</v>
      </c>
      <c r="S261" s="140">
        <f t="shared" si="162"/>
        <v>3.6183557075035164</v>
      </c>
      <c r="T261" s="140">
        <f t="shared" si="162"/>
        <v>0.33278170836212473</v>
      </c>
      <c r="U261" s="140">
        <f t="shared" si="162"/>
        <v>1.1532601547270183</v>
      </c>
      <c r="V261" s="140">
        <f t="shared" si="162"/>
        <v>-0.48641785307164043</v>
      </c>
      <c r="W261" s="140">
        <f t="shared" si="162"/>
        <v>1.0892046038281191</v>
      </c>
      <c r="X261" s="140">
        <f t="shared" si="162"/>
        <v>-0.48688150771490524</v>
      </c>
      <c r="Y261" s="140">
        <f t="shared" si="162"/>
        <v>1.0622395075905131</v>
      </c>
      <c r="Z261" s="140">
        <f t="shared" si="162"/>
        <v>0.28826215109754583</v>
      </c>
      <c r="AA261" s="140">
        <f t="shared" si="162"/>
        <v>0.29447560265529615</v>
      </c>
      <c r="AB261" s="140">
        <f t="shared" si="162"/>
        <v>-2.9647020267697721E-2</v>
      </c>
      <c r="AC261" s="140">
        <f t="shared" si="162"/>
        <v>0.35092437229724616</v>
      </c>
      <c r="AD261" s="140">
        <f t="shared" si="162"/>
        <v>0.22287355889765759</v>
      </c>
      <c r="AE261" s="140">
        <f t="shared" si="162"/>
        <v>-0.4741064917010126</v>
      </c>
      <c r="AF261" s="195"/>
      <c r="AG261" s="195"/>
      <c r="AH261" s="195"/>
      <c r="AI261" s="195"/>
      <c r="AJ261" s="195"/>
      <c r="AK261" s="195"/>
      <c r="AL261" s="195"/>
      <c r="AM261" s="195"/>
      <c r="AN261" s="189"/>
      <c r="AO261" s="195"/>
      <c r="AP261" s="195"/>
      <c r="AQ261" s="195"/>
      <c r="AR261" s="195"/>
      <c r="AS261" s="195"/>
      <c r="AT261" s="195"/>
      <c r="AU261" s="195"/>
      <c r="AV261" s="195"/>
      <c r="AW261" s="195"/>
      <c r="AX261" s="195"/>
      <c r="AY261" s="195"/>
      <c r="AZ261" s="195"/>
      <c r="BA261" s="195"/>
      <c r="BB261" s="195"/>
      <c r="BC261" s="195"/>
      <c r="BD261" s="195"/>
      <c r="BE261" s="195"/>
      <c r="BF261" s="195"/>
      <c r="BG261" s="195"/>
    </row>
    <row r="262" spans="1:59" ht="15.75" customHeight="1" x14ac:dyDescent="0.2">
      <c r="A262" s="189"/>
      <c r="B262" s="189"/>
      <c r="C262" s="190"/>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row>
    <row r="263" spans="1:59" ht="15.75" customHeight="1" x14ac:dyDescent="0.2">
      <c r="A263" s="189"/>
      <c r="B263" s="189"/>
      <c r="C263" s="217" t="s">
        <v>227</v>
      </c>
      <c r="D263" s="172">
        <f t="shared" ref="D263:AE263" si="163">(D260-D264)*-1</f>
        <v>-20.059966869382002</v>
      </c>
      <c r="E263" s="172">
        <f t="shared" si="163"/>
        <v>-27.998742321776991</v>
      </c>
      <c r="F263" s="172">
        <f t="shared" si="163"/>
        <v>-10.537096434862001</v>
      </c>
      <c r="G263" s="172">
        <f t="shared" si="163"/>
        <v>-17.379898294229069</v>
      </c>
      <c r="H263" s="172">
        <f t="shared" si="163"/>
        <v>-75.975703920250055</v>
      </c>
      <c r="I263" s="172">
        <f t="shared" si="163"/>
        <v>-5.4733883399999996</v>
      </c>
      <c r="J263" s="172">
        <f t="shared" si="163"/>
        <v>-8.143989620000001</v>
      </c>
      <c r="K263" s="172">
        <f t="shared" si="163"/>
        <v>-3.6896358399999998</v>
      </c>
      <c r="L263" s="172">
        <f t="shared" si="163"/>
        <v>-4.4667882800000003</v>
      </c>
      <c r="M263" s="172">
        <f t="shared" si="163"/>
        <v>-21.773802079999999</v>
      </c>
      <c r="N263" s="172">
        <f t="shared" si="163"/>
        <v>-3.7142768484799475</v>
      </c>
      <c r="O263" s="172">
        <f t="shared" si="163"/>
        <v>-1.1236864090879986</v>
      </c>
      <c r="P263" s="172">
        <f t="shared" si="163"/>
        <v>-2.9153079624460156</v>
      </c>
      <c r="Q263" s="172">
        <f t="shared" si="163"/>
        <v>-17.87932578385157</v>
      </c>
      <c r="R263" s="172">
        <f t="shared" si="163"/>
        <v>-25.485325159999999</v>
      </c>
      <c r="S263" s="172">
        <f t="shared" si="163"/>
        <v>-12.875762879999998</v>
      </c>
      <c r="T263" s="172">
        <f t="shared" si="163"/>
        <v>-3.0819315599999997</v>
      </c>
      <c r="U263" s="172">
        <f t="shared" si="163"/>
        <v>-4.6112077399999993</v>
      </c>
      <c r="V263" s="172">
        <f t="shared" si="163"/>
        <v>0.10115428999999998</v>
      </c>
      <c r="W263" s="172">
        <f t="shared" si="163"/>
        <v>-20.467747889999998</v>
      </c>
      <c r="X263" s="172">
        <f t="shared" si="163"/>
        <v>-5.3314226099999997</v>
      </c>
      <c r="Y263" s="172">
        <f t="shared" si="163"/>
        <v>-6.4753912300000005</v>
      </c>
      <c r="Z263" s="172">
        <f t="shared" si="163"/>
        <v>-6.1625215600000001</v>
      </c>
      <c r="AA263" s="172">
        <f t="shared" si="163"/>
        <v>-1.0034615499999999</v>
      </c>
      <c r="AB263" s="172">
        <f t="shared" si="163"/>
        <v>-18.972796949999999</v>
      </c>
      <c r="AC263" s="172">
        <f t="shared" si="163"/>
        <v>-7.9298498999999998</v>
      </c>
      <c r="AD263" s="172">
        <f t="shared" si="163"/>
        <v>-9.7439771905820187</v>
      </c>
      <c r="AE263" s="172">
        <f t="shared" si="163"/>
        <v>-4.1218000099999994</v>
      </c>
      <c r="AF263" s="189"/>
      <c r="AG263" s="189"/>
      <c r="AH263" s="189"/>
      <c r="AI263" s="189"/>
      <c r="AJ263" s="189"/>
      <c r="AK263" s="189"/>
      <c r="AL263" s="189"/>
      <c r="AM263" s="189"/>
      <c r="AN263" s="195"/>
      <c r="AO263" s="189"/>
      <c r="AP263" s="189"/>
      <c r="AQ263" s="189"/>
      <c r="AR263" s="189"/>
      <c r="AS263" s="189"/>
      <c r="AT263" s="189"/>
      <c r="AU263" s="189"/>
      <c r="AV263" s="189"/>
      <c r="AW263" s="189"/>
      <c r="AX263" s="189"/>
      <c r="AY263" s="189"/>
      <c r="AZ263" s="189"/>
      <c r="BA263" s="189"/>
      <c r="BB263" s="189"/>
      <c r="BC263" s="189"/>
      <c r="BD263" s="189"/>
      <c r="BE263" s="189"/>
      <c r="BF263" s="189"/>
      <c r="BG263" s="189"/>
    </row>
    <row r="264" spans="1:59" ht="15.75" customHeight="1" x14ac:dyDescent="0.2">
      <c r="A264" s="189"/>
      <c r="B264" s="189"/>
      <c r="C264" s="190" t="s">
        <v>189</v>
      </c>
      <c r="D264" s="172">
        <f t="shared" ref="D264:AA264" si="164">D96</f>
        <v>1.9025613706179967</v>
      </c>
      <c r="E264" s="172">
        <f t="shared" si="164"/>
        <v>1.0186354182230104</v>
      </c>
      <c r="F264" s="172">
        <f t="shared" si="164"/>
        <v>2.1170314551381999</v>
      </c>
      <c r="G264" s="172">
        <f t="shared" si="164"/>
        <v>4.8977933657711317</v>
      </c>
      <c r="H264" s="172">
        <f t="shared" si="164"/>
        <v>9.9360216097503375</v>
      </c>
      <c r="I264" s="172">
        <f t="shared" si="164"/>
        <v>0.58798238000000003</v>
      </c>
      <c r="J264" s="172">
        <f t="shared" si="164"/>
        <v>-2.6126995000000002</v>
      </c>
      <c r="K264" s="172">
        <f t="shared" si="164"/>
        <v>4.0903700000000003E-3</v>
      </c>
      <c r="L264" s="172">
        <f t="shared" si="164"/>
        <v>-2.2431772000000003</v>
      </c>
      <c r="M264" s="172">
        <f t="shared" si="164"/>
        <v>-4.2638039499999998</v>
      </c>
      <c r="N264" s="172">
        <f t="shared" si="164"/>
        <v>-0.76262981361594495</v>
      </c>
      <c r="O264" s="172">
        <f t="shared" si="164"/>
        <v>1.7742650001840288</v>
      </c>
      <c r="P264" s="172">
        <f t="shared" si="164"/>
        <v>-0.81886128363200572</v>
      </c>
      <c r="Q264" s="172">
        <f t="shared" si="164"/>
        <v>-14.391646761687547</v>
      </c>
      <c r="R264" s="172">
        <f t="shared" si="164"/>
        <v>-14.093670509999999</v>
      </c>
      <c r="S264" s="172">
        <f t="shared" si="164"/>
        <v>0.75599305000000006</v>
      </c>
      <c r="T264" s="172">
        <f t="shared" si="164"/>
        <v>0.78040506999999992</v>
      </c>
      <c r="U264" s="172">
        <f t="shared" si="164"/>
        <v>-9.7012639999999997E-2</v>
      </c>
      <c r="V264" s="172">
        <f t="shared" si="164"/>
        <v>1.8923639699999999</v>
      </c>
      <c r="W264" s="172">
        <f t="shared" si="164"/>
        <v>3.3317494499999998</v>
      </c>
      <c r="X264" s="172">
        <f t="shared" si="164"/>
        <v>1.6632834400000001</v>
      </c>
      <c r="Y264" s="172">
        <f t="shared" si="164"/>
        <v>1.4896719599999999</v>
      </c>
      <c r="Z264" s="172">
        <f t="shared" si="164"/>
        <v>-0.34705487000000002</v>
      </c>
      <c r="AA264" s="172">
        <f t="shared" si="164"/>
        <v>1.3152156800000001</v>
      </c>
      <c r="AB264" s="172">
        <f>SUM(X264:AA264)</f>
        <v>4.1211162100000003</v>
      </c>
      <c r="AC264" s="172">
        <f t="shared" ref="AC264:AE264" si="165">AC96</f>
        <v>1.5194689800000001</v>
      </c>
      <c r="AD264" s="172">
        <f t="shared" si="165"/>
        <v>-3.7120205819900004E-3</v>
      </c>
      <c r="AE264" s="172">
        <f t="shared" si="165"/>
        <v>-1.06348383</v>
      </c>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row>
    <row r="265" spans="1:59" ht="15.75" customHeight="1" x14ac:dyDescent="0.2">
      <c r="A265" s="195"/>
      <c r="B265" s="195"/>
      <c r="C265" s="196" t="s">
        <v>222</v>
      </c>
      <c r="D265" s="140">
        <f t="shared" ref="D265:AE265" si="166">D264/D260</f>
        <v>8.6627611804404758E-2</v>
      </c>
      <c r="E265" s="140">
        <f t="shared" si="166"/>
        <v>3.5104323600503619E-2</v>
      </c>
      <c r="F265" s="140">
        <f t="shared" si="166"/>
        <v>0.16729967276616217</v>
      </c>
      <c r="G265" s="140">
        <f t="shared" si="166"/>
        <v>0.21985192364275175</v>
      </c>
      <c r="H265" s="140">
        <f t="shared" si="166"/>
        <v>0.11565384757963773</v>
      </c>
      <c r="I265" s="140">
        <f t="shared" si="166"/>
        <v>9.700485371401274E-2</v>
      </c>
      <c r="J265" s="140">
        <f t="shared" si="166"/>
        <v>-0.4723490258724668</v>
      </c>
      <c r="K265" s="140">
        <f t="shared" si="166"/>
        <v>1.1073831051489874E-3</v>
      </c>
      <c r="L265" s="140">
        <f t="shared" si="166"/>
        <v>-1.0087992545890716</v>
      </c>
      <c r="M265" s="140">
        <f t="shared" si="166"/>
        <v>-0.24350681926657636</v>
      </c>
      <c r="N265" s="140">
        <f t="shared" si="166"/>
        <v>-0.25837432613316624</v>
      </c>
      <c r="O265" s="140">
        <f t="shared" si="166"/>
        <v>0.61224801579048171</v>
      </c>
      <c r="P265" s="140">
        <f t="shared" si="166"/>
        <v>-0.39059485361929036</v>
      </c>
      <c r="Q265" s="140">
        <f t="shared" si="166"/>
        <v>-4.1264252444761595</v>
      </c>
      <c r="R265" s="140">
        <f t="shared" si="166"/>
        <v>-1.2371925714935539</v>
      </c>
      <c r="S265" s="140">
        <f t="shared" si="166"/>
        <v>5.545822958407385E-2</v>
      </c>
      <c r="T265" s="140">
        <f t="shared" si="166"/>
        <v>0.20205516627896827</v>
      </c>
      <c r="U265" s="140">
        <f t="shared" si="166"/>
        <v>-2.1490573147802144E-2</v>
      </c>
      <c r="V265" s="140">
        <f t="shared" si="166"/>
        <v>1.0564726124079455</v>
      </c>
      <c r="W265" s="140">
        <f t="shared" si="166"/>
        <v>0.13999242935271169</v>
      </c>
      <c r="X265" s="140">
        <f t="shared" si="166"/>
        <v>0.23779175681013789</v>
      </c>
      <c r="Y265" s="140">
        <f t="shared" si="166"/>
        <v>0.1870257554102342</v>
      </c>
      <c r="Z265" s="140">
        <f t="shared" si="166"/>
        <v>-5.967790523102455E-2</v>
      </c>
      <c r="AA265" s="140">
        <f t="shared" si="166"/>
        <v>0.56722672003813146</v>
      </c>
      <c r="AB265" s="140">
        <f t="shared" si="166"/>
        <v>0.17845032071645672</v>
      </c>
      <c r="AC265" s="140">
        <f t="shared" si="166"/>
        <v>0.16080195824653978</v>
      </c>
      <c r="AD265" s="140">
        <f t="shared" si="166"/>
        <v>-3.8110056730519066E-4</v>
      </c>
      <c r="AE265" s="140">
        <f t="shared" si="166"/>
        <v>-0.34773508277355419</v>
      </c>
      <c r="AF265" s="195"/>
      <c r="AG265" s="195"/>
      <c r="AH265" s="195"/>
      <c r="AI265" s="195"/>
      <c r="AJ265" s="195"/>
      <c r="AK265" s="195"/>
      <c r="AL265" s="195"/>
      <c r="AM265" s="195"/>
      <c r="AN265" s="147"/>
      <c r="AO265" s="195"/>
      <c r="AP265" s="195"/>
      <c r="AQ265" s="195"/>
      <c r="AR265" s="195"/>
      <c r="AS265" s="195"/>
      <c r="AT265" s="195"/>
      <c r="AU265" s="195"/>
      <c r="AV265" s="195"/>
      <c r="AW265" s="195"/>
      <c r="AX265" s="195"/>
      <c r="AY265" s="195"/>
      <c r="AZ265" s="195"/>
      <c r="BA265" s="195"/>
      <c r="BB265" s="195"/>
      <c r="BC265" s="195"/>
      <c r="BD265" s="195"/>
      <c r="BE265" s="195"/>
      <c r="BF265" s="195"/>
      <c r="BG265" s="195"/>
    </row>
    <row r="266" spans="1:59" ht="15.75" customHeight="1" x14ac:dyDescent="0.2">
      <c r="A266" s="190"/>
      <c r="B266" s="190"/>
      <c r="C266" s="190" t="s">
        <v>241</v>
      </c>
      <c r="D266" s="140" t="s">
        <v>146</v>
      </c>
      <c r="E266" s="140" t="s">
        <v>146</v>
      </c>
      <c r="F266" s="140" t="s">
        <v>146</v>
      </c>
      <c r="G266" s="140" t="s">
        <v>146</v>
      </c>
      <c r="H266" s="140" t="s">
        <v>146</v>
      </c>
      <c r="I266" s="191">
        <v>-0.69095221360000003</v>
      </c>
      <c r="J266" s="191" t="s">
        <v>347</v>
      </c>
      <c r="K266" s="191" t="s">
        <v>347</v>
      </c>
      <c r="L266" s="191" t="s">
        <v>347</v>
      </c>
      <c r="M266" s="191" t="s">
        <v>347</v>
      </c>
      <c r="N266" s="191" t="s">
        <v>347</v>
      </c>
      <c r="O266" s="191" t="s">
        <v>347</v>
      </c>
      <c r="P266" s="191" t="s">
        <v>347</v>
      </c>
      <c r="Q266" s="191">
        <v>5.4157422610000001</v>
      </c>
      <c r="R266" s="191">
        <v>2.3054217960000001</v>
      </c>
      <c r="S266" s="191" t="s">
        <v>347</v>
      </c>
      <c r="T266" s="191">
        <v>-0.56015303809999994</v>
      </c>
      <c r="U266" s="191">
        <v>-0.88152738210000003</v>
      </c>
      <c r="V266" s="191" t="s">
        <v>347</v>
      </c>
      <c r="W266" s="191" t="s">
        <v>347</v>
      </c>
      <c r="X266" s="191">
        <v>1.2001305959999999</v>
      </c>
      <c r="Y266" s="191">
        <v>0.90884454400000003</v>
      </c>
      <c r="Z266" s="191">
        <v>2.577419087</v>
      </c>
      <c r="AA266" s="191">
        <v>-0.30498799339999999</v>
      </c>
      <c r="AB266" s="191">
        <v>0.23692260530000001</v>
      </c>
      <c r="AC266" s="191">
        <v>-8.6464192780000004E-2</v>
      </c>
      <c r="AD266" s="191" t="s">
        <v>347</v>
      </c>
      <c r="AE266" s="191">
        <v>2.06431035</v>
      </c>
      <c r="AF266" s="195"/>
      <c r="AG266" s="195"/>
      <c r="AH266" s="195"/>
      <c r="AI266" s="195"/>
      <c r="AJ266" s="195"/>
      <c r="AK266" s="195"/>
      <c r="AL266" s="195"/>
      <c r="AM266" s="195"/>
      <c r="AN266" s="147"/>
      <c r="AO266" s="195"/>
      <c r="AP266" s="195"/>
      <c r="AQ266" s="195"/>
      <c r="AR266" s="195"/>
      <c r="AS266" s="195"/>
      <c r="AT266" s="195"/>
      <c r="AU266" s="195"/>
      <c r="AV266" s="195"/>
      <c r="AW266" s="195"/>
      <c r="AX266" s="195"/>
      <c r="AY266" s="195"/>
      <c r="AZ266" s="195"/>
      <c r="BA266" s="195"/>
      <c r="BB266" s="195"/>
      <c r="BC266" s="195"/>
      <c r="BD266" s="195"/>
      <c r="BE266" s="195"/>
      <c r="BF266" s="195"/>
      <c r="BG266" s="195"/>
    </row>
    <row r="267" spans="1:59" ht="15.75" customHeight="1" x14ac:dyDescent="0.2">
      <c r="A267" s="189"/>
      <c r="B267" s="189"/>
      <c r="C267" s="190"/>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row>
    <row r="268" spans="1:59" ht="15.75" customHeight="1" x14ac:dyDescent="0.2">
      <c r="A268" s="147"/>
      <c r="B268" s="147"/>
      <c r="C268" s="189" t="s">
        <v>242</v>
      </c>
      <c r="D268" s="172">
        <f t="shared" ref="D268:AE268" si="167">D271-D264</f>
        <v>-1.7717141486270003</v>
      </c>
      <c r="E268" s="172">
        <f t="shared" si="167"/>
        <v>-2.0036959433930002</v>
      </c>
      <c r="F268" s="172">
        <f t="shared" si="167"/>
        <v>-0.80951035869899868</v>
      </c>
      <c r="G268" s="172">
        <f t="shared" si="167"/>
        <v>-1.4647469289440003</v>
      </c>
      <c r="H268" s="172">
        <f t="shared" si="167"/>
        <v>-6.0496673796629983</v>
      </c>
      <c r="I268" s="172">
        <f t="shared" si="167"/>
        <v>-0.59359269000000003</v>
      </c>
      <c r="J268" s="172">
        <f t="shared" si="167"/>
        <v>0.20528685000000024</v>
      </c>
      <c r="K268" s="172">
        <f t="shared" si="167"/>
        <v>-2.0079112800000001</v>
      </c>
      <c r="L268" s="172">
        <f t="shared" si="167"/>
        <v>-1.4679345499999998</v>
      </c>
      <c r="M268" s="172">
        <f t="shared" si="167"/>
        <v>-3.86415167</v>
      </c>
      <c r="N268" s="172">
        <f t="shared" si="167"/>
        <v>-2.836095796384055</v>
      </c>
      <c r="O268" s="172">
        <f t="shared" si="167"/>
        <v>-2.1839150001840286</v>
      </c>
      <c r="P268" s="172">
        <f t="shared" si="167"/>
        <v>-2.400583776367994</v>
      </c>
      <c r="Q268" s="172">
        <f t="shared" si="167"/>
        <v>-2.5645219883124533</v>
      </c>
      <c r="R268" s="172">
        <f t="shared" si="167"/>
        <v>-10.090318910000001</v>
      </c>
      <c r="S268" s="172">
        <f t="shared" si="167"/>
        <v>-2.5220714499999999</v>
      </c>
      <c r="T268" s="172">
        <f t="shared" si="167"/>
        <v>-2.1943284200000002</v>
      </c>
      <c r="U268" s="172">
        <f t="shared" si="167"/>
        <v>-2.1017966500000003</v>
      </c>
      <c r="V268" s="172">
        <f t="shared" si="167"/>
        <v>-2.0353594399999997</v>
      </c>
      <c r="W268" s="172">
        <f t="shared" si="167"/>
        <v>-8.8535559599999996</v>
      </c>
      <c r="X268" s="172">
        <f t="shared" si="167"/>
        <v>-2.0301380400000002</v>
      </c>
      <c r="Y268" s="172">
        <f t="shared" si="167"/>
        <v>-2.0536314899999999</v>
      </c>
      <c r="Z268" s="172">
        <f t="shared" si="167"/>
        <v>-1.9555989999999999</v>
      </c>
      <c r="AA268" s="172">
        <f t="shared" si="167"/>
        <v>-1.9210293800000002</v>
      </c>
      <c r="AB268" s="172">
        <f t="shared" si="167"/>
        <v>-7.9603979100000002</v>
      </c>
      <c r="AC268" s="172">
        <f t="shared" si="167"/>
        <v>-1.92181297</v>
      </c>
      <c r="AD268" s="172">
        <f t="shared" si="167"/>
        <v>-1.9157565159859999</v>
      </c>
      <c r="AE268" s="172">
        <f t="shared" si="167"/>
        <v>-1.49819016</v>
      </c>
      <c r="AF268" s="147"/>
      <c r="AG268" s="147"/>
      <c r="AH268" s="147"/>
      <c r="AI268" s="147"/>
      <c r="AJ268" s="147"/>
      <c r="AK268" s="147"/>
      <c r="AL268" s="147"/>
      <c r="AM268" s="147"/>
      <c r="AN268" s="189"/>
      <c r="AO268" s="147"/>
      <c r="AP268" s="147"/>
      <c r="AQ268" s="147"/>
      <c r="AR268" s="147"/>
      <c r="AS268" s="147"/>
      <c r="AT268" s="147"/>
      <c r="AU268" s="147"/>
      <c r="AV268" s="147"/>
      <c r="AW268" s="147"/>
      <c r="AX268" s="147"/>
      <c r="AY268" s="147"/>
      <c r="AZ268" s="147"/>
      <c r="BA268" s="147"/>
      <c r="BB268" s="147"/>
      <c r="BC268" s="147"/>
      <c r="BD268" s="147"/>
      <c r="BE268" s="147"/>
      <c r="BF268" s="147"/>
      <c r="BG268" s="147"/>
    </row>
    <row r="269" spans="1:59" ht="15.75" customHeight="1" x14ac:dyDescent="0.2">
      <c r="A269" s="147"/>
      <c r="B269" s="147"/>
      <c r="C269" s="189" t="s">
        <v>243</v>
      </c>
      <c r="D269" s="140" t="s">
        <v>146</v>
      </c>
      <c r="E269" s="140" t="s">
        <v>146</v>
      </c>
      <c r="F269" s="140" t="s">
        <v>146</v>
      </c>
      <c r="G269" s="140" t="s">
        <v>146</v>
      </c>
      <c r="H269" s="140" t="s">
        <v>146</v>
      </c>
      <c r="I269" s="140">
        <f t="shared" ref="I269:AE269" si="168">I268/D268-1</f>
        <v>-0.66496136498090963</v>
      </c>
      <c r="J269" s="140">
        <f t="shared" si="168"/>
        <v>-1.1024540927364326</v>
      </c>
      <c r="K269" s="140">
        <f t="shared" si="168"/>
        <v>1.4804022066215516</v>
      </c>
      <c r="L269" s="140">
        <f t="shared" si="168"/>
        <v>2.1762264818658839E-3</v>
      </c>
      <c r="M269" s="140">
        <f t="shared" si="168"/>
        <v>-0.36126212773449107</v>
      </c>
      <c r="N269" s="140">
        <f t="shared" si="168"/>
        <v>3.7778482521138441</v>
      </c>
      <c r="O269" s="140">
        <f t="shared" si="168"/>
        <v>-11.638357986320244</v>
      </c>
      <c r="P269" s="140">
        <f t="shared" si="168"/>
        <v>0.19556267265354177</v>
      </c>
      <c r="Q269" s="140">
        <f t="shared" si="168"/>
        <v>0.74702747361076383</v>
      </c>
      <c r="R269" s="140">
        <f t="shared" si="168"/>
        <v>1.6112636800304476</v>
      </c>
      <c r="S269" s="140">
        <f t="shared" si="168"/>
        <v>-0.1107241676336983</v>
      </c>
      <c r="T269" s="140">
        <f t="shared" si="168"/>
        <v>4.76823494279488E-3</v>
      </c>
      <c r="U269" s="140">
        <f t="shared" si="168"/>
        <v>-0.12446436125634786</v>
      </c>
      <c r="V269" s="140">
        <f t="shared" si="168"/>
        <v>-0.20633964174378605</v>
      </c>
      <c r="W269" s="140">
        <f t="shared" si="168"/>
        <v>-0.12256926277863311</v>
      </c>
      <c r="X269" s="140">
        <f t="shared" si="168"/>
        <v>-0.19505133766134963</v>
      </c>
      <c r="Y269" s="140">
        <f t="shared" si="168"/>
        <v>-6.4118446772885695E-2</v>
      </c>
      <c r="Z269" s="140">
        <f t="shared" si="168"/>
        <v>-6.9558418032496294E-2</v>
      </c>
      <c r="AA269" s="140">
        <f t="shared" si="168"/>
        <v>-5.6171926075130774E-2</v>
      </c>
      <c r="AB269" s="140">
        <f t="shared" si="168"/>
        <v>-0.10088127911940137</v>
      </c>
      <c r="AC269" s="140">
        <f t="shared" si="168"/>
        <v>-5.3358475071971112E-2</v>
      </c>
      <c r="AD269" s="140">
        <f t="shared" si="168"/>
        <v>-6.7137154199948479E-2</v>
      </c>
      <c r="AE269" s="140">
        <f t="shared" si="168"/>
        <v>-0.23389705149164008</v>
      </c>
      <c r="AF269" s="147"/>
      <c r="AG269" s="147"/>
      <c r="AH269" s="147"/>
      <c r="AI269" s="147"/>
      <c r="AJ269" s="147"/>
      <c r="AK269" s="147"/>
      <c r="AL269" s="147"/>
      <c r="AM269" s="147"/>
      <c r="AN269" s="189"/>
      <c r="AO269" s="147"/>
      <c r="AP269" s="147"/>
      <c r="AQ269" s="147"/>
      <c r="AR269" s="147"/>
      <c r="AS269" s="147"/>
      <c r="AT269" s="147"/>
      <c r="AU269" s="147"/>
      <c r="AV269" s="147"/>
      <c r="AW269" s="147"/>
      <c r="AX269" s="147"/>
      <c r="AY269" s="147"/>
      <c r="AZ269" s="147"/>
      <c r="BA269" s="147"/>
      <c r="BB269" s="147"/>
      <c r="BC269" s="147"/>
      <c r="BD269" s="147"/>
      <c r="BE269" s="147"/>
      <c r="BF269" s="147"/>
      <c r="BG269" s="147"/>
    </row>
    <row r="270" spans="1:59" ht="15.75" customHeight="1" x14ac:dyDescent="0.2">
      <c r="A270" s="189"/>
      <c r="B270" s="189"/>
      <c r="C270" s="190"/>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row>
    <row r="271" spans="1:59" ht="15.75" customHeight="1" x14ac:dyDescent="0.2">
      <c r="A271" s="189"/>
      <c r="B271" s="189"/>
      <c r="C271" s="190" t="s">
        <v>190</v>
      </c>
      <c r="D271" s="172">
        <v>0.13084722199099641</v>
      </c>
      <c r="E271" s="172">
        <v>-0.98506052516998976</v>
      </c>
      <c r="F271" s="172">
        <v>1.3075210964392012</v>
      </c>
      <c r="G271" s="172">
        <v>3.4330464368271314</v>
      </c>
      <c r="H271" s="172">
        <v>3.8863542300873393</v>
      </c>
      <c r="I271" s="172">
        <v>-5.6103100000000003E-3</v>
      </c>
      <c r="J271" s="172">
        <v>-2.4074126499999999</v>
      </c>
      <c r="K271" s="172">
        <v>-2.00382091</v>
      </c>
      <c r="L271" s="172">
        <v>-3.7111117500000002</v>
      </c>
      <c r="M271" s="172">
        <v>-8.1279556199999998</v>
      </c>
      <c r="N271" s="172">
        <v>-3.5987256099999998</v>
      </c>
      <c r="O271" s="172">
        <v>-0.40965000000000001</v>
      </c>
      <c r="P271" s="172">
        <v>-3.21944506</v>
      </c>
      <c r="Q271" s="172">
        <v>-16.95616875</v>
      </c>
      <c r="R271" s="172">
        <v>-24.18398942</v>
      </c>
      <c r="S271" s="172">
        <v>-1.7660783999999998</v>
      </c>
      <c r="T271" s="172">
        <v>-1.4139233500000001</v>
      </c>
      <c r="U271" s="172">
        <v>-2.1988092900000002</v>
      </c>
      <c r="V271" s="172">
        <v>-0.14299547000000001</v>
      </c>
      <c r="W271" s="172">
        <f>SUM(S271:V271)</f>
        <v>-5.5218065100000002</v>
      </c>
      <c r="X271" s="172">
        <v>-0.36685459999999998</v>
      </c>
      <c r="Y271" s="172">
        <v>-0.56395952999999999</v>
      </c>
      <c r="Z271" s="172">
        <v>-2.3026538699999999</v>
      </c>
      <c r="AA271" s="172">
        <v>-0.60581370000000001</v>
      </c>
      <c r="AB271" s="172">
        <f>SUM(X271:AA271)</f>
        <v>-3.8392816999999999</v>
      </c>
      <c r="AC271" s="172">
        <v>-0.40234398999999998</v>
      </c>
      <c r="AD271" s="172">
        <v>-1.91946853656799</v>
      </c>
      <c r="AE271" s="172">
        <v>-2.5616739900000001</v>
      </c>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row>
    <row r="272" spans="1:59" ht="15.75" customHeight="1" x14ac:dyDescent="0.2">
      <c r="A272" s="195"/>
      <c r="B272" s="195"/>
      <c r="C272" s="196" t="s">
        <v>244</v>
      </c>
      <c r="D272" s="140">
        <f t="shared" ref="D272:AE272" si="169">D271/D260</f>
        <v>5.9577486053125012E-3</v>
      </c>
      <c r="E272" s="140">
        <f t="shared" si="169"/>
        <v>-3.394726201644676E-2</v>
      </c>
      <c r="F272" s="140">
        <f t="shared" si="169"/>
        <v>0.10332763409736492</v>
      </c>
      <c r="G272" s="140">
        <f t="shared" si="169"/>
        <v>0.15410243077343591</v>
      </c>
      <c r="H272" s="140">
        <f t="shared" si="169"/>
        <v>4.5236598451630722E-2</v>
      </c>
      <c r="I272" s="140">
        <f t="shared" si="169"/>
        <v>-9.2558437013072199E-4</v>
      </c>
      <c r="J272" s="140">
        <f t="shared" si="169"/>
        <v>-0.43523528829111569</v>
      </c>
      <c r="K272" s="140">
        <f t="shared" si="169"/>
        <v>-0.54249308044951172</v>
      </c>
      <c r="L272" s="140">
        <f t="shared" si="169"/>
        <v>-1.6689572126075214</v>
      </c>
      <c r="M272" s="140">
        <f t="shared" si="169"/>
        <v>-0.46418940537031345</v>
      </c>
      <c r="N272" s="140">
        <f t="shared" si="169"/>
        <v>-1.2192262718044846</v>
      </c>
      <c r="O272" s="140">
        <f t="shared" si="169"/>
        <v>-0.14135847781619815</v>
      </c>
      <c r="P272" s="140">
        <f t="shared" si="169"/>
        <v>-1.5356675142442859</v>
      </c>
      <c r="Q272" s="140">
        <f t="shared" si="169"/>
        <v>-4.8617343058935223</v>
      </c>
      <c r="R272" s="140">
        <f t="shared" si="169"/>
        <v>-2.1229566874202952</v>
      </c>
      <c r="S272" s="140">
        <f t="shared" si="169"/>
        <v>-0.12955619283890743</v>
      </c>
      <c r="T272" s="140">
        <f t="shared" si="169"/>
        <v>-0.3660797816061932</v>
      </c>
      <c r="U272" s="140">
        <f t="shared" si="169"/>
        <v>-0.48708778448676276</v>
      </c>
      <c r="V272" s="140">
        <f t="shared" si="169"/>
        <v>-7.9831787197577012E-2</v>
      </c>
      <c r="W272" s="140">
        <f t="shared" si="169"/>
        <v>-0.23201357705649764</v>
      </c>
      <c r="X272" s="140">
        <f t="shared" si="169"/>
        <v>-5.2447464893824951E-2</v>
      </c>
      <c r="Y272" s="140">
        <f t="shared" si="169"/>
        <v>-7.0804150142592906E-2</v>
      </c>
      <c r="Z272" s="140">
        <f t="shared" si="169"/>
        <v>-0.3959534105765809</v>
      </c>
      <c r="AA272" s="140">
        <f t="shared" si="169"/>
        <v>-0.26127556356776749</v>
      </c>
      <c r="AB272" s="140">
        <f t="shared" si="169"/>
        <v>-0.16624647687035815</v>
      </c>
      <c r="AC272" s="140">
        <f t="shared" si="169"/>
        <v>-4.2579152540992454E-2</v>
      </c>
      <c r="AD272" s="140">
        <f t="shared" si="169"/>
        <v>-0.19706532656625653</v>
      </c>
      <c r="AE272" s="140">
        <f t="shared" si="169"/>
        <v>-0.83760927230225102</v>
      </c>
      <c r="AF272" s="195"/>
      <c r="AG272" s="195"/>
      <c r="AH272" s="195"/>
      <c r="AI272" s="195"/>
      <c r="AJ272" s="195"/>
      <c r="AK272" s="195"/>
      <c r="AL272" s="195"/>
      <c r="AM272" s="195"/>
      <c r="AN272" s="84"/>
      <c r="AO272" s="195"/>
      <c r="AP272" s="195"/>
      <c r="AQ272" s="195"/>
      <c r="AR272" s="195"/>
      <c r="AS272" s="195"/>
      <c r="AT272" s="195"/>
      <c r="AU272" s="195"/>
      <c r="AV272" s="195"/>
      <c r="AW272" s="195"/>
      <c r="AX272" s="195"/>
      <c r="AY272" s="195"/>
      <c r="AZ272" s="195"/>
      <c r="BA272" s="195"/>
      <c r="BB272" s="195"/>
      <c r="BC272" s="195"/>
      <c r="BD272" s="195"/>
      <c r="BE272" s="195"/>
      <c r="BF272" s="195"/>
      <c r="BG272" s="195"/>
    </row>
    <row r="273" spans="1:59" ht="15.75" customHeight="1" x14ac:dyDescent="0.2">
      <c r="A273" s="189"/>
      <c r="B273" s="189"/>
      <c r="C273" s="190" t="s">
        <v>245</v>
      </c>
      <c r="D273" s="140" t="s">
        <v>146</v>
      </c>
      <c r="E273" s="140" t="s">
        <v>146</v>
      </c>
      <c r="F273" s="140" t="s">
        <v>146</v>
      </c>
      <c r="G273" s="140" t="s">
        <v>146</v>
      </c>
      <c r="H273" s="140" t="s">
        <v>146</v>
      </c>
      <c r="I273" s="191" t="s">
        <v>347</v>
      </c>
      <c r="J273" s="191">
        <v>1.4439235850000001</v>
      </c>
      <c r="K273" s="191" t="s">
        <v>347</v>
      </c>
      <c r="L273" s="191" t="s">
        <v>347</v>
      </c>
      <c r="M273" s="191" t="s">
        <v>347</v>
      </c>
      <c r="N273" s="191" t="s">
        <v>347</v>
      </c>
      <c r="O273" s="191">
        <v>-0.82983806289999995</v>
      </c>
      <c r="P273" s="191">
        <v>0.60665309160000003</v>
      </c>
      <c r="Q273" s="191">
        <v>3.5690267210000002</v>
      </c>
      <c r="R273" s="191">
        <v>1.9754086449999999</v>
      </c>
      <c r="S273" s="191">
        <v>-0.50924894220000005</v>
      </c>
      <c r="T273" s="191">
        <v>2.451539973</v>
      </c>
      <c r="U273" s="191">
        <v>-0.31702226659999999</v>
      </c>
      <c r="V273" s="191">
        <v>-0.99156675829999996</v>
      </c>
      <c r="W273" s="191">
        <v>-0.77167511889999996</v>
      </c>
      <c r="X273" s="191">
        <v>-0.79227728509999995</v>
      </c>
      <c r="Y273" s="191">
        <v>-0.60113854119999999</v>
      </c>
      <c r="Z273" s="191">
        <v>4.722764292E-2</v>
      </c>
      <c r="AA273" s="191">
        <v>3.236593649</v>
      </c>
      <c r="AB273" s="191">
        <v>-0.30470549940000002</v>
      </c>
      <c r="AC273" s="191">
        <v>9.6739661980000002E-2</v>
      </c>
      <c r="AD273" s="191">
        <v>2.4035572310000002</v>
      </c>
      <c r="AE273" s="191">
        <v>0.1124876489</v>
      </c>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row>
    <row r="274" spans="1:59" ht="15.75" customHeight="1" x14ac:dyDescent="0.2">
      <c r="A274" s="189"/>
      <c r="B274" s="189"/>
      <c r="C274" s="190" t="s">
        <v>246</v>
      </c>
      <c r="D274" s="172">
        <v>9.4230048929999782E-2</v>
      </c>
      <c r="E274" s="172">
        <v>0.26166980789400002</v>
      </c>
      <c r="F274" s="172">
        <v>0.60338668314900001</v>
      </c>
      <c r="G274" s="172">
        <v>0.94422834679700018</v>
      </c>
      <c r="H274" s="172">
        <f>SUM(D274:G274)</f>
        <v>1.90351488677</v>
      </c>
      <c r="I274" s="172">
        <v>0.9</v>
      </c>
      <c r="J274" s="172">
        <v>0.43486909999999995</v>
      </c>
      <c r="K274" s="172">
        <v>1.28374582</v>
      </c>
      <c r="L274" s="172">
        <v>1.7057409800000001</v>
      </c>
      <c r="M274" s="172">
        <f>SUM(I274:L274)</f>
        <v>4.3243558999999996</v>
      </c>
      <c r="N274" s="172">
        <v>0.16539344</v>
      </c>
      <c r="O274" s="172">
        <v>0.29635022000000005</v>
      </c>
      <c r="P274" s="172">
        <v>1.24471708</v>
      </c>
      <c r="Q274" s="172">
        <v>3.7504890299999993</v>
      </c>
      <c r="R274" s="172">
        <f>SUM(N274:Q274)</f>
        <v>5.4569497699999996</v>
      </c>
      <c r="S274" s="172">
        <v>0.34264139999999998</v>
      </c>
      <c r="T274" s="172">
        <v>0.98</v>
      </c>
      <c r="U274" s="172">
        <v>0.62848618999999994</v>
      </c>
      <c r="V274" s="172">
        <v>1.00548309</v>
      </c>
      <c r="W274" s="172">
        <f>SUM(S274:V274)</f>
        <v>2.9566106799999998</v>
      </c>
      <c r="X274" s="172">
        <v>0.55836257</v>
      </c>
      <c r="Y274" s="172">
        <v>0.41872605000000002</v>
      </c>
      <c r="Z274" s="172">
        <v>1.50898939</v>
      </c>
      <c r="AA274" s="172">
        <v>3.6365253200000001</v>
      </c>
      <c r="AB274" s="172">
        <f>SUM(X274:AA274)</f>
        <v>6.1226033300000005</v>
      </c>
      <c r="AC274" s="172">
        <v>0.74520118000000002</v>
      </c>
      <c r="AD274" s="172">
        <v>1.2569829831379999</v>
      </c>
      <c r="AE274" s="172">
        <v>1.7828513500000001</v>
      </c>
      <c r="AF274" s="231"/>
      <c r="AG274" s="231"/>
      <c r="AH274" s="231"/>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row>
    <row r="275" spans="1:59" ht="15.75" customHeight="1" x14ac:dyDescent="0.2">
      <c r="A275" s="84"/>
      <c r="B275" s="84"/>
      <c r="C275" s="189" t="s">
        <v>247</v>
      </c>
      <c r="D275" s="140" t="s">
        <v>146</v>
      </c>
      <c r="E275" s="140" t="s">
        <v>146</v>
      </c>
      <c r="F275" s="140" t="s">
        <v>146</v>
      </c>
      <c r="G275" s="140" t="s">
        <v>146</v>
      </c>
      <c r="H275" s="140" t="s">
        <v>146</v>
      </c>
      <c r="I275" s="140">
        <f t="shared" ref="I275:AE275" si="170">I274/D274-1</f>
        <v>8.5510934167993344</v>
      </c>
      <c r="J275" s="140">
        <f t="shared" si="170"/>
        <v>0.66190017679136037</v>
      </c>
      <c r="K275" s="140">
        <f t="shared" si="170"/>
        <v>1.1275673723859638</v>
      </c>
      <c r="L275" s="140">
        <f t="shared" si="170"/>
        <v>0.80649202683460386</v>
      </c>
      <c r="M275" s="140">
        <f t="shared" si="170"/>
        <v>1.2717741426954796</v>
      </c>
      <c r="N275" s="140">
        <f t="shared" si="170"/>
        <v>-0.81622951111111108</v>
      </c>
      <c r="O275" s="140">
        <f t="shared" si="170"/>
        <v>-0.31853005881539964</v>
      </c>
      <c r="P275" s="140">
        <f t="shared" si="170"/>
        <v>-3.0402233364234088E-2</v>
      </c>
      <c r="Q275" s="140">
        <f t="shared" si="170"/>
        <v>1.1987447531453452</v>
      </c>
      <c r="R275" s="140">
        <f t="shared" si="170"/>
        <v>0.26191042000035192</v>
      </c>
      <c r="S275" s="140">
        <f t="shared" si="170"/>
        <v>1.0716746685962875</v>
      </c>
      <c r="T275" s="140">
        <f t="shared" si="170"/>
        <v>2.3068981693349166</v>
      </c>
      <c r="U275" s="140">
        <f t="shared" si="170"/>
        <v>-0.4950770740608782</v>
      </c>
      <c r="V275" s="140">
        <f t="shared" si="170"/>
        <v>-0.73190613758440981</v>
      </c>
      <c r="W275" s="140">
        <f t="shared" si="170"/>
        <v>-0.4581935321717282</v>
      </c>
      <c r="X275" s="140">
        <f t="shared" si="170"/>
        <v>0.62958291088000462</v>
      </c>
      <c r="Y275" s="140">
        <f t="shared" si="170"/>
        <v>-0.57272852040816324</v>
      </c>
      <c r="Z275" s="140">
        <f t="shared" si="170"/>
        <v>1.40099052932253</v>
      </c>
      <c r="AA275" s="140">
        <f t="shared" si="170"/>
        <v>2.6166946576893699</v>
      </c>
      <c r="AB275" s="140">
        <f t="shared" si="170"/>
        <v>1.0708182417848806</v>
      </c>
      <c r="AC275" s="140">
        <f t="shared" si="170"/>
        <v>0.33461879437942987</v>
      </c>
      <c r="AD275" s="140">
        <f t="shared" si="170"/>
        <v>2.0019220995159004</v>
      </c>
      <c r="AE275" s="140">
        <f t="shared" si="170"/>
        <v>0.18148700170781185</v>
      </c>
      <c r="AF275" s="84"/>
      <c r="AG275" s="84"/>
      <c r="AH275" s="84"/>
      <c r="AI275" s="84"/>
      <c r="AJ275" s="84"/>
      <c r="AK275" s="84"/>
      <c r="AL275" s="84"/>
      <c r="AM275" s="84"/>
      <c r="AN275" s="189"/>
      <c r="AO275" s="84"/>
      <c r="AP275" s="84"/>
      <c r="AQ275" s="84"/>
      <c r="AR275" s="84"/>
      <c r="AS275" s="84"/>
      <c r="AT275" s="84"/>
      <c r="AU275" s="84"/>
      <c r="AV275" s="84"/>
      <c r="AW275" s="84"/>
      <c r="AX275" s="84"/>
      <c r="AY275" s="84"/>
      <c r="AZ275" s="84"/>
      <c r="BA275" s="84"/>
      <c r="BB275" s="84"/>
      <c r="BC275" s="84"/>
      <c r="BD275" s="84"/>
      <c r="BE275" s="84"/>
      <c r="BF275" s="84"/>
      <c r="BG275" s="84"/>
    </row>
    <row r="276" spans="1:59" ht="15.75" customHeight="1" x14ac:dyDescent="0.2">
      <c r="A276" s="189"/>
      <c r="B276" s="189"/>
      <c r="C276" s="232"/>
      <c r="D276" s="212"/>
      <c r="E276" s="212"/>
      <c r="F276" s="212"/>
      <c r="G276" s="212"/>
      <c r="H276" s="212"/>
      <c r="I276" s="212"/>
      <c r="J276" s="212"/>
      <c r="K276" s="212"/>
      <c r="L276" s="212"/>
      <c r="M276" s="212"/>
      <c r="N276" s="212"/>
      <c r="O276" s="212"/>
      <c r="P276" s="212"/>
      <c r="Q276" s="212"/>
      <c r="R276" s="233"/>
      <c r="S276" s="212"/>
      <c r="T276" s="212"/>
      <c r="U276" s="212"/>
      <c r="V276" s="212"/>
      <c r="W276" s="212"/>
      <c r="X276" s="212"/>
      <c r="Y276" s="212"/>
      <c r="Z276" s="212"/>
      <c r="AA276" s="212"/>
      <c r="AB276" s="212"/>
      <c r="AC276" s="212"/>
      <c r="AD276" s="212"/>
      <c r="AE276" s="212"/>
      <c r="AF276" s="189"/>
      <c r="AG276" s="189"/>
      <c r="AH276" s="189"/>
      <c r="AI276" s="189"/>
      <c r="AJ276" s="189"/>
      <c r="AK276" s="189"/>
      <c r="AL276" s="189"/>
      <c r="AM276" s="189"/>
      <c r="AN276" s="195"/>
      <c r="AO276" s="189"/>
      <c r="AP276" s="189"/>
      <c r="AQ276" s="189"/>
      <c r="AR276" s="189"/>
      <c r="AS276" s="189"/>
      <c r="AT276" s="189"/>
      <c r="AU276" s="189"/>
      <c r="AV276" s="189"/>
      <c r="AW276" s="189"/>
      <c r="AX276" s="189"/>
      <c r="AY276" s="189"/>
      <c r="AZ276" s="189"/>
      <c r="BA276" s="189"/>
      <c r="BB276" s="189"/>
      <c r="BC276" s="189"/>
      <c r="BD276" s="189"/>
      <c r="BE276" s="189"/>
      <c r="BF276" s="189"/>
      <c r="BG276" s="189"/>
    </row>
    <row r="277" spans="1:59" ht="15.75" customHeight="1" x14ac:dyDescent="0.2">
      <c r="A277" s="162"/>
      <c r="B277" s="162"/>
      <c r="C277" s="227" t="s">
        <v>208</v>
      </c>
      <c r="D277" s="228" t="s">
        <v>98</v>
      </c>
      <c r="E277" s="228" t="s">
        <v>99</v>
      </c>
      <c r="F277" s="228" t="s">
        <v>100</v>
      </c>
      <c r="G277" s="228" t="s">
        <v>101</v>
      </c>
      <c r="H277" s="229">
        <v>2018</v>
      </c>
      <c r="I277" s="228" t="s">
        <v>102</v>
      </c>
      <c r="J277" s="228" t="s">
        <v>103</v>
      </c>
      <c r="K277" s="228" t="s">
        <v>104</v>
      </c>
      <c r="L277" s="228" t="s">
        <v>105</v>
      </c>
      <c r="M277" s="229">
        <v>2019</v>
      </c>
      <c r="N277" s="228" t="s">
        <v>158</v>
      </c>
      <c r="O277" s="228" t="s">
        <v>107</v>
      </c>
      <c r="P277" s="228" t="s">
        <v>108</v>
      </c>
      <c r="Q277" s="228" t="s">
        <v>109</v>
      </c>
      <c r="R277" s="229">
        <v>2020</v>
      </c>
      <c r="S277" s="228" t="s">
        <v>110</v>
      </c>
      <c r="T277" s="228" t="s">
        <v>111</v>
      </c>
      <c r="U277" s="228" t="s">
        <v>112</v>
      </c>
      <c r="V277" s="228" t="s">
        <v>113</v>
      </c>
      <c r="W277" s="229">
        <v>2021</v>
      </c>
      <c r="X277" s="228" t="s">
        <v>114</v>
      </c>
      <c r="Y277" s="228" t="s">
        <v>115</v>
      </c>
      <c r="Z277" s="228" t="str">
        <f>$Z$4</f>
        <v>3Q22</v>
      </c>
      <c r="AA277" s="228" t="str">
        <f>$AA$4</f>
        <v>4Q22</v>
      </c>
      <c r="AB277" s="229">
        <v>2022</v>
      </c>
      <c r="AC277" s="228" t="str">
        <f t="shared" ref="AC277:AE277" si="171">AC259</f>
        <v>1Q23</v>
      </c>
      <c r="AD277" s="228" t="str">
        <f t="shared" si="171"/>
        <v>2Q23</v>
      </c>
      <c r="AE277" s="228" t="str">
        <f t="shared" si="171"/>
        <v>3Q23</v>
      </c>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row>
    <row r="278" spans="1:59" ht="15.75" customHeight="1" x14ac:dyDescent="0.2">
      <c r="A278" s="189"/>
      <c r="B278" s="189"/>
      <c r="C278" s="190" t="s">
        <v>188</v>
      </c>
      <c r="D278" s="172">
        <f t="shared" ref="D278:AA278" si="172">D69</f>
        <v>5.0036999999990099E-4</v>
      </c>
      <c r="E278" s="172">
        <f t="shared" si="172"/>
        <v>-0.63202581999999996</v>
      </c>
      <c r="F278" s="172">
        <f t="shared" si="172"/>
        <v>0.63238503000000001</v>
      </c>
      <c r="G278" s="172">
        <f t="shared" si="172"/>
        <v>1.3000000000101901E-7</v>
      </c>
      <c r="H278" s="172">
        <f t="shared" si="172"/>
        <v>8.5970999999997199E-4</v>
      </c>
      <c r="I278" s="172">
        <f t="shared" si="172"/>
        <v>2E-8</v>
      </c>
      <c r="J278" s="172">
        <f t="shared" si="172"/>
        <v>8.9999999999999999E-8</v>
      </c>
      <c r="K278" s="172">
        <f t="shared" si="172"/>
        <v>-4.2199999999999994E-6</v>
      </c>
      <c r="L278" s="172">
        <f t="shared" si="172"/>
        <v>4.1799999999999998E-6</v>
      </c>
      <c r="M278" s="172">
        <f t="shared" si="172"/>
        <v>7.0000000000000177E-8</v>
      </c>
      <c r="N278" s="172">
        <f t="shared" si="172"/>
        <v>1.6696500000000017E-3</v>
      </c>
      <c r="O278" s="172">
        <f t="shared" si="172"/>
        <v>-1.082570000000004E-3</v>
      </c>
      <c r="P278" s="172">
        <f t="shared" si="172"/>
        <v>0</v>
      </c>
      <c r="Q278" s="172">
        <f t="shared" si="172"/>
        <v>-1.0000000005176881E-7</v>
      </c>
      <c r="R278" s="172">
        <f t="shared" si="172"/>
        <v>1.6695900000000001E-3</v>
      </c>
      <c r="S278" s="172">
        <f t="shared" si="172"/>
        <v>0</v>
      </c>
      <c r="T278" s="172">
        <f t="shared" si="172"/>
        <v>-5.4500000000000003E-6</v>
      </c>
      <c r="U278" s="172">
        <f t="shared" si="172"/>
        <v>4.7429999999999998E-5</v>
      </c>
      <c r="V278" s="172">
        <f t="shared" si="172"/>
        <v>-4.1999999999999998E-5</v>
      </c>
      <c r="W278" s="172">
        <f t="shared" si="172"/>
        <v>-1.999999999999642E-8</v>
      </c>
      <c r="X278" s="172">
        <f t="shared" si="172"/>
        <v>3.6247250000000002E-2</v>
      </c>
      <c r="Y278" s="172">
        <f t="shared" si="172"/>
        <v>-0.11858306</v>
      </c>
      <c r="Z278" s="172">
        <f t="shared" si="172"/>
        <v>-4.1983279999999998E-2</v>
      </c>
      <c r="AA278" s="172">
        <f t="shared" si="172"/>
        <v>3.9548489999999999E-2</v>
      </c>
      <c r="AB278" s="172">
        <f>SUM(X278:AA278)</f>
        <v>-8.4770600000000002E-2</v>
      </c>
      <c r="AC278" s="172">
        <f t="shared" ref="AC278:AE278" si="173">AC69</f>
        <v>3.0688893899999998</v>
      </c>
      <c r="AD278" s="172">
        <f t="shared" si="173"/>
        <v>-0.49354246000000002</v>
      </c>
      <c r="AE278" s="172">
        <f t="shared" si="173"/>
        <v>-2.5755441499999998</v>
      </c>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row>
    <row r="279" spans="1:59" ht="15.75" customHeight="1" x14ac:dyDescent="0.2">
      <c r="A279" s="189"/>
      <c r="B279" s="189"/>
      <c r="C279" s="190"/>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row>
    <row r="280" spans="1:59" ht="15.75" customHeight="1" x14ac:dyDescent="0.2">
      <c r="A280" s="189"/>
      <c r="B280" s="189"/>
      <c r="C280" s="190" t="s">
        <v>189</v>
      </c>
      <c r="D280" s="172">
        <f t="shared" ref="D280:AA280" si="174">D97</f>
        <v>-13.395355068122198</v>
      </c>
      <c r="E280" s="172">
        <f t="shared" si="174"/>
        <v>-18.907906819969771</v>
      </c>
      <c r="F280" s="172">
        <f t="shared" si="174"/>
        <v>-16.756291836664634</v>
      </c>
      <c r="G280" s="172">
        <f t="shared" si="174"/>
        <v>-20.400467584130901</v>
      </c>
      <c r="H280" s="172">
        <f t="shared" si="174"/>
        <v>-69.460021308887491</v>
      </c>
      <c r="I280" s="172">
        <f t="shared" si="174"/>
        <v>-15.02114302</v>
      </c>
      <c r="J280" s="172">
        <f t="shared" si="174"/>
        <v>-18.187849789999998</v>
      </c>
      <c r="K280" s="172">
        <f t="shared" si="174"/>
        <v>-17.64778355</v>
      </c>
      <c r="L280" s="172">
        <f t="shared" si="174"/>
        <v>-28.829342870000001</v>
      </c>
      <c r="M280" s="172">
        <f t="shared" si="174"/>
        <v>-79.686119230000003</v>
      </c>
      <c r="N280" s="172">
        <f t="shared" si="174"/>
        <v>-16.437359650378976</v>
      </c>
      <c r="O280" s="172">
        <f t="shared" si="174"/>
        <v>-15.061777953056021</v>
      </c>
      <c r="P280" s="172">
        <f t="shared" si="174"/>
        <v>-15.067475371639013</v>
      </c>
      <c r="Q280" s="172">
        <f t="shared" si="174"/>
        <v>-26.94606126997995</v>
      </c>
      <c r="R280" s="172">
        <f t="shared" si="174"/>
        <v>-80.474655479999996</v>
      </c>
      <c r="S280" s="172">
        <f t="shared" si="174"/>
        <v>-16.401625970000001</v>
      </c>
      <c r="T280" s="172">
        <f t="shared" si="174"/>
        <v>-27.632106440000001</v>
      </c>
      <c r="U280" s="172">
        <f t="shared" si="174"/>
        <v>-24.671390769999999</v>
      </c>
      <c r="V280" s="172">
        <f t="shared" si="174"/>
        <v>-57.222634679999999</v>
      </c>
      <c r="W280" s="172">
        <f t="shared" si="174"/>
        <v>-125.92775786</v>
      </c>
      <c r="X280" s="172">
        <f t="shared" si="174"/>
        <v>-4.4049159800000002</v>
      </c>
      <c r="Y280" s="172">
        <f t="shared" si="174"/>
        <v>-4.7395316899999997</v>
      </c>
      <c r="Z280" s="172">
        <f t="shared" si="174"/>
        <v>-2.5154365699999999</v>
      </c>
      <c r="AA280" s="172">
        <f t="shared" si="174"/>
        <v>-9.4473768800000002</v>
      </c>
      <c r="AB280" s="172">
        <f>SUM(X280:AA280)</f>
        <v>-21.10726112</v>
      </c>
      <c r="AC280" s="172">
        <f t="shared" ref="AC280:AE280" si="175">AC97</f>
        <v>-7.5649708899999997</v>
      </c>
      <c r="AD280" s="172">
        <f t="shared" si="175"/>
        <v>14.659352714735</v>
      </c>
      <c r="AE280" s="172">
        <f t="shared" si="175"/>
        <v>-2.8889439100000001</v>
      </c>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row>
    <row r="281" spans="1:59" ht="15.75" customHeight="1" x14ac:dyDescent="0.2">
      <c r="A281" s="190"/>
      <c r="B281" s="190"/>
      <c r="C281" s="190" t="s">
        <v>241</v>
      </c>
      <c r="D281" s="140" t="s">
        <v>146</v>
      </c>
      <c r="E281" s="140" t="s">
        <v>146</v>
      </c>
      <c r="F281" s="140" t="s">
        <v>146</v>
      </c>
      <c r="G281" s="140" t="s">
        <v>146</v>
      </c>
      <c r="H281" s="140" t="s">
        <v>146</v>
      </c>
      <c r="I281" s="191">
        <v>0.12136953020000001</v>
      </c>
      <c r="J281" s="191">
        <v>-3.8082323799999998E-2</v>
      </c>
      <c r="K281" s="191">
        <v>5.3203400970000002E-2</v>
      </c>
      <c r="L281" s="191">
        <v>0.41317069090000003</v>
      </c>
      <c r="M281" s="191">
        <v>0.14722278699999999</v>
      </c>
      <c r="N281" s="191">
        <v>9.4281548909999999E-2</v>
      </c>
      <c r="O281" s="191">
        <v>-0.17187693279999999</v>
      </c>
      <c r="P281" s="191">
        <v>-0.14621145890000001</v>
      </c>
      <c r="Q281" s="191">
        <v>-6.5325165700000007E-2</v>
      </c>
      <c r="R281" s="191">
        <v>9.8955283260000002E-3</v>
      </c>
      <c r="S281" s="191">
        <v>-2.173930676E-3</v>
      </c>
      <c r="T281" s="191">
        <v>0.83458463709999997</v>
      </c>
      <c r="U281" s="191">
        <v>0.63739380099999998</v>
      </c>
      <c r="V281" s="191">
        <v>1.1235992189999999</v>
      </c>
      <c r="W281" s="191">
        <v>0.56481263709999996</v>
      </c>
      <c r="X281" s="191">
        <v>-0.73143418900000001</v>
      </c>
      <c r="Y281" s="191">
        <v>-0.82847736559999996</v>
      </c>
      <c r="Z281" s="191">
        <v>-0.89804236839999996</v>
      </c>
      <c r="AA281" s="191">
        <v>-0.83490139990000001</v>
      </c>
      <c r="AB281" s="191">
        <v>-0.83238595299999996</v>
      </c>
      <c r="AC281" s="191">
        <v>0.71739277759999998</v>
      </c>
      <c r="AD281" s="191" t="s">
        <v>347</v>
      </c>
      <c r="AE281" s="191">
        <v>0.14848608960000001</v>
      </c>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row>
    <row r="282" spans="1:59" ht="15.75" customHeight="1" x14ac:dyDescent="0.2">
      <c r="A282" s="189"/>
      <c r="B282" s="189"/>
      <c r="C282" s="190"/>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row>
    <row r="283" spans="1:59" ht="15.75" customHeight="1" x14ac:dyDescent="0.2">
      <c r="A283" s="147"/>
      <c r="B283" s="147"/>
      <c r="C283" s="189" t="s">
        <v>242</v>
      </c>
      <c r="D283" s="172">
        <f t="shared" ref="D283:AE283" si="176">D286-D280</f>
        <v>-1.3877720637749995</v>
      </c>
      <c r="E283" s="172">
        <f t="shared" si="176"/>
        <v>-1.6528568698210009</v>
      </c>
      <c r="F283" s="172">
        <f t="shared" si="176"/>
        <v>-1.5644760412079961</v>
      </c>
      <c r="G283" s="172">
        <f t="shared" si="176"/>
        <v>-1.4121392548940008</v>
      </c>
      <c r="H283" s="172">
        <f t="shared" si="176"/>
        <v>-6.017244229698008</v>
      </c>
      <c r="I283" s="172">
        <f t="shared" si="176"/>
        <v>-1.7128397599999978</v>
      </c>
      <c r="J283" s="172">
        <f t="shared" si="176"/>
        <v>-0.74369154000000037</v>
      </c>
      <c r="K283" s="172">
        <f t="shared" si="176"/>
        <v>-1.8559351400000033</v>
      </c>
      <c r="L283" s="172">
        <f t="shared" si="176"/>
        <v>-1.4545604599999962</v>
      </c>
      <c r="M283" s="172">
        <f t="shared" si="176"/>
        <v>-5.7670268999999905</v>
      </c>
      <c r="N283" s="172">
        <f t="shared" si="176"/>
        <v>-3.7869588696210243</v>
      </c>
      <c r="O283" s="172">
        <f t="shared" si="176"/>
        <v>-4.7644870669439801</v>
      </c>
      <c r="P283" s="172">
        <f t="shared" si="176"/>
        <v>-4.5913626983609888</v>
      </c>
      <c r="Q283" s="172">
        <f t="shared" si="176"/>
        <v>-3.8985115400200492</v>
      </c>
      <c r="R283" s="172">
        <f t="shared" si="176"/>
        <v>-10.079338940000014</v>
      </c>
      <c r="S283" s="172">
        <f t="shared" si="176"/>
        <v>-2.6567069199999978</v>
      </c>
      <c r="T283" s="172">
        <f t="shared" si="176"/>
        <v>-2.5565253800000001</v>
      </c>
      <c r="U283" s="172">
        <f t="shared" si="176"/>
        <v>-2.4090169500000016</v>
      </c>
      <c r="V283" s="172">
        <f t="shared" si="176"/>
        <v>-2.4382201100000032</v>
      </c>
      <c r="W283" s="172">
        <f t="shared" si="176"/>
        <v>-10.060469359999999</v>
      </c>
      <c r="X283" s="172">
        <f t="shared" si="176"/>
        <v>-1.1821445299999995</v>
      </c>
      <c r="Y283" s="172">
        <f t="shared" si="176"/>
        <v>6.5899289999999944E-2</v>
      </c>
      <c r="Z283" s="172">
        <f t="shared" si="176"/>
        <v>-0.56888804999999998</v>
      </c>
      <c r="AA283" s="172">
        <f t="shared" si="176"/>
        <v>-0.38494034999999904</v>
      </c>
      <c r="AB283" s="172">
        <f t="shared" si="176"/>
        <v>-2.0700736400000004</v>
      </c>
      <c r="AC283" s="172">
        <f t="shared" si="176"/>
        <v>-0.75839142999999964</v>
      </c>
      <c r="AD283" s="172">
        <f t="shared" si="176"/>
        <v>-0.53816085749499898</v>
      </c>
      <c r="AE283" s="172">
        <f t="shared" si="176"/>
        <v>-0.42941925000000003</v>
      </c>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row>
    <row r="284" spans="1:59" ht="15.75" customHeight="1" x14ac:dyDescent="0.2">
      <c r="A284" s="147"/>
      <c r="B284" s="147"/>
      <c r="C284" s="189" t="s">
        <v>243</v>
      </c>
      <c r="D284" s="140" t="s">
        <v>146</v>
      </c>
      <c r="E284" s="140" t="s">
        <v>146</v>
      </c>
      <c r="F284" s="140" t="s">
        <v>146</v>
      </c>
      <c r="G284" s="140" t="s">
        <v>146</v>
      </c>
      <c r="H284" s="140" t="s">
        <v>146</v>
      </c>
      <c r="I284" s="140">
        <f t="shared" ref="I284:AE284" si="177">I283/D283-1</f>
        <v>0.23423709462831632</v>
      </c>
      <c r="J284" s="140">
        <f t="shared" si="177"/>
        <v>-0.5500569023375026</v>
      </c>
      <c r="K284" s="140">
        <f t="shared" si="177"/>
        <v>0.18629821813503744</v>
      </c>
      <c r="L284" s="140">
        <f t="shared" si="177"/>
        <v>3.0040383736219756E-2</v>
      </c>
      <c r="M284" s="140">
        <f t="shared" si="177"/>
        <v>-4.1583376068246358E-2</v>
      </c>
      <c r="N284" s="140">
        <f t="shared" si="177"/>
        <v>1.2109241962137949</v>
      </c>
      <c r="O284" s="140">
        <f t="shared" si="177"/>
        <v>5.4065365957288929</v>
      </c>
      <c r="P284" s="140">
        <f t="shared" si="177"/>
        <v>1.473881009850905</v>
      </c>
      <c r="Q284" s="140">
        <f t="shared" si="177"/>
        <v>1.6801990341605046</v>
      </c>
      <c r="R284" s="140">
        <f t="shared" si="177"/>
        <v>0.74775306492848692</v>
      </c>
      <c r="S284" s="140">
        <f t="shared" si="177"/>
        <v>-0.29845899798065023</v>
      </c>
      <c r="T284" s="140">
        <f t="shared" si="177"/>
        <v>-0.46342064862822741</v>
      </c>
      <c r="U284" s="140">
        <f t="shared" si="177"/>
        <v>-0.47531547641401417</v>
      </c>
      <c r="V284" s="140">
        <f t="shared" si="177"/>
        <v>-0.37457665958647801</v>
      </c>
      <c r="W284" s="140">
        <f t="shared" si="177"/>
        <v>-1.8721049180250304E-3</v>
      </c>
      <c r="X284" s="140">
        <f t="shared" si="177"/>
        <v>-0.55503389512005319</v>
      </c>
      <c r="Y284" s="140">
        <f t="shared" si="177"/>
        <v>-1.0257768964531069</v>
      </c>
      <c r="Z284" s="140">
        <f t="shared" si="177"/>
        <v>-0.76385054077763981</v>
      </c>
      <c r="AA284" s="140">
        <f t="shared" si="177"/>
        <v>-0.84212239558634494</v>
      </c>
      <c r="AB284" s="140">
        <f t="shared" si="177"/>
        <v>-0.79423687246337371</v>
      </c>
      <c r="AC284" s="140">
        <f t="shared" si="177"/>
        <v>-0.35846132959732091</v>
      </c>
      <c r="AD284" s="140">
        <f t="shared" si="177"/>
        <v>-9.1664135910265419</v>
      </c>
      <c r="AE284" s="140">
        <f t="shared" si="177"/>
        <v>-0.24516036151576737</v>
      </c>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row>
    <row r="285" spans="1:59" ht="15.75" customHeight="1" x14ac:dyDescent="0.2">
      <c r="A285" s="189"/>
      <c r="B285" s="189"/>
      <c r="C285" s="190"/>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row>
    <row r="286" spans="1:59" ht="15.75" customHeight="1" x14ac:dyDescent="0.2">
      <c r="A286" s="189"/>
      <c r="B286" s="189"/>
      <c r="C286" s="190" t="s">
        <v>190</v>
      </c>
      <c r="D286" s="172">
        <v>-14.783127131897198</v>
      </c>
      <c r="E286" s="172">
        <v>-20.560763689790772</v>
      </c>
      <c r="F286" s="172">
        <v>-18.32076787787263</v>
      </c>
      <c r="G286" s="172">
        <v>-21.812606839024902</v>
      </c>
      <c r="H286" s="172">
        <v>-75.477265538585499</v>
      </c>
      <c r="I286" s="172">
        <v>-16.733982779999998</v>
      </c>
      <c r="J286" s="172">
        <v>-18.931541329999998</v>
      </c>
      <c r="K286" s="172">
        <v>-19.503718690000003</v>
      </c>
      <c r="L286" s="172">
        <v>-30.283903329999998</v>
      </c>
      <c r="M286" s="172">
        <v>-85.453146129999993</v>
      </c>
      <c r="N286" s="172">
        <v>-20.224318520000001</v>
      </c>
      <c r="O286" s="172">
        <v>-19.826265020000001</v>
      </c>
      <c r="P286" s="172">
        <v>-19.658838070000002</v>
      </c>
      <c r="Q286" s="172">
        <v>-30.844572809999999</v>
      </c>
      <c r="R286" s="172">
        <v>-90.553994420000009</v>
      </c>
      <c r="S286" s="172">
        <v>-19.058332889999999</v>
      </c>
      <c r="T286" s="172">
        <v>-30.188631820000001</v>
      </c>
      <c r="U286" s="172">
        <v>-27.08040772</v>
      </c>
      <c r="V286" s="172">
        <v>-59.660854790000002</v>
      </c>
      <c r="W286" s="172">
        <f>SUM(S286:V286)</f>
        <v>-135.98822722</v>
      </c>
      <c r="X286" s="172">
        <v>-5.5870605099999997</v>
      </c>
      <c r="Y286" s="172">
        <v>-4.6736323999999998</v>
      </c>
      <c r="Z286" s="172">
        <v>-3.0843246199999999</v>
      </c>
      <c r="AA286" s="172">
        <v>-9.8323172299999992</v>
      </c>
      <c r="AB286" s="172">
        <f>SUM(X286:AA286)</f>
        <v>-23.177334760000001</v>
      </c>
      <c r="AC286" s="172">
        <v>-8.3233623199999993</v>
      </c>
      <c r="AD286" s="172">
        <v>14.121191857240001</v>
      </c>
      <c r="AE286" s="172">
        <v>-3.3183631600000001</v>
      </c>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row>
    <row r="287" spans="1:59" ht="15.75" customHeight="1" x14ac:dyDescent="0.2">
      <c r="A287" s="189"/>
      <c r="B287" s="189"/>
      <c r="C287" s="190" t="s">
        <v>245</v>
      </c>
      <c r="D287" s="140" t="s">
        <v>146</v>
      </c>
      <c r="E287" s="140" t="s">
        <v>146</v>
      </c>
      <c r="F287" s="140" t="s">
        <v>146</v>
      </c>
      <c r="G287" s="140" t="s">
        <v>146</v>
      </c>
      <c r="H287" s="140" t="s">
        <v>146</v>
      </c>
      <c r="I287" s="191">
        <v>0.13196501869999999</v>
      </c>
      <c r="J287" s="191">
        <v>-7.9239389369999996E-2</v>
      </c>
      <c r="K287" s="191">
        <v>6.4568844489999999E-2</v>
      </c>
      <c r="L287" s="191">
        <v>0.38836699130000002</v>
      </c>
      <c r="M287" s="191">
        <v>0.1321706678</v>
      </c>
      <c r="N287" s="191">
        <v>0.208577706</v>
      </c>
      <c r="O287" s="191">
        <v>4.7261006090000002E-2</v>
      </c>
      <c r="P287" s="191">
        <v>7.9533232849999993E-3</v>
      </c>
      <c r="Q287" s="191">
        <v>1.8513778549999999E-2</v>
      </c>
      <c r="R287" s="191">
        <v>5.9691755319999998E-2</v>
      </c>
      <c r="S287" s="191">
        <v>-5.7652653599999999E-2</v>
      </c>
      <c r="T287" s="191">
        <v>0.52265854359999997</v>
      </c>
      <c r="U287" s="191">
        <v>0.37751822480000002</v>
      </c>
      <c r="V287" s="191">
        <v>0.93424156520000001</v>
      </c>
      <c r="W287" s="191">
        <v>0.50173637390000003</v>
      </c>
      <c r="X287" s="191">
        <v>-0.70684421649999996</v>
      </c>
      <c r="Y287" s="191">
        <v>-0.84518568350000001</v>
      </c>
      <c r="Z287" s="191">
        <v>-0.88610494159999997</v>
      </c>
      <c r="AA287" s="191">
        <v>-0.83519650759999997</v>
      </c>
      <c r="AB287" s="191">
        <v>-0.82956366709999996</v>
      </c>
      <c r="AC287" s="191">
        <v>0.48975696699999999</v>
      </c>
      <c r="AD287" s="191" t="s">
        <v>347</v>
      </c>
      <c r="AE287" s="191">
        <v>7.5879996059999996E-2</v>
      </c>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row>
    <row r="288" spans="1:59" ht="15.75" customHeight="1" x14ac:dyDescent="0.2">
      <c r="A288" s="189"/>
      <c r="B288" s="189"/>
      <c r="C288" s="190" t="s">
        <v>246</v>
      </c>
      <c r="D288" s="172">
        <v>1.3391406499999998</v>
      </c>
      <c r="E288" s="172">
        <v>0.87190202000000006</v>
      </c>
      <c r="F288" s="172">
        <v>1.5910559400000008</v>
      </c>
      <c r="G288" s="172">
        <v>1.2</v>
      </c>
      <c r="H288" s="172">
        <f>SUM(D288:G288)</f>
        <v>5.0020986100000009</v>
      </c>
      <c r="I288" s="172">
        <v>0.5</v>
      </c>
      <c r="J288" s="172">
        <v>0.53372385</v>
      </c>
      <c r="K288" s="172">
        <v>1</v>
      </c>
      <c r="L288" s="172">
        <v>2.0880602600000002</v>
      </c>
      <c r="M288" s="172">
        <f>SUM(I288:L288)</f>
        <v>4.1217841100000001</v>
      </c>
      <c r="N288" s="172">
        <v>2.8996625300000001</v>
      </c>
      <c r="O288" s="172">
        <v>0.89468213000000041</v>
      </c>
      <c r="P288" s="172">
        <v>0.68000743000000019</v>
      </c>
      <c r="Q288" s="172">
        <v>0.56014391999999991</v>
      </c>
      <c r="R288" s="172">
        <f>SUM(N288:Q288)</f>
        <v>5.0344960100000007</v>
      </c>
      <c r="S288" s="172">
        <v>0.11049929</v>
      </c>
      <c r="T288" s="172">
        <v>0.2</v>
      </c>
      <c r="U288" s="172">
        <v>1.17380273</v>
      </c>
      <c r="V288" s="172">
        <v>0.1</v>
      </c>
      <c r="W288" s="172">
        <f>SUM(S288:V288)</f>
        <v>1.58430202</v>
      </c>
      <c r="X288" s="172">
        <v>7.7981229999999999E-2</v>
      </c>
      <c r="Y288" s="172">
        <v>0.49666408000000001</v>
      </c>
      <c r="Z288" s="172">
        <v>1.38821119</v>
      </c>
      <c r="AA288" s="172">
        <v>0.45637469000000003</v>
      </c>
      <c r="AB288" s="172">
        <f>SUM(X288:AA288)</f>
        <v>2.4192311900000001</v>
      </c>
      <c r="AC288" s="172">
        <v>0.32735202000000002</v>
      </c>
      <c r="AD288" s="172">
        <v>0.106345156824</v>
      </c>
      <c r="AE288" s="172">
        <v>9.1434769999999999E-2</v>
      </c>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row>
    <row r="289" spans="1:59" ht="15.75" customHeight="1" x14ac:dyDescent="0.2">
      <c r="A289" s="209"/>
      <c r="B289" s="209"/>
      <c r="C289" s="230"/>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147"/>
      <c r="AG289" s="147"/>
      <c r="AH289" s="147"/>
      <c r="AI289" s="147"/>
      <c r="AJ289" s="147"/>
      <c r="AK289" s="147"/>
      <c r="AL289" s="147"/>
      <c r="AM289" s="147"/>
      <c r="AN289" s="189"/>
      <c r="AO289" s="147"/>
      <c r="AP289" s="147"/>
      <c r="AQ289" s="147"/>
      <c r="AR289" s="147"/>
      <c r="AS289" s="147"/>
      <c r="AT289" s="147"/>
      <c r="AU289" s="147"/>
      <c r="AV289" s="147"/>
      <c r="AW289" s="147"/>
      <c r="AX289" s="147"/>
      <c r="AY289" s="147"/>
      <c r="AZ289" s="147"/>
      <c r="BA289" s="147"/>
      <c r="BB289" s="147"/>
      <c r="BC289" s="147"/>
      <c r="BD289" s="147"/>
      <c r="BE289" s="147"/>
      <c r="BF289" s="147"/>
      <c r="BG289" s="147"/>
    </row>
    <row r="290" spans="1:59" ht="15.75" customHeight="1" x14ac:dyDescent="0.2">
      <c r="A290" s="210"/>
      <c r="B290" s="211" t="s">
        <v>249</v>
      </c>
      <c r="C290" s="211"/>
      <c r="D290" s="158"/>
      <c r="E290" s="158"/>
      <c r="F290" s="158"/>
      <c r="G290" s="158"/>
      <c r="H290" s="159"/>
      <c r="I290" s="158"/>
      <c r="J290" s="158"/>
      <c r="K290" s="158"/>
      <c r="L290" s="158"/>
      <c r="M290" s="159"/>
      <c r="N290" s="158"/>
      <c r="O290" s="158"/>
      <c r="P290" s="158"/>
      <c r="Q290" s="158"/>
      <c r="R290" s="159"/>
      <c r="S290" s="158"/>
      <c r="T290" s="158"/>
      <c r="U290" s="158"/>
      <c r="V290" s="158"/>
      <c r="W290" s="159"/>
      <c r="X290" s="158"/>
      <c r="Y290" s="158"/>
      <c r="Z290" s="158"/>
      <c r="AA290" s="158"/>
      <c r="AB290" s="159"/>
      <c r="AC290" s="158"/>
      <c r="AD290" s="158"/>
      <c r="AE290" s="158"/>
      <c r="AF290" s="147"/>
      <c r="AG290" s="147"/>
      <c r="AH290" s="147"/>
      <c r="AI290" s="147"/>
      <c r="AJ290" s="147"/>
      <c r="AK290" s="147"/>
      <c r="AL290" s="147"/>
      <c r="AM290" s="147"/>
      <c r="AN290" s="84"/>
      <c r="AO290" s="147"/>
      <c r="AP290" s="147"/>
      <c r="AQ290" s="147"/>
      <c r="AR290" s="147"/>
      <c r="AS290" s="147"/>
      <c r="AT290" s="147"/>
      <c r="AU290" s="147"/>
      <c r="AV290" s="147"/>
      <c r="AW290" s="147"/>
      <c r="AX290" s="147"/>
      <c r="AY290" s="147"/>
      <c r="AZ290" s="147"/>
      <c r="BA290" s="147"/>
      <c r="BB290" s="147"/>
      <c r="BC290" s="147"/>
      <c r="BD290" s="147"/>
      <c r="BE290" s="147"/>
      <c r="BF290" s="147"/>
      <c r="BG290" s="147"/>
    </row>
    <row r="291" spans="1:59" ht="15.75" customHeight="1" x14ac:dyDescent="0.2">
      <c r="A291" s="210"/>
      <c r="B291" s="211" t="s">
        <v>246</v>
      </c>
      <c r="C291" s="211"/>
      <c r="D291" s="158" t="s">
        <v>98</v>
      </c>
      <c r="E291" s="158" t="s">
        <v>99</v>
      </c>
      <c r="F291" s="158" t="s">
        <v>100</v>
      </c>
      <c r="G291" s="158" t="s">
        <v>101</v>
      </c>
      <c r="H291" s="159">
        <v>2018</v>
      </c>
      <c r="I291" s="158" t="s">
        <v>102</v>
      </c>
      <c r="J291" s="158" t="s">
        <v>103</v>
      </c>
      <c r="K291" s="158" t="s">
        <v>104</v>
      </c>
      <c r="L291" s="158" t="s">
        <v>105</v>
      </c>
      <c r="M291" s="159">
        <v>2019</v>
      </c>
      <c r="N291" s="158" t="s">
        <v>158</v>
      </c>
      <c r="O291" s="158" t="s">
        <v>107</v>
      </c>
      <c r="P291" s="158" t="s">
        <v>108</v>
      </c>
      <c r="Q291" s="158" t="s">
        <v>109</v>
      </c>
      <c r="R291" s="159">
        <v>2020</v>
      </c>
      <c r="S291" s="158" t="s">
        <v>110</v>
      </c>
      <c r="T291" s="158" t="s">
        <v>111</v>
      </c>
      <c r="U291" s="158" t="s">
        <v>112</v>
      </c>
      <c r="V291" s="158" t="s">
        <v>113</v>
      </c>
      <c r="W291" s="159">
        <v>2021</v>
      </c>
      <c r="X291" s="158" t="s">
        <v>114</v>
      </c>
      <c r="Y291" s="158" t="s">
        <v>115</v>
      </c>
      <c r="Z291" s="158" t="str">
        <f>$Z$4</f>
        <v>3Q22</v>
      </c>
      <c r="AA291" s="158" t="str">
        <f>$AA$4</f>
        <v>4Q22</v>
      </c>
      <c r="AB291" s="160">
        <v>2022</v>
      </c>
      <c r="AC291" s="158" t="str">
        <f>$AC$4</f>
        <v>1Q23</v>
      </c>
      <c r="AD291" s="158" t="str">
        <f t="shared" ref="AD291:AE291" si="178">AD$4</f>
        <v>2Q23</v>
      </c>
      <c r="AE291" s="158" t="str">
        <f t="shared" si="178"/>
        <v>3Q23</v>
      </c>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row>
    <row r="292" spans="1:59" ht="15.75" customHeight="1" x14ac:dyDescent="0.2">
      <c r="A292" s="189"/>
      <c r="B292" s="189"/>
      <c r="C292" s="190" t="s">
        <v>19</v>
      </c>
      <c r="D292" s="172">
        <f t="shared" ref="D292:AE292" si="179">D184</f>
        <v>8.4116525699999976</v>
      </c>
      <c r="E292" s="172">
        <f t="shared" si="179"/>
        <v>10.997611050000001</v>
      </c>
      <c r="F292" s="172">
        <f t="shared" si="179"/>
        <v>8.0666841900000001</v>
      </c>
      <c r="G292" s="172">
        <f t="shared" si="179"/>
        <v>49.044311010000001</v>
      </c>
      <c r="H292" s="172">
        <f t="shared" si="179"/>
        <v>76.520258819999995</v>
      </c>
      <c r="I292" s="172">
        <f t="shared" si="179"/>
        <v>58.54052489</v>
      </c>
      <c r="J292" s="172">
        <f t="shared" si="179"/>
        <v>56.83265437</v>
      </c>
      <c r="K292" s="172">
        <f t="shared" si="179"/>
        <v>72.185164149999991</v>
      </c>
      <c r="L292" s="172">
        <f t="shared" si="179"/>
        <v>58.781831139999994</v>
      </c>
      <c r="M292" s="172">
        <f t="shared" si="179"/>
        <v>246.34017454999997</v>
      </c>
      <c r="N292" s="172">
        <f t="shared" si="179"/>
        <v>57.7</v>
      </c>
      <c r="O292" s="172">
        <f t="shared" si="179"/>
        <v>132.00011524000001</v>
      </c>
      <c r="P292" s="172">
        <f t="shared" si="179"/>
        <v>20.990084899999999</v>
      </c>
      <c r="Q292" s="172">
        <f t="shared" si="179"/>
        <v>32.607661449999995</v>
      </c>
      <c r="R292" s="172">
        <f t="shared" si="179"/>
        <v>243.29786159</v>
      </c>
      <c r="S292" s="172">
        <f t="shared" si="179"/>
        <v>15.051717760000001</v>
      </c>
      <c r="T292" s="172">
        <f t="shared" si="179"/>
        <v>8.8725461299999999</v>
      </c>
      <c r="U292" s="172">
        <f t="shared" si="179"/>
        <v>12.477934440000002</v>
      </c>
      <c r="V292" s="172">
        <f t="shared" si="179"/>
        <v>19.288367390000001</v>
      </c>
      <c r="W292" s="172">
        <f t="shared" si="179"/>
        <v>55.690565720000009</v>
      </c>
      <c r="X292" s="172">
        <f t="shared" si="179"/>
        <v>9.1916069799999995</v>
      </c>
      <c r="Y292" s="172">
        <f t="shared" si="179"/>
        <v>9.5233290999999998</v>
      </c>
      <c r="Z292" s="172">
        <f t="shared" si="179"/>
        <v>28.48308364</v>
      </c>
      <c r="AA292" s="172">
        <f t="shared" si="179"/>
        <v>24.693720970000001</v>
      </c>
      <c r="AB292" s="172">
        <f t="shared" si="179"/>
        <v>71.891740690000006</v>
      </c>
      <c r="AC292" s="172">
        <f t="shared" si="179"/>
        <v>28.02785501</v>
      </c>
      <c r="AD292" s="172">
        <f t="shared" si="179"/>
        <v>29.698435259999997</v>
      </c>
      <c r="AE292" s="172">
        <f t="shared" si="179"/>
        <v>21.505002279999999</v>
      </c>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row>
    <row r="293" spans="1:59" ht="15.75" customHeight="1" x14ac:dyDescent="0.2">
      <c r="A293" s="189"/>
      <c r="B293" s="189"/>
      <c r="C293" s="190" t="s">
        <v>27</v>
      </c>
      <c r="D293" s="172">
        <f t="shared" ref="D293:AE293" si="180">D202</f>
        <v>0.21836718999999999</v>
      </c>
      <c r="E293" s="172">
        <f t="shared" si="180"/>
        <v>1.1094640500000004</v>
      </c>
      <c r="F293" s="172">
        <f t="shared" si="180"/>
        <v>4.9845690200000004</v>
      </c>
      <c r="G293" s="172">
        <f t="shared" si="180"/>
        <v>2.6806704600000018</v>
      </c>
      <c r="H293" s="172">
        <f t="shared" si="180"/>
        <v>8.9930707200000022</v>
      </c>
      <c r="I293" s="172">
        <f t="shared" si="180"/>
        <v>0.85676039999999998</v>
      </c>
      <c r="J293" s="172">
        <f t="shared" si="180"/>
        <v>0.92787512999999999</v>
      </c>
      <c r="K293" s="172">
        <f t="shared" si="180"/>
        <v>2.0670614</v>
      </c>
      <c r="L293" s="172">
        <f t="shared" si="180"/>
        <v>0.52748435999999999</v>
      </c>
      <c r="M293" s="172">
        <f t="shared" si="180"/>
        <v>4.37918129</v>
      </c>
      <c r="N293" s="172">
        <f t="shared" si="180"/>
        <v>0.28620612000000001</v>
      </c>
      <c r="O293" s="172">
        <f t="shared" si="180"/>
        <v>0.35039535999999999</v>
      </c>
      <c r="P293" s="172">
        <f t="shared" si="180"/>
        <v>0.23522620000000002</v>
      </c>
      <c r="Q293" s="172">
        <f t="shared" si="180"/>
        <v>0.57203477999999996</v>
      </c>
      <c r="R293" s="172">
        <f t="shared" si="180"/>
        <v>1.4438624600000001</v>
      </c>
      <c r="S293" s="172">
        <f t="shared" si="180"/>
        <v>1.3</v>
      </c>
      <c r="T293" s="172">
        <f t="shared" si="180"/>
        <v>2.3803548999999999</v>
      </c>
      <c r="U293" s="172">
        <f t="shared" si="180"/>
        <v>5.7340321300000001</v>
      </c>
      <c r="V293" s="172">
        <f t="shared" si="180"/>
        <v>6.0690055599999999</v>
      </c>
      <c r="W293" s="172">
        <f t="shared" si="180"/>
        <v>15.483392590000001</v>
      </c>
      <c r="X293" s="172">
        <f t="shared" si="180"/>
        <v>2.8675736000000001</v>
      </c>
      <c r="Y293" s="172">
        <f t="shared" si="180"/>
        <v>4.9792733199999999</v>
      </c>
      <c r="Z293" s="172">
        <f t="shared" si="180"/>
        <v>2.9712975300000002</v>
      </c>
      <c r="AA293" s="172">
        <f t="shared" si="180"/>
        <v>1.21829506</v>
      </c>
      <c r="AB293" s="172">
        <f t="shared" si="180"/>
        <v>12.036439510000001</v>
      </c>
      <c r="AC293" s="172">
        <f t="shared" si="180"/>
        <v>1.7616775499999999</v>
      </c>
      <c r="AD293" s="172">
        <f t="shared" si="180"/>
        <v>0.59375793370999896</v>
      </c>
      <c r="AE293" s="172">
        <f t="shared" si="180"/>
        <v>1.07472166</v>
      </c>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row>
    <row r="294" spans="1:59" ht="15.75" customHeight="1" x14ac:dyDescent="0.2">
      <c r="A294" s="189"/>
      <c r="B294" s="189"/>
      <c r="C294" s="190" t="s">
        <v>21</v>
      </c>
      <c r="D294" s="172">
        <f t="shared" ref="D294:AE294" si="181">D220</f>
        <v>1.4626554299999996</v>
      </c>
      <c r="E294" s="172">
        <f t="shared" si="181"/>
        <v>0.85530867000000044</v>
      </c>
      <c r="F294" s="172">
        <f t="shared" si="181"/>
        <v>1.37561029</v>
      </c>
      <c r="G294" s="172">
        <f t="shared" si="181"/>
        <v>2.9481452199999993</v>
      </c>
      <c r="H294" s="172">
        <f t="shared" si="181"/>
        <v>6.6417196099999991</v>
      </c>
      <c r="I294" s="172">
        <f t="shared" si="181"/>
        <v>0.49493970000000004</v>
      </c>
      <c r="J294" s="172">
        <f t="shared" si="181"/>
        <v>0.33305490000000004</v>
      </c>
      <c r="K294" s="172">
        <f t="shared" si="181"/>
        <v>0.36728040000000001</v>
      </c>
      <c r="L294" s="172">
        <f t="shared" si="181"/>
        <v>0.85088651000000004</v>
      </c>
      <c r="M294" s="172">
        <f t="shared" si="181"/>
        <v>2.0461615100000001</v>
      </c>
      <c r="N294" s="172">
        <f t="shared" si="181"/>
        <v>0</v>
      </c>
      <c r="O294" s="172">
        <f t="shared" si="181"/>
        <v>0</v>
      </c>
      <c r="P294" s="172">
        <f t="shared" si="181"/>
        <v>0</v>
      </c>
      <c r="Q294" s="172">
        <f t="shared" si="181"/>
        <v>0</v>
      </c>
      <c r="R294" s="172">
        <f t="shared" si="181"/>
        <v>0</v>
      </c>
      <c r="S294" s="172">
        <f t="shared" si="181"/>
        <v>7.0000000000000001E-3</v>
      </c>
      <c r="T294" s="172">
        <f t="shared" si="181"/>
        <v>0.17</v>
      </c>
      <c r="U294" s="172">
        <f t="shared" si="181"/>
        <v>0.60831733999999993</v>
      </c>
      <c r="V294" s="172">
        <f t="shared" si="181"/>
        <v>0.3</v>
      </c>
      <c r="W294" s="172">
        <f t="shared" si="181"/>
        <v>1.08531734</v>
      </c>
      <c r="X294" s="172">
        <f t="shared" si="181"/>
        <v>0.54382470999999999</v>
      </c>
      <c r="Y294" s="172">
        <f t="shared" si="181"/>
        <v>0.50149317000000004</v>
      </c>
      <c r="Z294" s="172">
        <f t="shared" si="181"/>
        <v>0.22117095000000001</v>
      </c>
      <c r="AA294" s="172">
        <f t="shared" si="181"/>
        <v>3.27679309</v>
      </c>
      <c r="AB294" s="172">
        <f t="shared" si="181"/>
        <v>4.5432819200000001</v>
      </c>
      <c r="AC294" s="172">
        <f t="shared" si="181"/>
        <v>0.22656423000000001</v>
      </c>
      <c r="AD294" s="172">
        <f t="shared" si="181"/>
        <v>0.70577855</v>
      </c>
      <c r="AE294" s="172">
        <f t="shared" si="181"/>
        <v>1.08173509</v>
      </c>
      <c r="AF294" s="189"/>
      <c r="AG294" s="189"/>
      <c r="AH294" s="189"/>
      <c r="AI294" s="189"/>
      <c r="AJ294" s="189"/>
      <c r="AK294" s="189"/>
      <c r="AL294" s="189"/>
      <c r="AM294" s="189"/>
      <c r="AN294" s="195"/>
      <c r="AO294" s="189"/>
      <c r="AP294" s="189"/>
      <c r="AQ294" s="189"/>
      <c r="AR294" s="189"/>
      <c r="AS294" s="189"/>
      <c r="AT294" s="189"/>
      <c r="AU294" s="189"/>
      <c r="AV294" s="189"/>
      <c r="AW294" s="189"/>
      <c r="AX294" s="189"/>
      <c r="AY294" s="189"/>
      <c r="AZ294" s="189"/>
      <c r="BA294" s="189"/>
      <c r="BB294" s="189"/>
      <c r="BC294" s="189"/>
      <c r="BD294" s="189"/>
      <c r="BE294" s="189"/>
      <c r="BF294" s="189"/>
      <c r="BG294" s="189"/>
    </row>
    <row r="295" spans="1:59" ht="15.75" customHeight="1" x14ac:dyDescent="0.2">
      <c r="A295" s="189"/>
      <c r="B295" s="189"/>
      <c r="C295" s="190" t="s">
        <v>23</v>
      </c>
      <c r="D295" s="172">
        <f t="shared" ref="D295:AE295" si="182">D238</f>
        <v>38.391384725910342</v>
      </c>
      <c r="E295" s="172">
        <f t="shared" si="182"/>
        <v>22.105727308789938</v>
      </c>
      <c r="F295" s="172">
        <f t="shared" si="182"/>
        <v>34.870862515672187</v>
      </c>
      <c r="G295" s="172">
        <f t="shared" si="182"/>
        <v>33.07031370398213</v>
      </c>
      <c r="H295" s="172">
        <f t="shared" si="182"/>
        <v>128.4382882543546</v>
      </c>
      <c r="I295" s="172">
        <f t="shared" si="182"/>
        <v>27.16334741</v>
      </c>
      <c r="J295" s="172">
        <f t="shared" si="182"/>
        <v>32.908856450000002</v>
      </c>
      <c r="K295" s="172">
        <f t="shared" si="182"/>
        <v>16.473397670000001</v>
      </c>
      <c r="L295" s="172">
        <f t="shared" si="182"/>
        <v>13.750044800000001</v>
      </c>
      <c r="M295" s="172">
        <f t="shared" si="182"/>
        <v>90.295646329999997</v>
      </c>
      <c r="N295" s="172">
        <f t="shared" si="182"/>
        <v>9.9868145572606775</v>
      </c>
      <c r="O295" s="172">
        <f t="shared" si="182"/>
        <v>12.455405710856258</v>
      </c>
      <c r="P295" s="172">
        <f t="shared" si="182"/>
        <v>10.553847138203777</v>
      </c>
      <c r="Q295" s="172">
        <f t="shared" si="182"/>
        <v>31.186870617418325</v>
      </c>
      <c r="R295" s="172">
        <f t="shared" si="182"/>
        <v>64.182938023739041</v>
      </c>
      <c r="S295" s="172">
        <f t="shared" si="182"/>
        <v>19.7</v>
      </c>
      <c r="T295" s="172">
        <f t="shared" si="182"/>
        <v>41.7</v>
      </c>
      <c r="U295" s="172">
        <f t="shared" si="182"/>
        <v>42.096377560000001</v>
      </c>
      <c r="V295" s="172">
        <f t="shared" si="182"/>
        <v>88.611016770000006</v>
      </c>
      <c r="W295" s="172">
        <f t="shared" si="182"/>
        <v>192.10739433000003</v>
      </c>
      <c r="X295" s="172">
        <f t="shared" si="182"/>
        <v>58.990616410000001</v>
      </c>
      <c r="Y295" s="172">
        <f t="shared" si="182"/>
        <v>53.984707880000002</v>
      </c>
      <c r="Z295" s="172">
        <f t="shared" si="182"/>
        <v>66.229441129999998</v>
      </c>
      <c r="AA295" s="172">
        <f t="shared" si="182"/>
        <v>57.44280886</v>
      </c>
      <c r="AB295" s="172">
        <f t="shared" si="182"/>
        <v>236.64757428000001</v>
      </c>
      <c r="AC295" s="172">
        <f t="shared" si="182"/>
        <v>54.331703699999998</v>
      </c>
      <c r="AD295" s="172">
        <f t="shared" si="182"/>
        <v>44.919574811473105</v>
      </c>
      <c r="AE295" s="172">
        <f t="shared" si="182"/>
        <v>73.769427449999995</v>
      </c>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row>
    <row r="296" spans="1:59" ht="15.75" customHeight="1" x14ac:dyDescent="0.2">
      <c r="A296" s="189"/>
      <c r="B296" s="189"/>
      <c r="C296" s="190" t="s">
        <v>25</v>
      </c>
      <c r="D296" s="172">
        <f t="shared" ref="D296:AE296" si="183">D256</f>
        <v>9.2010773401000001E-2</v>
      </c>
      <c r="E296" s="172">
        <f t="shared" si="183"/>
        <v>8.5741221065000012E-2</v>
      </c>
      <c r="F296" s="172">
        <f t="shared" si="183"/>
        <v>4.0058312036000014E-2</v>
      </c>
      <c r="G296" s="172">
        <f t="shared" si="183"/>
        <v>3.2504339490999991E-2</v>
      </c>
      <c r="H296" s="172">
        <f t="shared" si="183"/>
        <v>0.25031464599300002</v>
      </c>
      <c r="I296" s="172">
        <f t="shared" si="183"/>
        <v>7.1822440000000001E-2</v>
      </c>
      <c r="J296" s="172">
        <f t="shared" si="183"/>
        <v>0</v>
      </c>
      <c r="K296" s="172">
        <f t="shared" si="183"/>
        <v>0.50864787</v>
      </c>
      <c r="L296" s="172">
        <f t="shared" si="183"/>
        <v>0.12040613</v>
      </c>
      <c r="M296" s="172">
        <f t="shared" si="183"/>
        <v>0.70087644000000004</v>
      </c>
      <c r="N296" s="172">
        <f t="shared" si="183"/>
        <v>0.5</v>
      </c>
      <c r="O296" s="172">
        <f t="shared" si="183"/>
        <v>0.13039134999999999</v>
      </c>
      <c r="P296" s="172">
        <f t="shared" si="183"/>
        <v>0.20134960999999998</v>
      </c>
      <c r="Q296" s="172">
        <f t="shared" si="183"/>
        <v>0.15211810000000001</v>
      </c>
      <c r="R296" s="172">
        <f t="shared" si="183"/>
        <v>0.98385906000000001</v>
      </c>
      <c r="S296" s="172">
        <f t="shared" si="183"/>
        <v>0.1</v>
      </c>
      <c r="T296" s="172">
        <f t="shared" si="183"/>
        <v>7.0000000000000007E-2</v>
      </c>
      <c r="U296" s="172">
        <f t="shared" si="183"/>
        <v>0.26326114</v>
      </c>
      <c r="V296" s="172">
        <f t="shared" si="183"/>
        <v>7.5282409999999994E-2</v>
      </c>
      <c r="W296" s="172">
        <f t="shared" si="183"/>
        <v>0.50854355000000007</v>
      </c>
      <c r="X296" s="172">
        <f t="shared" si="183"/>
        <v>5.5181510000000003E-2</v>
      </c>
      <c r="Y296" s="172">
        <f t="shared" si="183"/>
        <v>0.28988016</v>
      </c>
      <c r="Z296" s="172">
        <f t="shared" si="183"/>
        <v>0.34862956000000001</v>
      </c>
      <c r="AA296" s="172">
        <f t="shared" si="183"/>
        <v>0.19710275999999999</v>
      </c>
      <c r="AB296" s="172">
        <f t="shared" si="183"/>
        <v>0.89079398999999992</v>
      </c>
      <c r="AC296" s="172">
        <f t="shared" si="183"/>
        <v>0.14592226999999999</v>
      </c>
      <c r="AD296" s="172">
        <f t="shared" si="183"/>
        <v>0.16897542117700001</v>
      </c>
      <c r="AE296" s="172">
        <f t="shared" si="183"/>
        <v>5.6802909999999998E-2</v>
      </c>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row>
    <row r="297" spans="1:59" ht="15.75" customHeight="1" x14ac:dyDescent="0.2">
      <c r="A297" s="189"/>
      <c r="B297" s="189"/>
      <c r="C297" s="190" t="s">
        <v>29</v>
      </c>
      <c r="D297" s="172">
        <f t="shared" ref="D297:AE297" si="184">D274</f>
        <v>9.4230048929999782E-2</v>
      </c>
      <c r="E297" s="172">
        <f t="shared" si="184"/>
        <v>0.26166980789400002</v>
      </c>
      <c r="F297" s="172">
        <f t="shared" si="184"/>
        <v>0.60338668314900001</v>
      </c>
      <c r="G297" s="172">
        <f t="shared" si="184"/>
        <v>0.94422834679700018</v>
      </c>
      <c r="H297" s="172">
        <f t="shared" si="184"/>
        <v>1.90351488677</v>
      </c>
      <c r="I297" s="172">
        <f t="shared" si="184"/>
        <v>0.9</v>
      </c>
      <c r="J297" s="172">
        <f t="shared" si="184"/>
        <v>0.43486909999999995</v>
      </c>
      <c r="K297" s="172">
        <f t="shared" si="184"/>
        <v>1.28374582</v>
      </c>
      <c r="L297" s="172">
        <f t="shared" si="184"/>
        <v>1.7057409800000001</v>
      </c>
      <c r="M297" s="172">
        <f t="shared" si="184"/>
        <v>4.3243558999999996</v>
      </c>
      <c r="N297" s="172">
        <f t="shared" si="184"/>
        <v>0.16539344</v>
      </c>
      <c r="O297" s="172">
        <f t="shared" si="184"/>
        <v>0.29635022000000005</v>
      </c>
      <c r="P297" s="172">
        <f t="shared" si="184"/>
        <v>1.24471708</v>
      </c>
      <c r="Q297" s="172">
        <f t="shared" si="184"/>
        <v>3.7504890299999993</v>
      </c>
      <c r="R297" s="172">
        <f t="shared" si="184"/>
        <v>5.4569497699999996</v>
      </c>
      <c r="S297" s="172">
        <f t="shared" si="184"/>
        <v>0.34264139999999998</v>
      </c>
      <c r="T297" s="172">
        <f t="shared" si="184"/>
        <v>0.98</v>
      </c>
      <c r="U297" s="172">
        <f t="shared" si="184"/>
        <v>0.62848618999999994</v>
      </c>
      <c r="V297" s="172">
        <f t="shared" si="184"/>
        <v>1.00548309</v>
      </c>
      <c r="W297" s="172">
        <f t="shared" si="184"/>
        <v>2.9566106799999998</v>
      </c>
      <c r="X297" s="172">
        <f t="shared" si="184"/>
        <v>0.55836257</v>
      </c>
      <c r="Y297" s="172">
        <f t="shared" si="184"/>
        <v>0.41872605000000002</v>
      </c>
      <c r="Z297" s="172">
        <f t="shared" si="184"/>
        <v>1.50898939</v>
      </c>
      <c r="AA297" s="172">
        <f t="shared" si="184"/>
        <v>3.6365253200000001</v>
      </c>
      <c r="AB297" s="172">
        <f t="shared" si="184"/>
        <v>6.1226033300000005</v>
      </c>
      <c r="AC297" s="172">
        <f t="shared" si="184"/>
        <v>0.74520118000000002</v>
      </c>
      <c r="AD297" s="172">
        <f t="shared" si="184"/>
        <v>1.2569829831379999</v>
      </c>
      <c r="AE297" s="172">
        <f t="shared" si="184"/>
        <v>1.7828513500000001</v>
      </c>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row>
    <row r="298" spans="1:59" ht="15.75" customHeight="1" x14ac:dyDescent="0.2">
      <c r="A298" s="189"/>
      <c r="B298" s="189"/>
      <c r="C298" s="190" t="s">
        <v>208</v>
      </c>
      <c r="D298" s="172">
        <f t="shared" ref="D298:AE298" si="185">D288</f>
        <v>1.3391406499999998</v>
      </c>
      <c r="E298" s="172">
        <f t="shared" si="185"/>
        <v>0.87190202000000006</v>
      </c>
      <c r="F298" s="172">
        <f t="shared" si="185"/>
        <v>1.5910559400000008</v>
      </c>
      <c r="G298" s="172">
        <f t="shared" si="185"/>
        <v>1.2</v>
      </c>
      <c r="H298" s="172">
        <f t="shared" si="185"/>
        <v>5.0020986100000009</v>
      </c>
      <c r="I298" s="172">
        <f t="shared" si="185"/>
        <v>0.5</v>
      </c>
      <c r="J298" s="172">
        <f t="shared" si="185"/>
        <v>0.53372385</v>
      </c>
      <c r="K298" s="172">
        <f t="shared" si="185"/>
        <v>1</v>
      </c>
      <c r="L298" s="172">
        <f t="shared" si="185"/>
        <v>2.0880602600000002</v>
      </c>
      <c r="M298" s="172">
        <f t="shared" si="185"/>
        <v>4.1217841100000001</v>
      </c>
      <c r="N298" s="172">
        <f t="shared" si="185"/>
        <v>2.8996625300000001</v>
      </c>
      <c r="O298" s="172">
        <f t="shared" si="185"/>
        <v>0.89468213000000041</v>
      </c>
      <c r="P298" s="172">
        <f t="shared" si="185"/>
        <v>0.68000743000000019</v>
      </c>
      <c r="Q298" s="172">
        <f t="shared" si="185"/>
        <v>0.56014391999999991</v>
      </c>
      <c r="R298" s="172">
        <f t="shared" si="185"/>
        <v>5.0344960100000007</v>
      </c>
      <c r="S298" s="172">
        <f t="shared" si="185"/>
        <v>0.11049929</v>
      </c>
      <c r="T298" s="172">
        <f t="shared" si="185"/>
        <v>0.2</v>
      </c>
      <c r="U298" s="172">
        <f t="shared" si="185"/>
        <v>1.17380273</v>
      </c>
      <c r="V298" s="172">
        <f t="shared" si="185"/>
        <v>0.1</v>
      </c>
      <c r="W298" s="172">
        <f t="shared" si="185"/>
        <v>1.58430202</v>
      </c>
      <c r="X298" s="172">
        <f t="shared" si="185"/>
        <v>7.7981229999999999E-2</v>
      </c>
      <c r="Y298" s="172">
        <f t="shared" si="185"/>
        <v>0.49666408000000001</v>
      </c>
      <c r="Z298" s="172">
        <f t="shared" si="185"/>
        <v>1.38821119</v>
      </c>
      <c r="AA298" s="172">
        <f t="shared" si="185"/>
        <v>0.45637469000000003</v>
      </c>
      <c r="AB298" s="172">
        <f t="shared" si="185"/>
        <v>2.4192311900000001</v>
      </c>
      <c r="AC298" s="172">
        <f t="shared" si="185"/>
        <v>0.32735202000000002</v>
      </c>
      <c r="AD298" s="172">
        <f t="shared" si="185"/>
        <v>0.106345156824</v>
      </c>
      <c r="AE298" s="172">
        <f t="shared" si="185"/>
        <v>9.1434769999999999E-2</v>
      </c>
      <c r="AF298" s="189"/>
      <c r="AG298" s="189"/>
      <c r="AH298" s="189"/>
      <c r="AI298" s="189"/>
      <c r="AJ298" s="189"/>
      <c r="AK298" s="189"/>
      <c r="AL298" s="189"/>
      <c r="AM298" s="189"/>
      <c r="AN298" s="195"/>
      <c r="AO298" s="189"/>
      <c r="AP298" s="189"/>
      <c r="AQ298" s="189"/>
      <c r="AR298" s="189"/>
      <c r="AS298" s="189"/>
      <c r="AT298" s="189"/>
      <c r="AU298" s="189"/>
      <c r="AV298" s="189"/>
      <c r="AW298" s="189"/>
      <c r="AX298" s="189"/>
      <c r="AY298" s="189"/>
      <c r="AZ298" s="189"/>
      <c r="BA298" s="189"/>
      <c r="BB298" s="189"/>
      <c r="BC298" s="189"/>
      <c r="BD298" s="189"/>
      <c r="BE298" s="189"/>
      <c r="BF298" s="189"/>
      <c r="BG298" s="189"/>
    </row>
    <row r="299" spans="1:59" ht="15.75" customHeight="1" x14ac:dyDescent="0.2">
      <c r="A299" s="162"/>
      <c r="B299" s="162"/>
      <c r="C299" s="206" t="s">
        <v>250</v>
      </c>
      <c r="D299" s="207">
        <f t="shared" ref="D299:AE299" si="186">SUM(D292:D298)</f>
        <v>50.009441388241335</v>
      </c>
      <c r="E299" s="207">
        <f t="shared" si="186"/>
        <v>36.287424127748942</v>
      </c>
      <c r="F299" s="207">
        <f t="shared" si="186"/>
        <v>51.532226950857186</v>
      </c>
      <c r="G299" s="207">
        <f t="shared" si="186"/>
        <v>89.920173080270132</v>
      </c>
      <c r="H299" s="207">
        <f t="shared" si="186"/>
        <v>227.7492655471176</v>
      </c>
      <c r="I299" s="207">
        <f t="shared" si="186"/>
        <v>88.527394840000014</v>
      </c>
      <c r="J299" s="207">
        <f t="shared" si="186"/>
        <v>91.971033800000001</v>
      </c>
      <c r="K299" s="207">
        <f t="shared" si="186"/>
        <v>93.885297309999999</v>
      </c>
      <c r="L299" s="207">
        <f t="shared" si="186"/>
        <v>77.824454180000018</v>
      </c>
      <c r="M299" s="207">
        <f t="shared" si="186"/>
        <v>352.20818012999996</v>
      </c>
      <c r="N299" s="207">
        <f t="shared" si="186"/>
        <v>71.538076647260681</v>
      </c>
      <c r="O299" s="207">
        <f t="shared" si="186"/>
        <v>146.12734001085627</v>
      </c>
      <c r="P299" s="207">
        <f t="shared" si="186"/>
        <v>33.905232358203783</v>
      </c>
      <c r="Q299" s="207">
        <f t="shared" si="186"/>
        <v>68.829317897418321</v>
      </c>
      <c r="R299" s="207">
        <f t="shared" si="186"/>
        <v>320.39996691373898</v>
      </c>
      <c r="S299" s="207">
        <f t="shared" si="186"/>
        <v>36.61185845</v>
      </c>
      <c r="T299" s="207">
        <f t="shared" si="186"/>
        <v>54.372901030000001</v>
      </c>
      <c r="U299" s="207">
        <f t="shared" si="186"/>
        <v>62.982211529999994</v>
      </c>
      <c r="V299" s="207">
        <f t="shared" si="186"/>
        <v>115.44915522000001</v>
      </c>
      <c r="W299" s="207">
        <f t="shared" si="186"/>
        <v>269.41612623000003</v>
      </c>
      <c r="X299" s="207">
        <f t="shared" si="186"/>
        <v>72.285147010000003</v>
      </c>
      <c r="Y299" s="207">
        <f t="shared" si="186"/>
        <v>70.194073759999995</v>
      </c>
      <c r="Z299" s="207">
        <f t="shared" si="186"/>
        <v>101.15082339000001</v>
      </c>
      <c r="AA299" s="207">
        <f t="shared" si="186"/>
        <v>90.921620750000017</v>
      </c>
      <c r="AB299" s="207">
        <f t="shared" si="186"/>
        <v>334.55166491000006</v>
      </c>
      <c r="AC299" s="207">
        <f t="shared" si="186"/>
        <v>85.566275959999999</v>
      </c>
      <c r="AD299" s="207">
        <f t="shared" si="186"/>
        <v>77.449850116322096</v>
      </c>
      <c r="AE299" s="207">
        <f t="shared" si="186"/>
        <v>99.361975510000008</v>
      </c>
      <c r="AF299" s="162"/>
      <c r="AG299" s="162"/>
      <c r="AH299" s="162"/>
      <c r="AI299" s="162"/>
      <c r="AJ299" s="162"/>
      <c r="AK299" s="162"/>
      <c r="AL299" s="162"/>
      <c r="AM299" s="162"/>
      <c r="AN299" s="195"/>
      <c r="AO299" s="162"/>
      <c r="AP299" s="162"/>
      <c r="AQ299" s="162"/>
      <c r="AR299" s="162"/>
      <c r="AS299" s="162"/>
      <c r="AT299" s="162"/>
      <c r="AU299" s="162"/>
      <c r="AV299" s="162"/>
      <c r="AW299" s="162"/>
      <c r="AX299" s="162"/>
      <c r="AY299" s="162"/>
      <c r="AZ299" s="162"/>
      <c r="BA299" s="162"/>
      <c r="BB299" s="162"/>
      <c r="BC299" s="162"/>
      <c r="BD299" s="162"/>
      <c r="BE299" s="162"/>
      <c r="BF299" s="162"/>
      <c r="BG299" s="162"/>
    </row>
    <row r="300" spans="1:59" ht="15.75" customHeight="1" x14ac:dyDescent="0.2">
      <c r="A300" s="189"/>
      <c r="B300" s="189"/>
      <c r="C300" s="190"/>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row>
    <row r="301" spans="1:59" ht="15.75" customHeight="1" x14ac:dyDescent="0.2">
      <c r="A301" s="210"/>
      <c r="B301" s="211" t="s">
        <v>251</v>
      </c>
      <c r="C301" s="211"/>
      <c r="D301" s="158" t="s">
        <v>98</v>
      </c>
      <c r="E301" s="158" t="s">
        <v>99</v>
      </c>
      <c r="F301" s="158" t="s">
        <v>100</v>
      </c>
      <c r="G301" s="158" t="s">
        <v>101</v>
      </c>
      <c r="H301" s="159">
        <v>2018</v>
      </c>
      <c r="I301" s="158" t="s">
        <v>102</v>
      </c>
      <c r="J301" s="158" t="s">
        <v>103</v>
      </c>
      <c r="K301" s="158" t="s">
        <v>104</v>
      </c>
      <c r="L301" s="158" t="s">
        <v>105</v>
      </c>
      <c r="M301" s="159">
        <v>2019</v>
      </c>
      <c r="N301" s="158" t="s">
        <v>158</v>
      </c>
      <c r="O301" s="158" t="s">
        <v>107</v>
      </c>
      <c r="P301" s="158" t="s">
        <v>108</v>
      </c>
      <c r="Q301" s="158" t="s">
        <v>109</v>
      </c>
      <c r="R301" s="159">
        <v>2020</v>
      </c>
      <c r="S301" s="158" t="s">
        <v>110</v>
      </c>
      <c r="T301" s="158" t="s">
        <v>111</v>
      </c>
      <c r="U301" s="158" t="s">
        <v>112</v>
      </c>
      <c r="V301" s="158" t="s">
        <v>113</v>
      </c>
      <c r="W301" s="159">
        <v>2021</v>
      </c>
      <c r="X301" s="158" t="s">
        <v>114</v>
      </c>
      <c r="Y301" s="158" t="s">
        <v>115</v>
      </c>
      <c r="Z301" s="158" t="str">
        <f>$Z$4</f>
        <v>3Q22</v>
      </c>
      <c r="AA301" s="158" t="str">
        <f>$AA$4</f>
        <v>4Q22</v>
      </c>
      <c r="AB301" s="160">
        <v>2022</v>
      </c>
      <c r="AC301" s="158" t="str">
        <f>$AC$4</f>
        <v>1Q23</v>
      </c>
      <c r="AD301" s="158" t="str">
        <f t="shared" ref="AD301:AE301" si="187">AD$4</f>
        <v>2Q23</v>
      </c>
      <c r="AE301" s="158" t="str">
        <f t="shared" si="187"/>
        <v>3Q23</v>
      </c>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row>
    <row r="302" spans="1:59" ht="15.75" customHeight="1" x14ac:dyDescent="0.2">
      <c r="A302" s="189"/>
      <c r="B302" s="189"/>
      <c r="C302" s="190" t="s">
        <v>214</v>
      </c>
      <c r="D302" s="191">
        <f t="shared" ref="D302:AE302" si="188">D292/D$299</f>
        <v>0.16820129032630668</v>
      </c>
      <c r="E302" s="191">
        <f t="shared" si="188"/>
        <v>0.3030694879659464</v>
      </c>
      <c r="F302" s="191">
        <f t="shared" si="188"/>
        <v>0.15653668912256893</v>
      </c>
      <c r="G302" s="191">
        <f t="shared" si="188"/>
        <v>0.54542055836813197</v>
      </c>
      <c r="H302" s="191">
        <f t="shared" si="188"/>
        <v>0.33598465679429029</v>
      </c>
      <c r="I302" s="191">
        <f t="shared" si="188"/>
        <v>0.66127016383802117</v>
      </c>
      <c r="J302" s="191">
        <f t="shared" si="188"/>
        <v>0.61794080181362498</v>
      </c>
      <c r="K302" s="191">
        <f t="shared" si="188"/>
        <v>0.76886547966772367</v>
      </c>
      <c r="L302" s="191">
        <f t="shared" si="188"/>
        <v>0.75531311795703215</v>
      </c>
      <c r="M302" s="191">
        <f t="shared" si="188"/>
        <v>0.69941639191649629</v>
      </c>
      <c r="N302" s="191">
        <f t="shared" si="188"/>
        <v>0.8065634792574401</v>
      </c>
      <c r="O302" s="191">
        <f t="shared" si="188"/>
        <v>0.90332250782224122</v>
      </c>
      <c r="P302" s="191">
        <f t="shared" si="188"/>
        <v>0.61908099252182802</v>
      </c>
      <c r="Q302" s="191">
        <f t="shared" si="188"/>
        <v>0.47374668885427174</v>
      </c>
      <c r="R302" s="191">
        <f t="shared" si="188"/>
        <v>0.75935670010697254</v>
      </c>
      <c r="S302" s="191">
        <f t="shared" si="188"/>
        <v>0.41111591700693906</v>
      </c>
      <c r="T302" s="191">
        <f t="shared" si="188"/>
        <v>0.1631795611770763</v>
      </c>
      <c r="U302" s="191">
        <f t="shared" si="188"/>
        <v>0.19811839147719434</v>
      </c>
      <c r="V302" s="191">
        <f t="shared" si="188"/>
        <v>0.16707239956190301</v>
      </c>
      <c r="W302" s="191">
        <f t="shared" si="188"/>
        <v>0.20670836040622556</v>
      </c>
      <c r="X302" s="191">
        <f t="shared" si="188"/>
        <v>0.12715761619366178</v>
      </c>
      <c r="Y302" s="191">
        <f t="shared" si="188"/>
        <v>0.13567141198502225</v>
      </c>
      <c r="Z302" s="191">
        <f t="shared" si="188"/>
        <v>0.28159023016728008</v>
      </c>
      <c r="AA302" s="191">
        <f t="shared" si="188"/>
        <v>0.27159349741354005</v>
      </c>
      <c r="AB302" s="191">
        <f t="shared" si="188"/>
        <v>0.21488980097988775</v>
      </c>
      <c r="AC302" s="191">
        <f t="shared" si="188"/>
        <v>0.32755726126379847</v>
      </c>
      <c r="AD302" s="191">
        <f t="shared" si="188"/>
        <v>0.38345374736549975</v>
      </c>
      <c r="AE302" s="191">
        <f t="shared" si="188"/>
        <v>0.21643090497768624</v>
      </c>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row>
    <row r="303" spans="1:59" ht="15.75" customHeight="1" x14ac:dyDescent="0.2">
      <c r="A303" s="189"/>
      <c r="B303" s="189"/>
      <c r="C303" s="190" t="s">
        <v>215</v>
      </c>
      <c r="D303" s="191">
        <f t="shared" ref="D303:AE303" si="189">D293/D$299</f>
        <v>4.3665192799242991E-3</v>
      </c>
      <c r="E303" s="191">
        <f t="shared" si="189"/>
        <v>3.0574340192738973E-2</v>
      </c>
      <c r="F303" s="191">
        <f t="shared" si="189"/>
        <v>9.6727219352531535E-2</v>
      </c>
      <c r="G303" s="191">
        <f t="shared" si="189"/>
        <v>2.981166926365917E-2</v>
      </c>
      <c r="H303" s="191">
        <f t="shared" si="189"/>
        <v>3.948671666798189E-2</v>
      </c>
      <c r="I303" s="191">
        <f t="shared" si="189"/>
        <v>9.6779127133297654E-3</v>
      </c>
      <c r="J303" s="191">
        <f t="shared" si="189"/>
        <v>1.008877569015648E-2</v>
      </c>
      <c r="K303" s="191">
        <f t="shared" si="189"/>
        <v>2.2016880802696582E-2</v>
      </c>
      <c r="L303" s="191">
        <f t="shared" si="189"/>
        <v>6.7778741985132654E-3</v>
      </c>
      <c r="M303" s="191">
        <f t="shared" si="189"/>
        <v>1.2433502505204863E-2</v>
      </c>
      <c r="N303" s="191">
        <f t="shared" si="189"/>
        <v>4.0007522345229191E-3</v>
      </c>
      <c r="O303" s="191">
        <f t="shared" si="189"/>
        <v>2.3978768105541921E-3</v>
      </c>
      <c r="P303" s="191">
        <f t="shared" si="189"/>
        <v>6.9377551380527319E-3</v>
      </c>
      <c r="Q303" s="191">
        <f t="shared" si="189"/>
        <v>8.3109174618372344E-3</v>
      </c>
      <c r="R303" s="191">
        <f t="shared" si="189"/>
        <v>4.5064376064331176E-3</v>
      </c>
      <c r="S303" s="191">
        <f t="shared" si="189"/>
        <v>3.5507621165294878E-2</v>
      </c>
      <c r="T303" s="191">
        <f t="shared" si="189"/>
        <v>4.3778331759172645E-2</v>
      </c>
      <c r="U303" s="191">
        <f t="shared" si="189"/>
        <v>9.1042089356750164E-2</v>
      </c>
      <c r="V303" s="191">
        <f t="shared" si="189"/>
        <v>5.2568644165779277E-2</v>
      </c>
      <c r="W303" s="191">
        <f t="shared" si="189"/>
        <v>5.7470177478470087E-2</v>
      </c>
      <c r="X303" s="191">
        <f t="shared" si="189"/>
        <v>3.9670301833975616E-2</v>
      </c>
      <c r="Y303" s="191">
        <f t="shared" si="189"/>
        <v>7.0935807729646722E-2</v>
      </c>
      <c r="Z303" s="191">
        <f t="shared" si="189"/>
        <v>2.9374921828799951E-2</v>
      </c>
      <c r="AA303" s="191">
        <f t="shared" si="189"/>
        <v>1.3399398844306234E-2</v>
      </c>
      <c r="AB303" s="191">
        <f t="shared" si="189"/>
        <v>3.5977819788276952E-2</v>
      </c>
      <c r="AC303" s="191">
        <f t="shared" si="189"/>
        <v>2.0588456494513543E-2</v>
      </c>
      <c r="AD303" s="191">
        <f t="shared" si="189"/>
        <v>7.6663535541803196E-3</v>
      </c>
      <c r="AE303" s="191">
        <f t="shared" si="189"/>
        <v>1.081622677572305E-2</v>
      </c>
      <c r="AF303" s="147"/>
      <c r="AG303" s="147"/>
      <c r="AH303" s="147"/>
      <c r="AI303" s="147"/>
      <c r="AJ303" s="147"/>
      <c r="AK303" s="147"/>
      <c r="AL303" s="147"/>
      <c r="AM303" s="147"/>
      <c r="AN303" s="189"/>
      <c r="AO303" s="147"/>
      <c r="AP303" s="147"/>
      <c r="AQ303" s="147"/>
      <c r="AR303" s="147"/>
      <c r="AS303" s="147"/>
      <c r="AT303" s="147"/>
      <c r="AU303" s="147"/>
      <c r="AV303" s="147"/>
      <c r="AW303" s="147"/>
      <c r="AX303" s="147"/>
      <c r="AY303" s="147"/>
      <c r="AZ303" s="147"/>
      <c r="BA303" s="147"/>
      <c r="BB303" s="147"/>
      <c r="BC303" s="147"/>
      <c r="BD303" s="147"/>
      <c r="BE303" s="147"/>
      <c r="BF303" s="147"/>
      <c r="BG303" s="147"/>
    </row>
    <row r="304" spans="1:59" ht="15.75" customHeight="1" x14ac:dyDescent="0.2">
      <c r="A304" s="189"/>
      <c r="B304" s="189"/>
      <c r="C304" s="190" t="s">
        <v>216</v>
      </c>
      <c r="D304" s="191">
        <f t="shared" ref="D304:AE304" si="190">D294/D$299</f>
        <v>2.9247585843738544E-2</v>
      </c>
      <c r="E304" s="191">
        <f t="shared" si="190"/>
        <v>2.3570388104399702E-2</v>
      </c>
      <c r="F304" s="191">
        <f t="shared" si="190"/>
        <v>2.6694175109331621E-2</v>
      </c>
      <c r="G304" s="191">
        <f t="shared" si="190"/>
        <v>3.2786249392205272E-2</v>
      </c>
      <c r="H304" s="191">
        <f t="shared" si="190"/>
        <v>2.9162419444228399E-2</v>
      </c>
      <c r="I304" s="191">
        <f t="shared" si="190"/>
        <v>5.5908083694830206E-3</v>
      </c>
      <c r="J304" s="191">
        <f t="shared" si="190"/>
        <v>3.6213021234953219E-3</v>
      </c>
      <c r="K304" s="191">
        <f t="shared" si="190"/>
        <v>3.9120118966793739E-3</v>
      </c>
      <c r="L304" s="191">
        <f t="shared" si="190"/>
        <v>1.0933408000934853E-2</v>
      </c>
      <c r="M304" s="191">
        <f t="shared" si="190"/>
        <v>5.8095229623706139E-3</v>
      </c>
      <c r="N304" s="191">
        <f t="shared" si="190"/>
        <v>0</v>
      </c>
      <c r="O304" s="191">
        <f t="shared" si="190"/>
        <v>0</v>
      </c>
      <c r="P304" s="191">
        <f t="shared" si="190"/>
        <v>0</v>
      </c>
      <c r="Q304" s="191">
        <f t="shared" si="190"/>
        <v>0</v>
      </c>
      <c r="R304" s="191">
        <f t="shared" si="190"/>
        <v>0</v>
      </c>
      <c r="S304" s="191">
        <f t="shared" si="190"/>
        <v>1.9119488319774164E-4</v>
      </c>
      <c r="T304" s="191">
        <f t="shared" si="190"/>
        <v>3.1265574721901133E-3</v>
      </c>
      <c r="U304" s="191">
        <f t="shared" si="190"/>
        <v>9.6585579518788933E-3</v>
      </c>
      <c r="V304" s="191">
        <f t="shared" si="190"/>
        <v>2.5985465153757058E-3</v>
      </c>
      <c r="W304" s="191">
        <f t="shared" si="190"/>
        <v>4.0284052598747065E-3</v>
      </c>
      <c r="X304" s="191">
        <f t="shared" si="190"/>
        <v>7.523325779841974E-3</v>
      </c>
      <c r="Y304" s="191">
        <f t="shared" si="190"/>
        <v>7.1443804745490534E-3</v>
      </c>
      <c r="Z304" s="191">
        <f t="shared" si="190"/>
        <v>2.1865462147277531E-3</v>
      </c>
      <c r="AA304" s="191">
        <f t="shared" si="190"/>
        <v>3.6039756693404514E-2</v>
      </c>
      <c r="AB304" s="191">
        <f t="shared" si="190"/>
        <v>1.3580210163420404E-2</v>
      </c>
      <c r="AC304" s="191">
        <f t="shared" si="190"/>
        <v>2.6478215565430576E-3</v>
      </c>
      <c r="AD304" s="191">
        <f t="shared" si="190"/>
        <v>9.1127167959652554E-3</v>
      </c>
      <c r="AE304" s="191">
        <f t="shared" si="190"/>
        <v>1.0886811423059235E-2</v>
      </c>
      <c r="AF304" s="147"/>
      <c r="AG304" s="147"/>
      <c r="AH304" s="147"/>
      <c r="AI304" s="147"/>
      <c r="AJ304" s="147"/>
      <c r="AK304" s="147"/>
      <c r="AL304" s="147"/>
      <c r="AM304" s="147"/>
      <c r="AN304" s="189"/>
      <c r="AO304" s="147"/>
      <c r="AP304" s="147"/>
      <c r="AQ304" s="147"/>
      <c r="AR304" s="147"/>
      <c r="AS304" s="147"/>
      <c r="AT304" s="147"/>
      <c r="AU304" s="147"/>
      <c r="AV304" s="147"/>
      <c r="AW304" s="147"/>
      <c r="AX304" s="147"/>
      <c r="AY304" s="147"/>
      <c r="AZ304" s="147"/>
      <c r="BA304" s="147"/>
      <c r="BB304" s="147"/>
      <c r="BC304" s="147"/>
      <c r="BD304" s="147"/>
      <c r="BE304" s="147"/>
      <c r="BF304" s="147"/>
      <c r="BG304" s="147"/>
    </row>
    <row r="305" spans="1:59" ht="15.75" customHeight="1" x14ac:dyDescent="0.2">
      <c r="A305" s="189"/>
      <c r="B305" s="189"/>
      <c r="C305" s="190" t="s">
        <v>217</v>
      </c>
      <c r="D305" s="191">
        <f t="shared" ref="D305:AE305" si="191">D295/D$299</f>
        <v>0.76768273470331672</v>
      </c>
      <c r="E305" s="191">
        <f t="shared" si="191"/>
        <v>0.60918425157341827</v>
      </c>
      <c r="F305" s="191">
        <f t="shared" si="191"/>
        <v>0.6766806827293953</v>
      </c>
      <c r="G305" s="191">
        <f t="shared" si="191"/>
        <v>0.36777413311316531</v>
      </c>
      <c r="H305" s="191">
        <f t="shared" si="191"/>
        <v>0.56394600415421681</v>
      </c>
      <c r="I305" s="191">
        <f t="shared" si="191"/>
        <v>0.30683549944165506</v>
      </c>
      <c r="J305" s="191">
        <f t="shared" si="191"/>
        <v>0.35781762029079206</v>
      </c>
      <c r="K305" s="191">
        <f t="shared" si="191"/>
        <v>0.17546301861948058</v>
      </c>
      <c r="L305" s="191">
        <f t="shared" si="191"/>
        <v>0.17668026001438508</v>
      </c>
      <c r="M305" s="191">
        <f t="shared" si="191"/>
        <v>0.25637009991270476</v>
      </c>
      <c r="N305" s="191">
        <f t="shared" si="191"/>
        <v>0.13960138467942848</v>
      </c>
      <c r="O305" s="191">
        <f t="shared" si="191"/>
        <v>8.5236655303045319E-2</v>
      </c>
      <c r="P305" s="191">
        <f t="shared" si="191"/>
        <v>0.31127488013366011</v>
      </c>
      <c r="Q305" s="191">
        <f t="shared" si="191"/>
        <v>0.45310445563180707</v>
      </c>
      <c r="R305" s="191">
        <f t="shared" si="191"/>
        <v>0.20032130041080484</v>
      </c>
      <c r="S305" s="191">
        <f t="shared" si="191"/>
        <v>0.53807702842793004</v>
      </c>
      <c r="T305" s="191">
        <f t="shared" si="191"/>
        <v>0.76692615641369255</v>
      </c>
      <c r="U305" s="191">
        <f t="shared" si="191"/>
        <v>0.66838519222127424</v>
      </c>
      <c r="V305" s="191">
        <f t="shared" si="191"/>
        <v>0.76753282950527246</v>
      </c>
      <c r="W305" s="191">
        <f t="shared" si="191"/>
        <v>0.71305083707572248</v>
      </c>
      <c r="X305" s="191">
        <f t="shared" si="191"/>
        <v>0.81608212544465297</v>
      </c>
      <c r="Y305" s="191">
        <f t="shared" si="191"/>
        <v>0.76907785783424809</v>
      </c>
      <c r="Z305" s="191">
        <f t="shared" si="191"/>
        <v>0.65475928826247776</v>
      </c>
      <c r="AA305" s="191">
        <f t="shared" si="191"/>
        <v>0.63178381980173826</v>
      </c>
      <c r="AB305" s="191">
        <f t="shared" si="191"/>
        <v>0.70735733550649682</v>
      </c>
      <c r="AC305" s="191">
        <f t="shared" si="191"/>
        <v>0.63496632394517971</v>
      </c>
      <c r="AD305" s="191">
        <f t="shared" si="191"/>
        <v>0.57998272099956683</v>
      </c>
      <c r="AE305" s="191">
        <f t="shared" si="191"/>
        <v>0.74243116716792412</v>
      </c>
      <c r="AF305" s="147"/>
      <c r="AG305" s="147"/>
      <c r="AH305" s="147"/>
      <c r="AI305" s="147"/>
      <c r="AJ305" s="147"/>
      <c r="AK305" s="147"/>
      <c r="AL305" s="147"/>
      <c r="AM305" s="147"/>
      <c r="AN305" s="195"/>
      <c r="AO305" s="147"/>
      <c r="AP305" s="147"/>
      <c r="AQ305" s="147"/>
      <c r="AR305" s="147"/>
      <c r="AS305" s="147"/>
      <c r="AT305" s="147"/>
      <c r="AU305" s="147"/>
      <c r="AV305" s="147"/>
      <c r="AW305" s="147"/>
      <c r="AX305" s="147"/>
      <c r="AY305" s="147"/>
      <c r="AZ305" s="147"/>
      <c r="BA305" s="147"/>
      <c r="BB305" s="147"/>
      <c r="BC305" s="147"/>
      <c r="BD305" s="147"/>
      <c r="BE305" s="147"/>
      <c r="BF305" s="147"/>
      <c r="BG305" s="147"/>
    </row>
    <row r="306" spans="1:59" ht="15.75" customHeight="1" x14ac:dyDescent="0.2">
      <c r="A306" s="189"/>
      <c r="B306" s="189"/>
      <c r="C306" s="190" t="s">
        <v>218</v>
      </c>
      <c r="D306" s="191">
        <f t="shared" ref="D306:AE306" si="192">D296/D$299</f>
        <v>1.8398680498485712E-3</v>
      </c>
      <c r="E306" s="191">
        <f t="shared" si="192"/>
        <v>2.3628356965528954E-3</v>
      </c>
      <c r="F306" s="191">
        <f t="shared" si="192"/>
        <v>7.7734486565466938E-4</v>
      </c>
      <c r="G306" s="191">
        <f t="shared" si="192"/>
        <v>3.614799480199393E-4</v>
      </c>
      <c r="H306" s="191">
        <f t="shared" si="192"/>
        <v>1.0990799263026121E-3</v>
      </c>
      <c r="I306" s="191">
        <f t="shared" si="192"/>
        <v>8.1130185893087993E-4</v>
      </c>
      <c r="J306" s="191">
        <f t="shared" si="192"/>
        <v>0</v>
      </c>
      <c r="K306" s="191">
        <f t="shared" si="192"/>
        <v>5.4177585263483251E-3</v>
      </c>
      <c r="L306" s="191">
        <f t="shared" si="192"/>
        <v>1.5471503304284398E-3</v>
      </c>
      <c r="M306" s="191">
        <f t="shared" si="192"/>
        <v>1.9899493525144894E-3</v>
      </c>
      <c r="N306" s="191">
        <f t="shared" si="192"/>
        <v>6.9892849155757377E-3</v>
      </c>
      <c r="O306" s="191">
        <f t="shared" si="192"/>
        <v>8.9231317007695344E-4</v>
      </c>
      <c r="P306" s="191">
        <f t="shared" si="192"/>
        <v>5.9385999149857175E-3</v>
      </c>
      <c r="Q306" s="191">
        <f t="shared" si="192"/>
        <v>2.210077110261552E-3</v>
      </c>
      <c r="R306" s="191">
        <f t="shared" si="192"/>
        <v>3.0707214781482283E-3</v>
      </c>
      <c r="S306" s="191">
        <f t="shared" si="192"/>
        <v>2.731355474253452E-3</v>
      </c>
      <c r="T306" s="191">
        <f t="shared" si="192"/>
        <v>1.287406017960635E-3</v>
      </c>
      <c r="U306" s="191">
        <f t="shared" si="192"/>
        <v>4.1799284846420828E-3</v>
      </c>
      <c r="V306" s="191">
        <f t="shared" si="192"/>
        <v>6.5208281391528392E-4</v>
      </c>
      <c r="W306" s="191">
        <f t="shared" si="192"/>
        <v>1.8875765052232152E-3</v>
      </c>
      <c r="X306" s="191">
        <f t="shared" si="192"/>
        <v>7.633865639419138E-4</v>
      </c>
      <c r="Y306" s="191">
        <f t="shared" si="192"/>
        <v>4.1296956348640911E-3</v>
      </c>
      <c r="Z306" s="191">
        <f t="shared" si="192"/>
        <v>3.4466309646913489E-3</v>
      </c>
      <c r="AA306" s="191">
        <f t="shared" si="192"/>
        <v>2.1678315715681954E-3</v>
      </c>
      <c r="AB306" s="191">
        <f t="shared" si="192"/>
        <v>2.6626499982884207E-3</v>
      </c>
      <c r="AC306" s="191">
        <f t="shared" si="192"/>
        <v>1.7053712851569564E-3</v>
      </c>
      <c r="AD306" s="191">
        <f t="shared" si="192"/>
        <v>2.1817398087048E-3</v>
      </c>
      <c r="AE306" s="191">
        <f t="shared" si="192"/>
        <v>5.7167653630521087E-4</v>
      </c>
      <c r="AF306" s="147"/>
      <c r="AG306" s="147"/>
      <c r="AH306" s="147"/>
      <c r="AI306" s="147"/>
      <c r="AJ306" s="147"/>
      <c r="AK306" s="147"/>
      <c r="AL306" s="147"/>
      <c r="AM306" s="147"/>
      <c r="AN306" s="189"/>
      <c r="AO306" s="147"/>
      <c r="AP306" s="147"/>
      <c r="AQ306" s="147"/>
      <c r="AR306" s="147"/>
      <c r="AS306" s="147"/>
      <c r="AT306" s="147"/>
      <c r="AU306" s="147"/>
      <c r="AV306" s="147"/>
      <c r="AW306" s="147"/>
      <c r="AX306" s="147"/>
      <c r="AY306" s="147"/>
      <c r="AZ306" s="147"/>
      <c r="BA306" s="147"/>
      <c r="BB306" s="147"/>
      <c r="BC306" s="147"/>
      <c r="BD306" s="147"/>
      <c r="BE306" s="147"/>
      <c r="BF306" s="147"/>
      <c r="BG306" s="147"/>
    </row>
    <row r="307" spans="1:59" ht="15.75" customHeight="1" x14ac:dyDescent="0.2">
      <c r="A307" s="189"/>
      <c r="B307" s="189"/>
      <c r="C307" s="190" t="s">
        <v>219</v>
      </c>
      <c r="D307" s="191">
        <f t="shared" ref="D307:AE307" si="193">D297/D$299</f>
        <v>1.8842451807941209E-3</v>
      </c>
      <c r="E307" s="191">
        <f t="shared" si="193"/>
        <v>7.211032862867262E-3</v>
      </c>
      <c r="F307" s="191">
        <f t="shared" si="193"/>
        <v>1.170891923076426E-2</v>
      </c>
      <c r="G307" s="191">
        <f t="shared" si="193"/>
        <v>1.050073987239887E-2</v>
      </c>
      <c r="H307" s="191">
        <f t="shared" si="193"/>
        <v>8.3579408354939079E-3</v>
      </c>
      <c r="I307" s="191">
        <f t="shared" si="193"/>
        <v>1.0166344571944255E-2</v>
      </c>
      <c r="J307" s="191">
        <f t="shared" si="193"/>
        <v>4.7283267571577511E-3</v>
      </c>
      <c r="K307" s="191">
        <f t="shared" si="193"/>
        <v>1.3673555463761252E-2</v>
      </c>
      <c r="L307" s="191">
        <f t="shared" si="193"/>
        <v>2.1917802032440797E-2</v>
      </c>
      <c r="M307" s="191">
        <f t="shared" si="193"/>
        <v>1.2277840618022786E-2</v>
      </c>
      <c r="N307" s="191">
        <f t="shared" si="193"/>
        <v>2.3119637506543618E-3</v>
      </c>
      <c r="O307" s="191">
        <f t="shared" si="193"/>
        <v>2.0280271985925647E-3</v>
      </c>
      <c r="P307" s="191">
        <f t="shared" si="193"/>
        <v>3.6711651666319449E-2</v>
      </c>
      <c r="Q307" s="191">
        <f t="shared" si="193"/>
        <v>5.4489702129398472E-2</v>
      </c>
      <c r="R307" s="191">
        <f t="shared" si="193"/>
        <v>1.7031680191993182E-2</v>
      </c>
      <c r="S307" s="191">
        <f t="shared" si="193"/>
        <v>9.3587546359586663E-3</v>
      </c>
      <c r="T307" s="191">
        <f t="shared" si="193"/>
        <v>1.8023684251448888E-2</v>
      </c>
      <c r="U307" s="191">
        <f t="shared" si="193"/>
        <v>9.9787888473975919E-3</v>
      </c>
      <c r="V307" s="191">
        <f t="shared" si="193"/>
        <v>8.7093152659623238E-3</v>
      </c>
      <c r="W307" s="191">
        <f t="shared" si="193"/>
        <v>1.0974141456833014E-2</v>
      </c>
      <c r="X307" s="191">
        <f t="shared" si="193"/>
        <v>7.7244439984711592E-3</v>
      </c>
      <c r="Y307" s="191">
        <f t="shared" si="193"/>
        <v>5.9652621306987104E-3</v>
      </c>
      <c r="Z307" s="191">
        <f t="shared" si="193"/>
        <v>1.4918211631178693E-2</v>
      </c>
      <c r="AA307" s="191">
        <f t="shared" si="193"/>
        <v>3.9996265904663819E-2</v>
      </c>
      <c r="AB307" s="191">
        <f t="shared" si="193"/>
        <v>1.8300920223030672E-2</v>
      </c>
      <c r="AC307" s="191">
        <f t="shared" si="193"/>
        <v>8.7090523882138119E-3</v>
      </c>
      <c r="AD307" s="191">
        <f t="shared" si="193"/>
        <v>1.6229637387937285E-2</v>
      </c>
      <c r="AE307" s="191">
        <f t="shared" si="193"/>
        <v>1.7942994197217527E-2</v>
      </c>
      <c r="AF307" s="147"/>
      <c r="AG307" s="147"/>
      <c r="AH307" s="147"/>
      <c r="AI307" s="147"/>
      <c r="AJ307" s="147"/>
      <c r="AK307" s="147"/>
      <c r="AL307" s="147"/>
      <c r="AM307" s="147"/>
      <c r="AN307" s="189"/>
      <c r="AO307" s="147"/>
      <c r="AP307" s="147"/>
      <c r="AQ307" s="147"/>
      <c r="AR307" s="147"/>
      <c r="AS307" s="147"/>
      <c r="AT307" s="147"/>
      <c r="AU307" s="147"/>
      <c r="AV307" s="147"/>
      <c r="AW307" s="147"/>
      <c r="AX307" s="147"/>
      <c r="AY307" s="147"/>
      <c r="AZ307" s="147"/>
      <c r="BA307" s="147"/>
      <c r="BB307" s="147"/>
      <c r="BC307" s="147"/>
      <c r="BD307" s="147"/>
      <c r="BE307" s="147"/>
      <c r="BF307" s="147"/>
      <c r="BG307" s="147"/>
    </row>
    <row r="308" spans="1:59" ht="15.75" customHeight="1" x14ac:dyDescent="0.2">
      <c r="A308" s="189"/>
      <c r="B308" s="189"/>
      <c r="C308" s="190" t="s">
        <v>220</v>
      </c>
      <c r="D308" s="191">
        <f t="shared" ref="D308:AE308" si="194">D298/D$299</f>
        <v>2.6777756616071111E-2</v>
      </c>
      <c r="E308" s="191">
        <f t="shared" si="194"/>
        <v>2.4027663604076481E-2</v>
      </c>
      <c r="F308" s="191">
        <f t="shared" si="194"/>
        <v>3.0874969589753685E-2</v>
      </c>
      <c r="G308" s="191">
        <f t="shared" si="194"/>
        <v>1.334517004241953E-2</v>
      </c>
      <c r="H308" s="191">
        <f t="shared" si="194"/>
        <v>2.1963182177486093E-2</v>
      </c>
      <c r="I308" s="191">
        <f t="shared" si="194"/>
        <v>5.6479692066356973E-3</v>
      </c>
      <c r="J308" s="191">
        <f t="shared" si="194"/>
        <v>5.803173324773479E-3</v>
      </c>
      <c r="K308" s="191">
        <f t="shared" si="194"/>
        <v>1.0651295023310184E-2</v>
      </c>
      <c r="L308" s="191">
        <f t="shared" si="194"/>
        <v>2.6830387466265166E-2</v>
      </c>
      <c r="M308" s="191">
        <f t="shared" si="194"/>
        <v>1.1702692732686249E-2</v>
      </c>
      <c r="N308" s="191">
        <f t="shared" si="194"/>
        <v>4.0533135162378359E-2</v>
      </c>
      <c r="O308" s="191">
        <f t="shared" si="194"/>
        <v>6.1226196954897805E-3</v>
      </c>
      <c r="P308" s="191">
        <f t="shared" si="194"/>
        <v>2.0056120625153721E-2</v>
      </c>
      <c r="Q308" s="191">
        <f t="shared" si="194"/>
        <v>8.1381588124238846E-3</v>
      </c>
      <c r="R308" s="191">
        <f t="shared" si="194"/>
        <v>1.5713160205648318E-2</v>
      </c>
      <c r="S308" s="191">
        <f t="shared" si="194"/>
        <v>3.0181284064261971E-3</v>
      </c>
      <c r="T308" s="191">
        <f t="shared" si="194"/>
        <v>3.678302908458957E-3</v>
      </c>
      <c r="U308" s="191">
        <f t="shared" si="194"/>
        <v>1.8637051660862824E-2</v>
      </c>
      <c r="V308" s="191">
        <f t="shared" si="194"/>
        <v>8.6618217179190195E-4</v>
      </c>
      <c r="W308" s="191">
        <f t="shared" si="194"/>
        <v>5.8805018176509762E-3</v>
      </c>
      <c r="X308" s="191">
        <f t="shared" si="194"/>
        <v>1.0788001854545857E-3</v>
      </c>
      <c r="Y308" s="191">
        <f t="shared" si="194"/>
        <v>7.0755842109711461E-3</v>
      </c>
      <c r="Z308" s="191">
        <f t="shared" si="194"/>
        <v>1.3724170930844262E-2</v>
      </c>
      <c r="AA308" s="191">
        <f t="shared" si="194"/>
        <v>5.0194297707786949E-3</v>
      </c>
      <c r="AB308" s="191">
        <f t="shared" si="194"/>
        <v>7.2312633405988676E-3</v>
      </c>
      <c r="AC308" s="191">
        <f t="shared" si="194"/>
        <v>3.825713066594467E-3</v>
      </c>
      <c r="AD308" s="191">
        <f t="shared" si="194"/>
        <v>1.3730840881458128E-3</v>
      </c>
      <c r="AE308" s="191">
        <f t="shared" si="194"/>
        <v>9.2021892208451312E-4</v>
      </c>
      <c r="AF308" s="147"/>
      <c r="AG308" s="147"/>
      <c r="AH308" s="147"/>
      <c r="AI308" s="147"/>
      <c r="AJ308" s="147"/>
      <c r="AK308" s="147"/>
      <c r="AL308" s="147"/>
      <c r="AM308" s="147"/>
      <c r="AN308" s="84"/>
      <c r="AO308" s="147"/>
      <c r="AP308" s="147"/>
      <c r="AQ308" s="147"/>
      <c r="AR308" s="147"/>
      <c r="AS308" s="147"/>
      <c r="AT308" s="147"/>
      <c r="AU308" s="147"/>
      <c r="AV308" s="147"/>
      <c r="AW308" s="147"/>
      <c r="AX308" s="147"/>
      <c r="AY308" s="147"/>
      <c r="AZ308" s="147"/>
      <c r="BA308" s="147"/>
      <c r="BB308" s="147"/>
      <c r="BC308" s="147"/>
      <c r="BD308" s="147"/>
      <c r="BE308" s="147"/>
      <c r="BF308" s="147"/>
      <c r="BG308" s="147"/>
    </row>
    <row r="309" spans="1:59" ht="15.75" customHeight="1" x14ac:dyDescent="0.2">
      <c r="A309" s="234"/>
      <c r="B309" s="234"/>
      <c r="C309" s="235"/>
      <c r="D309" s="236"/>
      <c r="E309" s="236"/>
      <c r="F309" s="236"/>
      <c r="G309" s="236"/>
      <c r="H309" s="236"/>
      <c r="I309" s="236"/>
      <c r="J309" s="236"/>
      <c r="K309" s="236"/>
      <c r="L309" s="236"/>
      <c r="M309" s="236"/>
      <c r="N309" s="236"/>
      <c r="O309" s="236"/>
      <c r="P309" s="236"/>
      <c r="Q309" s="236"/>
      <c r="R309" s="237"/>
      <c r="S309" s="236"/>
      <c r="T309" s="236"/>
      <c r="U309" s="236"/>
      <c r="V309" s="236"/>
      <c r="W309" s="238"/>
      <c r="X309" s="236"/>
      <c r="Y309" s="236"/>
      <c r="Z309" s="236"/>
      <c r="AA309" s="236"/>
      <c r="AB309" s="238"/>
      <c r="AC309" s="236"/>
      <c r="AD309" s="236"/>
      <c r="AE309" s="236"/>
      <c r="AF309" s="147"/>
      <c r="AG309" s="147"/>
      <c r="AH309" s="147"/>
      <c r="AI309" s="147"/>
      <c r="AJ309" s="147"/>
      <c r="AK309" s="147"/>
      <c r="AL309" s="147"/>
      <c r="AM309" s="147"/>
      <c r="AN309" s="189"/>
      <c r="AO309" s="147"/>
      <c r="AP309" s="147"/>
      <c r="AQ309" s="147"/>
      <c r="AR309" s="147"/>
      <c r="AS309" s="147"/>
      <c r="AT309" s="147"/>
      <c r="AU309" s="147"/>
      <c r="AV309" s="147"/>
      <c r="AW309" s="147"/>
      <c r="AX309" s="147"/>
      <c r="AY309" s="147"/>
      <c r="AZ309" s="147"/>
      <c r="BA309" s="147"/>
      <c r="BB309" s="147"/>
      <c r="BC309" s="147"/>
      <c r="BD309" s="147"/>
      <c r="BE309" s="147"/>
      <c r="BF309" s="147"/>
      <c r="BG309" s="147"/>
    </row>
    <row r="310" spans="1:59" ht="15.75" customHeight="1" x14ac:dyDescent="0.2">
      <c r="A310" s="210"/>
      <c r="B310" s="211" t="s">
        <v>252</v>
      </c>
      <c r="C310" s="211"/>
      <c r="D310" s="158" t="s">
        <v>98</v>
      </c>
      <c r="E310" s="158" t="s">
        <v>99</v>
      </c>
      <c r="F310" s="158" t="s">
        <v>100</v>
      </c>
      <c r="G310" s="158" t="s">
        <v>101</v>
      </c>
      <c r="H310" s="159">
        <v>2018</v>
      </c>
      <c r="I310" s="158" t="s">
        <v>102</v>
      </c>
      <c r="J310" s="158" t="s">
        <v>103</v>
      </c>
      <c r="K310" s="158" t="s">
        <v>104</v>
      </c>
      <c r="L310" s="158" t="s">
        <v>105</v>
      </c>
      <c r="M310" s="159">
        <v>2019</v>
      </c>
      <c r="N310" s="158" t="s">
        <v>158</v>
      </c>
      <c r="O310" s="158" t="s">
        <v>107</v>
      </c>
      <c r="P310" s="158" t="s">
        <v>108</v>
      </c>
      <c r="Q310" s="158" t="s">
        <v>109</v>
      </c>
      <c r="R310" s="159">
        <v>2020</v>
      </c>
      <c r="S310" s="158" t="s">
        <v>110</v>
      </c>
      <c r="T310" s="158" t="s">
        <v>111</v>
      </c>
      <c r="U310" s="158" t="s">
        <v>112</v>
      </c>
      <c r="V310" s="158" t="s">
        <v>113</v>
      </c>
      <c r="W310" s="159">
        <v>2021</v>
      </c>
      <c r="X310" s="158" t="s">
        <v>114</v>
      </c>
      <c r="Y310" s="158" t="s">
        <v>115</v>
      </c>
      <c r="Z310" s="158" t="str">
        <f>$Z$4</f>
        <v>3Q22</v>
      </c>
      <c r="AA310" s="158" t="str">
        <f>$AA$4</f>
        <v>4Q22</v>
      </c>
      <c r="AB310" s="160">
        <v>2022</v>
      </c>
      <c r="AC310" s="158" t="str">
        <f>$AC$4</f>
        <v>1Q23</v>
      </c>
      <c r="AD310" s="158" t="str">
        <f t="shared" ref="AD310:AE310" si="195">AD$4</f>
        <v>2Q23</v>
      </c>
      <c r="AE310" s="158" t="str">
        <f t="shared" si="195"/>
        <v>3Q23</v>
      </c>
      <c r="AF310" s="147"/>
      <c r="AG310" s="147"/>
      <c r="AH310" s="147"/>
      <c r="AI310" s="147"/>
      <c r="AJ310" s="147"/>
      <c r="AK310" s="147"/>
      <c r="AL310" s="147"/>
      <c r="AM310" s="147"/>
      <c r="AN310" s="189"/>
      <c r="AO310" s="147"/>
      <c r="AP310" s="147"/>
      <c r="AQ310" s="147"/>
      <c r="AR310" s="147"/>
      <c r="AS310" s="147"/>
      <c r="AT310" s="147"/>
      <c r="AU310" s="147"/>
      <c r="AV310" s="147"/>
      <c r="AW310" s="147"/>
      <c r="AX310" s="147"/>
      <c r="AY310" s="147"/>
      <c r="AZ310" s="147"/>
      <c r="BA310" s="147"/>
      <c r="BB310" s="147"/>
      <c r="BC310" s="147"/>
      <c r="BD310" s="147"/>
      <c r="BE310" s="147"/>
      <c r="BF310" s="147"/>
      <c r="BG310" s="147"/>
    </row>
    <row r="311" spans="1:59" ht="15.75" customHeight="1" x14ac:dyDescent="0.2">
      <c r="A311" s="195"/>
      <c r="B311" s="195"/>
      <c r="C311" s="196" t="s">
        <v>214</v>
      </c>
      <c r="D311" s="191" t="s">
        <v>146</v>
      </c>
      <c r="E311" s="191" t="s">
        <v>146</v>
      </c>
      <c r="F311" s="191" t="s">
        <v>146</v>
      </c>
      <c r="G311" s="191" t="s">
        <v>146</v>
      </c>
      <c r="H311" s="191" t="s">
        <v>146</v>
      </c>
      <c r="I311" s="191">
        <f t="shared" ref="I311:AE311" si="196">IFERROR(I292/D292-1,"n.a.")</f>
        <v>5.9594558741980972</v>
      </c>
      <c r="J311" s="191">
        <f t="shared" si="196"/>
        <v>4.1677272556388498</v>
      </c>
      <c r="K311" s="191">
        <f t="shared" si="196"/>
        <v>7.9485546291108733</v>
      </c>
      <c r="L311" s="191">
        <f t="shared" si="196"/>
        <v>0.19854535479180324</v>
      </c>
      <c r="M311" s="191">
        <f t="shared" si="196"/>
        <v>2.2192804670129314</v>
      </c>
      <c r="N311" s="191">
        <f t="shared" si="196"/>
        <v>-1.4358000574463237E-2</v>
      </c>
      <c r="O311" s="191">
        <f t="shared" si="196"/>
        <v>1.3226104200700211</v>
      </c>
      <c r="P311" s="191">
        <f t="shared" si="196"/>
        <v>-0.70921885200146073</v>
      </c>
      <c r="Q311" s="191">
        <f t="shared" si="196"/>
        <v>-0.44527652817860142</v>
      </c>
      <c r="R311" s="191">
        <f t="shared" si="196"/>
        <v>-1.2350047918726625E-2</v>
      </c>
      <c r="S311" s="191">
        <f t="shared" si="196"/>
        <v>-0.73913834038128257</v>
      </c>
      <c r="T311" s="191">
        <f t="shared" si="196"/>
        <v>-0.93278380012117323</v>
      </c>
      <c r="U311" s="191">
        <f t="shared" si="196"/>
        <v>-0.40553196904887212</v>
      </c>
      <c r="V311" s="191">
        <f t="shared" si="196"/>
        <v>-0.40847130605865622</v>
      </c>
      <c r="W311" s="191">
        <f t="shared" si="196"/>
        <v>-0.77110129387882376</v>
      </c>
      <c r="X311" s="191">
        <f t="shared" si="196"/>
        <v>-0.38933169445770954</v>
      </c>
      <c r="Y311" s="191">
        <f t="shared" si="196"/>
        <v>7.3347938738753005E-2</v>
      </c>
      <c r="Z311" s="191">
        <f t="shared" si="196"/>
        <v>1.2826761734452576</v>
      </c>
      <c r="AA311" s="191">
        <f t="shared" si="196"/>
        <v>0.28023904100885133</v>
      </c>
      <c r="AB311" s="191">
        <f t="shared" si="196"/>
        <v>0.2909141747896038</v>
      </c>
      <c r="AC311" s="191">
        <f t="shared" si="196"/>
        <v>2.0492877982039222</v>
      </c>
      <c r="AD311" s="191">
        <f t="shared" si="196"/>
        <v>2.1184930131208</v>
      </c>
      <c r="AE311" s="191">
        <f t="shared" si="196"/>
        <v>-0.24499037562774229</v>
      </c>
      <c r="AF311" s="195"/>
      <c r="AG311" s="195"/>
      <c r="AH311" s="195"/>
      <c r="AI311" s="195"/>
      <c r="AJ311" s="195"/>
      <c r="AK311" s="195"/>
      <c r="AL311" s="195"/>
      <c r="AM311" s="195"/>
      <c r="AN311" s="189"/>
      <c r="AO311" s="195"/>
      <c r="AP311" s="195"/>
      <c r="AQ311" s="195"/>
      <c r="AR311" s="195"/>
      <c r="AS311" s="195"/>
      <c r="AT311" s="195"/>
      <c r="AU311" s="195"/>
      <c r="AV311" s="195"/>
      <c r="AW311" s="195"/>
      <c r="AX311" s="195"/>
      <c r="AY311" s="195"/>
      <c r="AZ311" s="195"/>
      <c r="BA311" s="195"/>
      <c r="BB311" s="195"/>
      <c r="BC311" s="195"/>
      <c r="BD311" s="195"/>
      <c r="BE311" s="195"/>
      <c r="BF311" s="195"/>
      <c r="BG311" s="195"/>
    </row>
    <row r="312" spans="1:59" ht="15.75" customHeight="1" x14ac:dyDescent="0.2">
      <c r="A312" s="189"/>
      <c r="B312" s="189"/>
      <c r="C312" s="190" t="s">
        <v>215</v>
      </c>
      <c r="D312" s="191" t="s">
        <v>146</v>
      </c>
      <c r="E312" s="191" t="s">
        <v>146</v>
      </c>
      <c r="F312" s="191" t="s">
        <v>146</v>
      </c>
      <c r="G312" s="191" t="s">
        <v>146</v>
      </c>
      <c r="H312" s="191" t="s">
        <v>146</v>
      </c>
      <c r="I312" s="191">
        <f t="shared" ref="I312:AE312" si="197">IFERROR(I293/D293-1,"n.a.")</f>
        <v>2.923485025383163</v>
      </c>
      <c r="J312" s="191">
        <f t="shared" si="197"/>
        <v>-0.16367264896956357</v>
      </c>
      <c r="K312" s="191">
        <f t="shared" si="197"/>
        <v>-0.58530789889634227</v>
      </c>
      <c r="L312" s="191">
        <f t="shared" si="197"/>
        <v>-0.80322670471028368</v>
      </c>
      <c r="M312" s="191">
        <f t="shared" si="197"/>
        <v>-0.5130493880959941</v>
      </c>
      <c r="N312" s="191">
        <f t="shared" si="197"/>
        <v>-0.66594380412540066</v>
      </c>
      <c r="O312" s="191">
        <f t="shared" si="197"/>
        <v>-0.6223679796224304</v>
      </c>
      <c r="P312" s="191">
        <f t="shared" si="197"/>
        <v>-0.8862026062699444</v>
      </c>
      <c r="Q312" s="191">
        <f t="shared" si="197"/>
        <v>8.4458276639709284E-2</v>
      </c>
      <c r="R312" s="191">
        <f t="shared" si="197"/>
        <v>-0.67028940699552542</v>
      </c>
      <c r="S312" s="191">
        <f t="shared" si="197"/>
        <v>3.5421809987850716</v>
      </c>
      <c r="T312" s="191">
        <f t="shared" si="197"/>
        <v>5.7933402428616638</v>
      </c>
      <c r="U312" s="191">
        <f t="shared" si="197"/>
        <v>23.376672879126559</v>
      </c>
      <c r="V312" s="191">
        <f t="shared" si="197"/>
        <v>9.6095044780319139</v>
      </c>
      <c r="W312" s="191">
        <f t="shared" si="197"/>
        <v>9.7235924604619193</v>
      </c>
      <c r="X312" s="191">
        <f t="shared" si="197"/>
        <v>1.205825846153846</v>
      </c>
      <c r="Y312" s="191">
        <f t="shared" si="197"/>
        <v>1.091819719824132</v>
      </c>
      <c r="Z312" s="191">
        <f t="shared" si="197"/>
        <v>-0.48181358900059035</v>
      </c>
      <c r="AA312" s="191">
        <f t="shared" si="197"/>
        <v>-0.79925952481743978</v>
      </c>
      <c r="AB312" s="191">
        <f t="shared" si="197"/>
        <v>-0.22262259772617443</v>
      </c>
      <c r="AC312" s="191">
        <f t="shared" si="197"/>
        <v>-0.38565568116542859</v>
      </c>
      <c r="AD312" s="191">
        <f t="shared" si="197"/>
        <v>-0.88075409893144829</v>
      </c>
      <c r="AE312" s="191">
        <f t="shared" si="197"/>
        <v>-0.63829887476802094</v>
      </c>
      <c r="AF312" s="147"/>
      <c r="AG312" s="147"/>
      <c r="AH312" s="147"/>
      <c r="AI312" s="147"/>
      <c r="AJ312" s="147"/>
      <c r="AK312" s="147"/>
      <c r="AL312" s="147"/>
      <c r="AM312" s="147"/>
      <c r="AN312" s="189"/>
      <c r="AO312" s="147"/>
      <c r="AP312" s="147"/>
      <c r="AQ312" s="147"/>
      <c r="AR312" s="147"/>
      <c r="AS312" s="147"/>
      <c r="AT312" s="147"/>
      <c r="AU312" s="147"/>
      <c r="AV312" s="147"/>
      <c r="AW312" s="147"/>
      <c r="AX312" s="147"/>
      <c r="AY312" s="147"/>
      <c r="AZ312" s="147"/>
      <c r="BA312" s="147"/>
      <c r="BB312" s="147"/>
      <c r="BC312" s="147"/>
      <c r="BD312" s="147"/>
      <c r="BE312" s="147"/>
      <c r="BF312" s="147"/>
      <c r="BG312" s="147"/>
    </row>
    <row r="313" spans="1:59" ht="15.75" customHeight="1" x14ac:dyDescent="0.2">
      <c r="A313" s="189"/>
      <c r="B313" s="189"/>
      <c r="C313" s="190" t="s">
        <v>216</v>
      </c>
      <c r="D313" s="191" t="s">
        <v>146</v>
      </c>
      <c r="E313" s="191" t="s">
        <v>146</v>
      </c>
      <c r="F313" s="191" t="s">
        <v>146</v>
      </c>
      <c r="G313" s="191" t="s">
        <v>146</v>
      </c>
      <c r="H313" s="191" t="s">
        <v>146</v>
      </c>
      <c r="I313" s="191">
        <f t="shared" ref="I313:AE313" si="198">IFERROR(I294/D294-1,"n.a.")</f>
        <v>-0.66161565475472228</v>
      </c>
      <c r="J313" s="191">
        <f t="shared" si="198"/>
        <v>-0.61060268452557609</v>
      </c>
      <c r="K313" s="191">
        <f t="shared" si="198"/>
        <v>-0.73300548660478548</v>
      </c>
      <c r="L313" s="191">
        <f t="shared" si="198"/>
        <v>-0.71138242979767452</v>
      </c>
      <c r="M313" s="191">
        <f t="shared" si="198"/>
        <v>-0.69192293108561376</v>
      </c>
      <c r="N313" s="191">
        <f t="shared" si="198"/>
        <v>-1</v>
      </c>
      <c r="O313" s="191">
        <f t="shared" si="198"/>
        <v>-1</v>
      </c>
      <c r="P313" s="191">
        <f t="shared" si="198"/>
        <v>-1</v>
      </c>
      <c r="Q313" s="191">
        <f t="shared" si="198"/>
        <v>-1</v>
      </c>
      <c r="R313" s="191">
        <f t="shared" si="198"/>
        <v>-1</v>
      </c>
      <c r="S313" s="191" t="str">
        <f t="shared" si="198"/>
        <v>n.a.</v>
      </c>
      <c r="T313" s="191" t="str">
        <f t="shared" si="198"/>
        <v>n.a.</v>
      </c>
      <c r="U313" s="191" t="str">
        <f t="shared" si="198"/>
        <v>n.a.</v>
      </c>
      <c r="V313" s="191" t="str">
        <f t="shared" si="198"/>
        <v>n.a.</v>
      </c>
      <c r="W313" s="191" t="str">
        <f t="shared" si="198"/>
        <v>n.a.</v>
      </c>
      <c r="X313" s="191">
        <f t="shared" si="198"/>
        <v>76.689244285714281</v>
      </c>
      <c r="Y313" s="191">
        <f t="shared" si="198"/>
        <v>1.949959823529412</v>
      </c>
      <c r="Z313" s="191">
        <f t="shared" si="198"/>
        <v>-0.63642175644705445</v>
      </c>
      <c r="AA313" s="191">
        <f t="shared" si="198"/>
        <v>9.9226436333333332</v>
      </c>
      <c r="AB313" s="191">
        <f t="shared" si="198"/>
        <v>3.1861322514205845</v>
      </c>
      <c r="AC313" s="191">
        <f t="shared" si="198"/>
        <v>-0.58338739333856304</v>
      </c>
      <c r="AD313" s="191">
        <f t="shared" si="198"/>
        <v>0.40735426167419186</v>
      </c>
      <c r="AE313" s="191">
        <f t="shared" si="198"/>
        <v>3.8909456237358473</v>
      </c>
      <c r="AF313" s="147"/>
      <c r="AG313" s="147"/>
      <c r="AH313" s="147"/>
      <c r="AI313" s="147"/>
      <c r="AJ313" s="147"/>
      <c r="AK313" s="147"/>
      <c r="AL313" s="147"/>
      <c r="AM313" s="147"/>
      <c r="AN313" s="189"/>
      <c r="AO313" s="147"/>
      <c r="AP313" s="147"/>
      <c r="AQ313" s="147"/>
      <c r="AR313" s="147"/>
      <c r="AS313" s="147"/>
      <c r="AT313" s="147"/>
      <c r="AU313" s="147"/>
      <c r="AV313" s="147"/>
      <c r="AW313" s="147"/>
      <c r="AX313" s="147"/>
      <c r="AY313" s="147"/>
      <c r="AZ313" s="147"/>
      <c r="BA313" s="147"/>
      <c r="BB313" s="147"/>
      <c r="BC313" s="147"/>
      <c r="BD313" s="147"/>
      <c r="BE313" s="147"/>
      <c r="BF313" s="147"/>
      <c r="BG313" s="147"/>
    </row>
    <row r="314" spans="1:59" ht="15.75" customHeight="1" x14ac:dyDescent="0.2">
      <c r="A314" s="189"/>
      <c r="B314" s="189"/>
      <c r="C314" s="190" t="s">
        <v>217</v>
      </c>
      <c r="D314" s="191" t="s">
        <v>146</v>
      </c>
      <c r="E314" s="191" t="s">
        <v>146</v>
      </c>
      <c r="F314" s="191" t="s">
        <v>146</v>
      </c>
      <c r="G314" s="191" t="s">
        <v>146</v>
      </c>
      <c r="H314" s="191" t="s">
        <v>146</v>
      </c>
      <c r="I314" s="191">
        <f t="shared" ref="I314:AE314" si="199">IFERROR(I295/D295-1,"n.a.")</f>
        <v>-0.29246242082882046</v>
      </c>
      <c r="J314" s="191">
        <f t="shared" si="199"/>
        <v>0.48870272352063249</v>
      </c>
      <c r="K314" s="191">
        <f t="shared" si="199"/>
        <v>-0.52758846551053107</v>
      </c>
      <c r="L314" s="191">
        <f t="shared" si="199"/>
        <v>-0.58421789030854265</v>
      </c>
      <c r="M314" s="191">
        <f t="shared" si="199"/>
        <v>-0.29697251841926042</v>
      </c>
      <c r="N314" s="191">
        <f t="shared" si="199"/>
        <v>-0.6323422733391062</v>
      </c>
      <c r="O314" s="191">
        <f t="shared" si="199"/>
        <v>-0.62151812446657484</v>
      </c>
      <c r="P314" s="191">
        <f t="shared" si="199"/>
        <v>-0.35933998865191141</v>
      </c>
      <c r="Q314" s="191">
        <f t="shared" si="199"/>
        <v>1.2681286549276058</v>
      </c>
      <c r="R314" s="191">
        <f t="shared" si="199"/>
        <v>-0.2891912220311027</v>
      </c>
      <c r="S314" s="191">
        <f t="shared" si="199"/>
        <v>0.97260096170280641</v>
      </c>
      <c r="T314" s="191">
        <f t="shared" si="199"/>
        <v>2.3479439343877702</v>
      </c>
      <c r="U314" s="191">
        <f t="shared" si="199"/>
        <v>2.9887234492544148</v>
      </c>
      <c r="V314" s="191">
        <f t="shared" si="199"/>
        <v>1.8412923456484744</v>
      </c>
      <c r="W314" s="191">
        <f t="shared" si="199"/>
        <v>1.9931224753056052</v>
      </c>
      <c r="X314" s="191">
        <f t="shared" si="199"/>
        <v>1.9944475335025382</v>
      </c>
      <c r="Y314" s="191">
        <f t="shared" si="199"/>
        <v>0.29459731127098321</v>
      </c>
      <c r="Z314" s="191">
        <f t="shared" si="199"/>
        <v>0.57328124101897182</v>
      </c>
      <c r="AA314" s="191">
        <f t="shared" si="199"/>
        <v>-0.35174190575987452</v>
      </c>
      <c r="AB314" s="191">
        <f t="shared" si="199"/>
        <v>0.23185041942471685</v>
      </c>
      <c r="AC314" s="191">
        <f t="shared" si="199"/>
        <v>-7.8977183042458154E-2</v>
      </c>
      <c r="AD314" s="191">
        <f t="shared" si="199"/>
        <v>-0.1679203875415487</v>
      </c>
      <c r="AE314" s="191">
        <f t="shared" si="199"/>
        <v>0.11384644338459626</v>
      </c>
      <c r="AF314" s="147"/>
      <c r="AG314" s="147"/>
      <c r="AH314" s="147"/>
      <c r="AI314" s="147"/>
      <c r="AJ314" s="147"/>
      <c r="AK314" s="147"/>
      <c r="AL314" s="147"/>
      <c r="AM314" s="147"/>
      <c r="AN314" s="195"/>
      <c r="AO314" s="147"/>
      <c r="AP314" s="147"/>
      <c r="AQ314" s="147"/>
      <c r="AR314" s="147"/>
      <c r="AS314" s="147"/>
      <c r="AT314" s="147"/>
      <c r="AU314" s="147"/>
      <c r="AV314" s="147"/>
      <c r="AW314" s="147"/>
      <c r="AX314" s="147"/>
      <c r="AY314" s="147"/>
      <c r="AZ314" s="147"/>
      <c r="BA314" s="147"/>
      <c r="BB314" s="147"/>
      <c r="BC314" s="147"/>
      <c r="BD314" s="147"/>
      <c r="BE314" s="147"/>
      <c r="BF314" s="147"/>
      <c r="BG314" s="147"/>
    </row>
    <row r="315" spans="1:59" ht="15.75" customHeight="1" x14ac:dyDescent="0.2">
      <c r="A315" s="189"/>
      <c r="B315" s="189"/>
      <c r="C315" s="190" t="s">
        <v>218</v>
      </c>
      <c r="D315" s="191" t="s">
        <v>146</v>
      </c>
      <c r="E315" s="191" t="s">
        <v>146</v>
      </c>
      <c r="F315" s="191" t="s">
        <v>146</v>
      </c>
      <c r="G315" s="191" t="s">
        <v>146</v>
      </c>
      <c r="H315" s="191" t="s">
        <v>146</v>
      </c>
      <c r="I315" s="191">
        <f t="shared" ref="I315:AE315" si="200">IFERROR(I296/D296-1,"n.a.")</f>
        <v>-0.21941271282456787</v>
      </c>
      <c r="J315" s="191">
        <f t="shared" si="200"/>
        <v>-1</v>
      </c>
      <c r="K315" s="191">
        <f t="shared" si="200"/>
        <v>11.697686051845697</v>
      </c>
      <c r="L315" s="191">
        <f t="shared" si="200"/>
        <v>2.7043093902381501</v>
      </c>
      <c r="M315" s="191">
        <f t="shared" si="200"/>
        <v>1.7999817478502629</v>
      </c>
      <c r="N315" s="191">
        <f t="shared" si="200"/>
        <v>5.9616125545163881</v>
      </c>
      <c r="O315" s="191" t="str">
        <f t="shared" si="200"/>
        <v>n.a.</v>
      </c>
      <c r="P315" s="191">
        <f t="shared" si="200"/>
        <v>-0.60414734460600417</v>
      </c>
      <c r="Q315" s="191">
        <f t="shared" si="200"/>
        <v>0.2633750457721713</v>
      </c>
      <c r="R315" s="191">
        <f t="shared" si="200"/>
        <v>0.40375536093066544</v>
      </c>
      <c r="S315" s="191">
        <f t="shared" si="200"/>
        <v>-0.8</v>
      </c>
      <c r="T315" s="191">
        <f t="shared" si="200"/>
        <v>-0.46315457275348393</v>
      </c>
      <c r="U315" s="191">
        <f t="shared" si="200"/>
        <v>0.30748274108899443</v>
      </c>
      <c r="V315" s="191">
        <f t="shared" si="200"/>
        <v>-0.50510550683975153</v>
      </c>
      <c r="W315" s="191">
        <f t="shared" si="200"/>
        <v>-0.48311341463888124</v>
      </c>
      <c r="X315" s="191">
        <f t="shared" si="200"/>
        <v>-0.4481849</v>
      </c>
      <c r="Y315" s="191">
        <f t="shared" si="200"/>
        <v>3.1411451428571429</v>
      </c>
      <c r="Z315" s="191">
        <f t="shared" si="200"/>
        <v>0.32427277341426075</v>
      </c>
      <c r="AA315" s="191">
        <f t="shared" si="200"/>
        <v>1.6181781374958639</v>
      </c>
      <c r="AB315" s="191">
        <f t="shared" si="200"/>
        <v>0.7516572376151458</v>
      </c>
      <c r="AC315" s="191">
        <f t="shared" si="200"/>
        <v>1.6444051639761215</v>
      </c>
      <c r="AD315" s="191">
        <f t="shared" si="200"/>
        <v>-0.41708524937684588</v>
      </c>
      <c r="AE315" s="191">
        <f t="shared" si="200"/>
        <v>-0.83706800421628047</v>
      </c>
      <c r="AF315" s="147"/>
      <c r="AG315" s="147"/>
      <c r="AH315" s="147"/>
      <c r="AI315" s="147"/>
      <c r="AJ315" s="147"/>
      <c r="AK315" s="147"/>
      <c r="AL315" s="147"/>
      <c r="AM315" s="147"/>
      <c r="AN315" s="189"/>
      <c r="AO315" s="147"/>
      <c r="AP315" s="147"/>
      <c r="AQ315" s="147"/>
      <c r="AR315" s="147"/>
      <c r="AS315" s="147"/>
      <c r="AT315" s="147"/>
      <c r="AU315" s="147"/>
      <c r="AV315" s="147"/>
      <c r="AW315" s="147"/>
      <c r="AX315" s="147"/>
      <c r="AY315" s="147"/>
      <c r="AZ315" s="147"/>
      <c r="BA315" s="147"/>
      <c r="BB315" s="147"/>
      <c r="BC315" s="147"/>
      <c r="BD315" s="147"/>
      <c r="BE315" s="147"/>
      <c r="BF315" s="147"/>
      <c r="BG315" s="147"/>
    </row>
    <row r="316" spans="1:59" ht="15.75" customHeight="1" x14ac:dyDescent="0.2">
      <c r="A316" s="189"/>
      <c r="B316" s="189"/>
      <c r="C316" s="190" t="s">
        <v>219</v>
      </c>
      <c r="D316" s="191" t="s">
        <v>146</v>
      </c>
      <c r="E316" s="191" t="s">
        <v>146</v>
      </c>
      <c r="F316" s="191" t="s">
        <v>146</v>
      </c>
      <c r="G316" s="191" t="s">
        <v>146</v>
      </c>
      <c r="H316" s="191" t="s">
        <v>146</v>
      </c>
      <c r="I316" s="191">
        <f t="shared" ref="I316:AE316" si="201">IFERROR(I297/D297-1,"n.a.")</f>
        <v>8.5510934167993344</v>
      </c>
      <c r="J316" s="191">
        <f t="shared" si="201"/>
        <v>0.66190017679136037</v>
      </c>
      <c r="K316" s="191">
        <f t="shared" si="201"/>
        <v>1.1275673723859638</v>
      </c>
      <c r="L316" s="191">
        <f t="shared" si="201"/>
        <v>0.80649202683460386</v>
      </c>
      <c r="M316" s="191">
        <f t="shared" si="201"/>
        <v>1.2717741426954796</v>
      </c>
      <c r="N316" s="191">
        <f t="shared" si="201"/>
        <v>-0.81622951111111108</v>
      </c>
      <c r="O316" s="191">
        <f t="shared" si="201"/>
        <v>-0.31853005881539964</v>
      </c>
      <c r="P316" s="191">
        <f t="shared" si="201"/>
        <v>-3.0402233364234088E-2</v>
      </c>
      <c r="Q316" s="191">
        <f t="shared" si="201"/>
        <v>1.1987447531453452</v>
      </c>
      <c r="R316" s="191">
        <f t="shared" si="201"/>
        <v>0.26191042000035192</v>
      </c>
      <c r="S316" s="191">
        <f t="shared" si="201"/>
        <v>1.0716746685962875</v>
      </c>
      <c r="T316" s="191">
        <f t="shared" si="201"/>
        <v>2.3068981693349166</v>
      </c>
      <c r="U316" s="191">
        <f t="shared" si="201"/>
        <v>-0.4950770740608782</v>
      </c>
      <c r="V316" s="191">
        <f t="shared" si="201"/>
        <v>-0.73190613758440981</v>
      </c>
      <c r="W316" s="191">
        <f t="shared" si="201"/>
        <v>-0.4581935321717282</v>
      </c>
      <c r="X316" s="191">
        <f t="shared" si="201"/>
        <v>0.62958291088000462</v>
      </c>
      <c r="Y316" s="191">
        <f t="shared" si="201"/>
        <v>-0.57272852040816324</v>
      </c>
      <c r="Z316" s="191">
        <f t="shared" si="201"/>
        <v>1.40099052932253</v>
      </c>
      <c r="AA316" s="191">
        <f t="shared" si="201"/>
        <v>2.6166946576893699</v>
      </c>
      <c r="AB316" s="191">
        <f t="shared" si="201"/>
        <v>1.0708182417848806</v>
      </c>
      <c r="AC316" s="191">
        <f t="shared" si="201"/>
        <v>0.33461879437942987</v>
      </c>
      <c r="AD316" s="191">
        <f t="shared" si="201"/>
        <v>2.0019220995159004</v>
      </c>
      <c r="AE316" s="191">
        <f t="shared" si="201"/>
        <v>0.18148700170781185</v>
      </c>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row>
    <row r="317" spans="1:59" ht="15.75" customHeight="1" x14ac:dyDescent="0.2">
      <c r="A317" s="189"/>
      <c r="B317" s="189"/>
      <c r="C317" s="190" t="s">
        <v>220</v>
      </c>
      <c r="D317" s="191" t="s">
        <v>146</v>
      </c>
      <c r="E317" s="191" t="s">
        <v>146</v>
      </c>
      <c r="F317" s="191" t="s">
        <v>146</v>
      </c>
      <c r="G317" s="191" t="s">
        <v>146</v>
      </c>
      <c r="H317" s="191" t="s">
        <v>146</v>
      </c>
      <c r="I317" s="191">
        <f t="shared" ref="I317:AE317" si="202">IFERROR(I298/D298-1,"n.a.")</f>
        <v>-0.62662622481066488</v>
      </c>
      <c r="J317" s="191">
        <f t="shared" si="202"/>
        <v>-0.38786258345863223</v>
      </c>
      <c r="K317" s="191">
        <f t="shared" si="202"/>
        <v>-0.37148658644899724</v>
      </c>
      <c r="L317" s="191">
        <f t="shared" si="202"/>
        <v>0.74005021666666693</v>
      </c>
      <c r="M317" s="191">
        <f t="shared" si="202"/>
        <v>-0.17598903353086848</v>
      </c>
      <c r="N317" s="191">
        <f t="shared" si="202"/>
        <v>4.7993250600000001</v>
      </c>
      <c r="O317" s="191">
        <f t="shared" si="202"/>
        <v>0.67630157430663895</v>
      </c>
      <c r="P317" s="191">
        <f t="shared" si="202"/>
        <v>-0.31999256999999981</v>
      </c>
      <c r="Q317" s="191">
        <f t="shared" si="202"/>
        <v>-0.73173958111726156</v>
      </c>
      <c r="R317" s="191">
        <f t="shared" si="202"/>
        <v>0.22143612465913476</v>
      </c>
      <c r="S317" s="191">
        <f t="shared" si="202"/>
        <v>-0.96189236200531236</v>
      </c>
      <c r="T317" s="191">
        <f t="shared" si="202"/>
        <v>-0.77645691883887302</v>
      </c>
      <c r="U317" s="191">
        <f t="shared" si="202"/>
        <v>0.72616162443989718</v>
      </c>
      <c r="V317" s="191">
        <f t="shared" si="202"/>
        <v>-0.82147445249428031</v>
      </c>
      <c r="W317" s="191">
        <f t="shared" si="202"/>
        <v>-0.6853107010407582</v>
      </c>
      <c r="X317" s="191">
        <f t="shared" si="202"/>
        <v>-0.2942829768408467</v>
      </c>
      <c r="Y317" s="191">
        <f t="shared" si="202"/>
        <v>1.4833203999999998</v>
      </c>
      <c r="Z317" s="191">
        <f t="shared" si="202"/>
        <v>0.18266140853156809</v>
      </c>
      <c r="AA317" s="191">
        <f t="shared" si="202"/>
        <v>3.5637468999999999</v>
      </c>
      <c r="AB317" s="191">
        <f t="shared" si="202"/>
        <v>0.52700126583187723</v>
      </c>
      <c r="AC317" s="191">
        <f t="shared" si="202"/>
        <v>3.197830939573536</v>
      </c>
      <c r="AD317" s="191">
        <f t="shared" si="202"/>
        <v>-0.785881119439924</v>
      </c>
      <c r="AE317" s="191">
        <f t="shared" si="202"/>
        <v>-0.93413482713678453</v>
      </c>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row>
    <row r="318" spans="1:59" ht="15.75" customHeight="1" x14ac:dyDescent="0.2">
      <c r="A318" s="209"/>
      <c r="B318" s="209"/>
      <c r="C318" s="206" t="s">
        <v>250</v>
      </c>
      <c r="D318" s="239" t="s">
        <v>146</v>
      </c>
      <c r="E318" s="239" t="s">
        <v>146</v>
      </c>
      <c r="F318" s="239" t="s">
        <v>146</v>
      </c>
      <c r="G318" s="239" t="s">
        <v>146</v>
      </c>
      <c r="H318" s="239" t="s">
        <v>146</v>
      </c>
      <c r="I318" s="239">
        <f t="shared" ref="I318:AE318" si="203">IFERROR(I299/D299-1,"n.a.")</f>
        <v>0.77021363131673293</v>
      </c>
      <c r="J318" s="239">
        <f t="shared" si="203"/>
        <v>1.5345153592665697</v>
      </c>
      <c r="K318" s="239">
        <f t="shared" si="203"/>
        <v>0.82187541399156072</v>
      </c>
      <c r="L318" s="239">
        <f t="shared" si="203"/>
        <v>-0.13451618792451037</v>
      </c>
      <c r="M318" s="239">
        <f t="shared" si="203"/>
        <v>0.5464733960124839</v>
      </c>
      <c r="N318" s="239">
        <f t="shared" si="203"/>
        <v>-0.19191029198865472</v>
      </c>
      <c r="O318" s="239">
        <f t="shared" si="203"/>
        <v>0.58884089884891866</v>
      </c>
      <c r="P318" s="239">
        <f t="shared" si="203"/>
        <v>-0.63886536731888866</v>
      </c>
      <c r="Q318" s="239">
        <f t="shared" si="203"/>
        <v>-0.11558238830402667</v>
      </c>
      <c r="R318" s="239">
        <f t="shared" si="203"/>
        <v>-9.03108303859399E-2</v>
      </c>
      <c r="S318" s="239">
        <f t="shared" si="203"/>
        <v>-0.48821858000844176</v>
      </c>
      <c r="T318" s="239">
        <f t="shared" si="203"/>
        <v>-0.62790740578757909</v>
      </c>
      <c r="U318" s="239">
        <f t="shared" si="203"/>
        <v>0.85759563198394306</v>
      </c>
      <c r="V318" s="239">
        <f t="shared" si="203"/>
        <v>0.67732528443857087</v>
      </c>
      <c r="W318" s="239">
        <f t="shared" si="203"/>
        <v>-0.15912561157493899</v>
      </c>
      <c r="X318" s="239">
        <f t="shared" si="203"/>
        <v>0.97436431992979045</v>
      </c>
      <c r="Y318" s="239">
        <f t="shared" si="203"/>
        <v>0.29097532833995254</v>
      </c>
      <c r="Z318" s="239">
        <f t="shared" si="203"/>
        <v>0.60602209628379522</v>
      </c>
      <c r="AA318" s="239">
        <f t="shared" si="203"/>
        <v>-0.21245313075925332</v>
      </c>
      <c r="AB318" s="239">
        <f t="shared" si="203"/>
        <v>0.24176555275831535</v>
      </c>
      <c r="AC318" s="239">
        <f t="shared" si="203"/>
        <v>0.18373247478022936</v>
      </c>
      <c r="AD318" s="239">
        <f t="shared" si="203"/>
        <v>0.1033673637625061</v>
      </c>
      <c r="AE318" s="239">
        <f t="shared" si="203"/>
        <v>-1.7684956187680956E-2</v>
      </c>
      <c r="AF318" s="209"/>
      <c r="AG318" s="209"/>
      <c r="AH318" s="209"/>
      <c r="AI318" s="209"/>
      <c r="AJ318" s="209"/>
      <c r="AK318" s="209"/>
      <c r="AL318" s="209"/>
      <c r="AM318" s="209"/>
      <c r="AN318" s="189"/>
      <c r="AO318" s="209"/>
      <c r="AP318" s="209"/>
      <c r="AQ318" s="209"/>
      <c r="AR318" s="209"/>
      <c r="AS318" s="209"/>
      <c r="AT318" s="209"/>
      <c r="AU318" s="209"/>
      <c r="AV318" s="209"/>
      <c r="AW318" s="209"/>
      <c r="AX318" s="209"/>
      <c r="AY318" s="209"/>
      <c r="AZ318" s="209"/>
      <c r="BA318" s="209"/>
      <c r="BB318" s="209"/>
      <c r="BC318" s="209"/>
      <c r="BD318" s="209"/>
      <c r="BE318" s="209"/>
      <c r="BF318" s="209"/>
      <c r="BG318" s="209"/>
    </row>
    <row r="319" spans="1:59" ht="15.75" customHeight="1" x14ac:dyDescent="0.2">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189"/>
      <c r="AO319" s="84"/>
      <c r="AP319" s="84"/>
      <c r="AQ319" s="84"/>
      <c r="AR319" s="84"/>
      <c r="AS319" s="84"/>
      <c r="AT319" s="84"/>
      <c r="AU319" s="84"/>
      <c r="AV319" s="84"/>
      <c r="AW319" s="84"/>
      <c r="AX319" s="84"/>
      <c r="AY319" s="84"/>
      <c r="AZ319" s="84"/>
      <c r="BA319" s="84"/>
      <c r="BB319" s="84"/>
      <c r="BC319" s="84"/>
      <c r="BD319" s="84"/>
      <c r="BE319" s="84"/>
      <c r="BF319" s="84"/>
      <c r="BG319" s="84"/>
    </row>
    <row r="320" spans="1:59" ht="15.75" customHeight="1" x14ac:dyDescent="0.2">
      <c r="A320" s="210"/>
      <c r="B320" s="211" t="s">
        <v>253</v>
      </c>
      <c r="C320" s="211"/>
      <c r="D320" s="158" t="s">
        <v>98</v>
      </c>
      <c r="E320" s="158" t="s">
        <v>99</v>
      </c>
      <c r="F320" s="158" t="s">
        <v>100</v>
      </c>
      <c r="G320" s="158" t="s">
        <v>101</v>
      </c>
      <c r="H320" s="159">
        <v>2018</v>
      </c>
      <c r="I320" s="158" t="s">
        <v>102</v>
      </c>
      <c r="J320" s="158" t="s">
        <v>103</v>
      </c>
      <c r="K320" s="158" t="s">
        <v>104</v>
      </c>
      <c r="L320" s="158" t="s">
        <v>105</v>
      </c>
      <c r="M320" s="159">
        <v>2019</v>
      </c>
      <c r="N320" s="158" t="s">
        <v>158</v>
      </c>
      <c r="O320" s="158" t="s">
        <v>107</v>
      </c>
      <c r="P320" s="158" t="s">
        <v>108</v>
      </c>
      <c r="Q320" s="158" t="s">
        <v>109</v>
      </c>
      <c r="R320" s="159">
        <v>2020</v>
      </c>
      <c r="S320" s="158" t="s">
        <v>110</v>
      </c>
      <c r="T320" s="158" t="s">
        <v>111</v>
      </c>
      <c r="U320" s="158" t="s">
        <v>112</v>
      </c>
      <c r="V320" s="158" t="s">
        <v>113</v>
      </c>
      <c r="W320" s="159">
        <v>2021</v>
      </c>
      <c r="X320" s="158" t="s">
        <v>114</v>
      </c>
      <c r="Y320" s="158" t="s">
        <v>115</v>
      </c>
      <c r="Z320" s="158" t="str">
        <f>$Z$4</f>
        <v>3Q22</v>
      </c>
      <c r="AA320" s="158" t="str">
        <f>$AA$4</f>
        <v>4Q22</v>
      </c>
      <c r="AB320" s="160">
        <v>2022</v>
      </c>
      <c r="AC320" s="158" t="str">
        <f>$AC$4</f>
        <v>1Q23</v>
      </c>
      <c r="AD320" s="158" t="str">
        <f t="shared" ref="AD320:AE320" si="204">AD$4</f>
        <v>2Q23</v>
      </c>
      <c r="AE320" s="158" t="str">
        <f t="shared" si="204"/>
        <v>3Q23</v>
      </c>
      <c r="AF320" s="147"/>
      <c r="AG320" s="147"/>
      <c r="AH320" s="147"/>
      <c r="AI320" s="147"/>
      <c r="AJ320" s="147"/>
      <c r="AK320" s="147"/>
      <c r="AL320" s="147"/>
      <c r="AM320" s="147"/>
      <c r="AN320" s="189"/>
      <c r="AO320" s="147"/>
      <c r="AP320" s="147"/>
      <c r="AQ320" s="147"/>
      <c r="AR320" s="147"/>
      <c r="AS320" s="147"/>
      <c r="AT320" s="147"/>
      <c r="AU320" s="147"/>
      <c r="AV320" s="147"/>
      <c r="AW320" s="147"/>
      <c r="AX320" s="147"/>
      <c r="AY320" s="147"/>
      <c r="AZ320" s="147"/>
      <c r="BA320" s="147"/>
      <c r="BB320" s="147"/>
      <c r="BC320" s="147"/>
      <c r="BD320" s="147"/>
      <c r="BE320" s="147"/>
      <c r="BF320" s="147"/>
      <c r="BG320" s="147"/>
    </row>
    <row r="321" spans="1:59" ht="15.75" customHeight="1" x14ac:dyDescent="0.2">
      <c r="A321" s="189"/>
      <c r="B321" s="189"/>
      <c r="C321" s="190" t="s">
        <v>19</v>
      </c>
      <c r="D321" s="172">
        <f t="shared" ref="D321:AE321" si="205">D178</f>
        <v>-16.776713192323484</v>
      </c>
      <c r="E321" s="172">
        <f t="shared" si="205"/>
        <v>-17.790963568723512</v>
      </c>
      <c r="F321" s="172">
        <f t="shared" si="205"/>
        <v>-18.011990777052404</v>
      </c>
      <c r="G321" s="172">
        <f t="shared" si="205"/>
        <v>-18.332010371707483</v>
      </c>
      <c r="H321" s="172">
        <f t="shared" si="205"/>
        <v>-70.911677909806883</v>
      </c>
      <c r="I321" s="172">
        <f t="shared" si="205"/>
        <v>-24.995797460000013</v>
      </c>
      <c r="J321" s="172">
        <f t="shared" si="205"/>
        <v>-24.648493120000012</v>
      </c>
      <c r="K321" s="172">
        <f t="shared" si="205"/>
        <v>-24.100485809999995</v>
      </c>
      <c r="L321" s="172">
        <f t="shared" si="205"/>
        <v>-23.692846469999992</v>
      </c>
      <c r="M321" s="172">
        <f t="shared" si="205"/>
        <v>-97.437622859999976</v>
      </c>
      <c r="N321" s="172">
        <f t="shared" si="205"/>
        <v>-24.234056811859986</v>
      </c>
      <c r="O321" s="172">
        <f t="shared" si="205"/>
        <v>-25.243296054999981</v>
      </c>
      <c r="P321" s="172">
        <f t="shared" si="205"/>
        <v>-24.796133513349005</v>
      </c>
      <c r="Q321" s="172">
        <f t="shared" si="205"/>
        <v>-25.99546292639593</v>
      </c>
      <c r="R321" s="172">
        <f t="shared" si="205"/>
        <v>-96.903405240000012</v>
      </c>
      <c r="S321" s="172">
        <f t="shared" si="205"/>
        <v>-28.479328360000011</v>
      </c>
      <c r="T321" s="172">
        <f t="shared" si="205"/>
        <v>-29.944790179999998</v>
      </c>
      <c r="U321" s="172">
        <f t="shared" si="205"/>
        <v>-29.263522099999989</v>
      </c>
      <c r="V321" s="172">
        <f t="shared" si="205"/>
        <v>-29.068045949999998</v>
      </c>
      <c r="W321" s="172">
        <f t="shared" si="205"/>
        <v>-116.75568659000004</v>
      </c>
      <c r="X321" s="172">
        <f t="shared" si="205"/>
        <v>-29.825189809999998</v>
      </c>
      <c r="Y321" s="172">
        <f t="shared" si="205"/>
        <v>-30.446281250000006</v>
      </c>
      <c r="Z321" s="172">
        <f t="shared" si="205"/>
        <v>-30.370419429999998</v>
      </c>
      <c r="AA321" s="172">
        <f t="shared" si="205"/>
        <v>-31.09328167999999</v>
      </c>
      <c r="AB321" s="172">
        <f t="shared" si="205"/>
        <v>-121.73517216999994</v>
      </c>
      <c r="AC321" s="172">
        <f t="shared" si="205"/>
        <v>-31.157151010000007</v>
      </c>
      <c r="AD321" s="172">
        <f t="shared" si="205"/>
        <v>-31.565392941510488</v>
      </c>
      <c r="AE321" s="172">
        <f t="shared" si="205"/>
        <v>-30.682719949999992</v>
      </c>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row>
    <row r="322" spans="1:59" ht="15.75" customHeight="1" x14ac:dyDescent="0.2">
      <c r="A322" s="189"/>
      <c r="B322" s="189"/>
      <c r="C322" s="190" t="s">
        <v>27</v>
      </c>
      <c r="D322" s="172">
        <f t="shared" ref="D322:AE322" si="206">D196</f>
        <v>-3.0590749999999995</v>
      </c>
      <c r="E322" s="172">
        <f t="shared" si="206"/>
        <v>-3.0697220700000001</v>
      </c>
      <c r="F322" s="172">
        <f t="shared" si="206"/>
        <v>-3.0350390899999997</v>
      </c>
      <c r="G322" s="172">
        <f t="shared" si="206"/>
        <v>-2.9867868900000003</v>
      </c>
      <c r="H322" s="172">
        <f t="shared" si="206"/>
        <v>-12.15062305</v>
      </c>
      <c r="I322" s="172">
        <f t="shared" si="206"/>
        <v>-3.4548770200000001</v>
      </c>
      <c r="J322" s="172">
        <f t="shared" si="206"/>
        <v>-3.4484614399999991</v>
      </c>
      <c r="K322" s="172">
        <f t="shared" si="206"/>
        <v>-3.4613335899999997</v>
      </c>
      <c r="L322" s="172">
        <f t="shared" si="206"/>
        <v>-3.3823316499999976</v>
      </c>
      <c r="M322" s="172">
        <f t="shared" si="206"/>
        <v>-13.7470037</v>
      </c>
      <c r="N322" s="172">
        <f t="shared" si="206"/>
        <v>-3.3812407900000014</v>
      </c>
      <c r="O322" s="172">
        <f t="shared" si="206"/>
        <v>-3.4458487300000016</v>
      </c>
      <c r="P322" s="172">
        <f t="shared" si="206"/>
        <v>-3.2677654600000001</v>
      </c>
      <c r="Q322" s="172">
        <f t="shared" si="206"/>
        <v>-3.3136850299999985</v>
      </c>
      <c r="R322" s="172">
        <f t="shared" si="206"/>
        <v>-13.40462531</v>
      </c>
      <c r="S322" s="172">
        <f t="shared" si="206"/>
        <v>-3.4067543999999996</v>
      </c>
      <c r="T322" s="172">
        <f t="shared" si="206"/>
        <v>-3.3250176699999998</v>
      </c>
      <c r="U322" s="172">
        <f t="shared" si="206"/>
        <v>-3.2965013399999998</v>
      </c>
      <c r="V322" s="172">
        <f t="shared" si="206"/>
        <v>-3.5429103099999999</v>
      </c>
      <c r="W322" s="172">
        <f t="shared" si="206"/>
        <v>-13.571183720000001</v>
      </c>
      <c r="X322" s="172">
        <f t="shared" si="206"/>
        <v>-3.4033517799999999</v>
      </c>
      <c r="Y322" s="172">
        <f t="shared" si="206"/>
        <v>-3.2990500599999999</v>
      </c>
      <c r="Z322" s="172">
        <f t="shared" si="206"/>
        <v>-3.57869569</v>
      </c>
      <c r="AA322" s="172">
        <f t="shared" si="206"/>
        <v>-3.7414706199999999</v>
      </c>
      <c r="AB322" s="172">
        <f t="shared" si="206"/>
        <v>-14.02256815</v>
      </c>
      <c r="AC322" s="172">
        <f t="shared" si="206"/>
        <v>-3.8484388200000001</v>
      </c>
      <c r="AD322" s="172">
        <f t="shared" si="206"/>
        <v>-3.6111146958200004</v>
      </c>
      <c r="AE322" s="172">
        <f t="shared" si="206"/>
        <v>-3.4598876299999999</v>
      </c>
      <c r="AF322" s="189"/>
      <c r="AG322" s="189"/>
      <c r="AH322" s="189"/>
      <c r="AI322" s="189"/>
      <c r="AJ322" s="189"/>
      <c r="AK322" s="189"/>
      <c r="AL322" s="189"/>
      <c r="AM322" s="189"/>
      <c r="AN322" s="147"/>
      <c r="AO322" s="189"/>
      <c r="AP322" s="189"/>
      <c r="AQ322" s="189"/>
      <c r="AR322" s="189"/>
      <c r="AS322" s="189"/>
      <c r="AT322" s="189"/>
      <c r="AU322" s="189"/>
      <c r="AV322" s="189"/>
      <c r="AW322" s="189"/>
      <c r="AX322" s="189"/>
      <c r="AY322" s="189"/>
      <c r="AZ322" s="189"/>
      <c r="BA322" s="189"/>
      <c r="BB322" s="189"/>
      <c r="BC322" s="189"/>
      <c r="BD322" s="189"/>
      <c r="BE322" s="189"/>
      <c r="BF322" s="189"/>
      <c r="BG322" s="189"/>
    </row>
    <row r="323" spans="1:59" ht="15.75" customHeight="1" x14ac:dyDescent="0.2">
      <c r="A323" s="189"/>
      <c r="B323" s="189"/>
      <c r="C323" s="190" t="s">
        <v>21</v>
      </c>
      <c r="D323" s="172">
        <f t="shared" ref="D323:AE323" si="207">D214</f>
        <v>-1.3292255005999998</v>
      </c>
      <c r="E323" s="172">
        <f t="shared" si="207"/>
        <v>-1.360745756839</v>
      </c>
      <c r="F323" s="172">
        <f t="shared" si="207"/>
        <v>-1.3806286452889971</v>
      </c>
      <c r="G323" s="172">
        <f t="shared" si="207"/>
        <v>-1.4076829109099993</v>
      </c>
      <c r="H323" s="172">
        <f t="shared" si="207"/>
        <v>-5.4782828136379962</v>
      </c>
      <c r="I323" s="172">
        <f t="shared" si="207"/>
        <v>-4.2334012200000011</v>
      </c>
      <c r="J323" s="172">
        <f t="shared" si="207"/>
        <v>-4.3563483900000008</v>
      </c>
      <c r="K323" s="172">
        <f t="shared" si="207"/>
        <v>-4.4800070200000013</v>
      </c>
      <c r="L323" s="172">
        <f t="shared" si="207"/>
        <v>-4.4467880999999991</v>
      </c>
      <c r="M323" s="172">
        <f t="shared" si="207"/>
        <v>-17.516544730000007</v>
      </c>
      <c r="N323" s="172">
        <f t="shared" si="207"/>
        <v>-4.1536226301349961</v>
      </c>
      <c r="O323" s="172">
        <f t="shared" si="207"/>
        <v>-4.1506918395220129</v>
      </c>
      <c r="P323" s="172">
        <f t="shared" si="207"/>
        <v>-4.0883603130380104</v>
      </c>
      <c r="Q323" s="172">
        <f t="shared" si="207"/>
        <v>-4.1560337809219945</v>
      </c>
      <c r="R323" s="172">
        <f t="shared" si="207"/>
        <v>-16.578925279999996</v>
      </c>
      <c r="S323" s="172">
        <f t="shared" si="207"/>
        <v>-4.1033831999999997</v>
      </c>
      <c r="T323" s="172">
        <f t="shared" si="207"/>
        <v>-4.0902739100000005</v>
      </c>
      <c r="U323" s="172">
        <f t="shared" si="207"/>
        <v>-3.7193670499999989</v>
      </c>
      <c r="V323" s="172">
        <f t="shared" si="207"/>
        <v>-3.0844691600000012</v>
      </c>
      <c r="W323" s="172">
        <f t="shared" si="207"/>
        <v>-14.997493319999997</v>
      </c>
      <c r="X323" s="172">
        <f t="shared" si="207"/>
        <v>-3.1019770499999986</v>
      </c>
      <c r="Y323" s="172">
        <f t="shared" si="207"/>
        <v>-3.2021576100000004</v>
      </c>
      <c r="Z323" s="172">
        <f t="shared" si="207"/>
        <v>-3.1350504299999997</v>
      </c>
      <c r="AA323" s="172">
        <f t="shared" si="207"/>
        <v>-3.1099316999999997</v>
      </c>
      <c r="AB323" s="172">
        <f t="shared" si="207"/>
        <v>-12.549116789999999</v>
      </c>
      <c r="AC323" s="172">
        <f t="shared" si="207"/>
        <v>-3.1711082299999998</v>
      </c>
      <c r="AD323" s="172">
        <f t="shared" si="207"/>
        <v>-3.1507129899999997</v>
      </c>
      <c r="AE323" s="172">
        <f t="shared" si="207"/>
        <v>-3.1199277799999998</v>
      </c>
      <c r="AF323" s="189"/>
      <c r="AG323" s="189"/>
      <c r="AH323" s="189"/>
      <c r="AI323" s="189"/>
      <c r="AJ323" s="189"/>
      <c r="AK323" s="189"/>
      <c r="AL323" s="189"/>
      <c r="AM323" s="189"/>
      <c r="AN323" s="147"/>
      <c r="AO323" s="189"/>
      <c r="AP323" s="189"/>
      <c r="AQ323" s="189"/>
      <c r="AR323" s="189"/>
      <c r="AS323" s="189"/>
      <c r="AT323" s="189"/>
      <c r="AU323" s="189"/>
      <c r="AV323" s="189"/>
      <c r="AW323" s="189"/>
      <c r="AX323" s="189"/>
      <c r="AY323" s="189"/>
      <c r="AZ323" s="189"/>
      <c r="BA323" s="189"/>
      <c r="BB323" s="189"/>
      <c r="BC323" s="189"/>
      <c r="BD323" s="189"/>
      <c r="BE323" s="189"/>
      <c r="BF323" s="189"/>
      <c r="BG323" s="189"/>
    </row>
    <row r="324" spans="1:59" ht="15.75" customHeight="1" x14ac:dyDescent="0.2">
      <c r="A324" s="189"/>
      <c r="B324" s="189"/>
      <c r="C324" s="190" t="s">
        <v>23</v>
      </c>
      <c r="D324" s="172">
        <f t="shared" ref="D324:AE324" si="208">D232</f>
        <v>-22.365817120946197</v>
      </c>
      <c r="E324" s="172">
        <f t="shared" si="208"/>
        <v>-25.321491129419002</v>
      </c>
      <c r="F324" s="172">
        <f t="shared" si="208"/>
        <v>-28.0186608423354</v>
      </c>
      <c r="G324" s="172">
        <f t="shared" si="208"/>
        <v>-27.686312651121511</v>
      </c>
      <c r="H324" s="172">
        <f t="shared" si="208"/>
        <v>-103.39228174382208</v>
      </c>
      <c r="I324" s="172">
        <f t="shared" si="208"/>
        <v>-27.660187270000005</v>
      </c>
      <c r="J324" s="172">
        <f t="shared" si="208"/>
        <v>-30.525785110000001</v>
      </c>
      <c r="K324" s="172">
        <f t="shared" si="208"/>
        <v>-30.373363949999991</v>
      </c>
      <c r="L324" s="172">
        <f t="shared" si="208"/>
        <v>-32.15961772</v>
      </c>
      <c r="M324" s="172">
        <f t="shared" si="208"/>
        <v>-120.71895404999998</v>
      </c>
      <c r="N324" s="172">
        <f t="shared" si="208"/>
        <v>-35.458264622448915</v>
      </c>
      <c r="O324" s="172">
        <f t="shared" si="208"/>
        <v>-43.984085292764959</v>
      </c>
      <c r="P324" s="172">
        <f t="shared" si="208"/>
        <v>-43.759946483334204</v>
      </c>
      <c r="Q324" s="172">
        <f t="shared" si="208"/>
        <v>-44.832015843751918</v>
      </c>
      <c r="R324" s="172">
        <f t="shared" si="208"/>
        <v>-166.22275998999999</v>
      </c>
      <c r="S324" s="172">
        <f t="shared" si="208"/>
        <v>-43.325987090000012</v>
      </c>
      <c r="T324" s="172">
        <f t="shared" si="208"/>
        <v>-40.841957939999986</v>
      </c>
      <c r="U324" s="172">
        <f t="shared" si="208"/>
        <v>-38.444165300000009</v>
      </c>
      <c r="V324" s="172">
        <f t="shared" si="208"/>
        <v>-42.907656450000019</v>
      </c>
      <c r="W324" s="172">
        <f t="shared" si="208"/>
        <v>-165.51976678000005</v>
      </c>
      <c r="X324" s="172">
        <f t="shared" si="208"/>
        <v>-41.719076690000009</v>
      </c>
      <c r="Y324" s="172">
        <f t="shared" si="208"/>
        <v>-39.7299735</v>
      </c>
      <c r="Z324" s="172">
        <f t="shared" si="208"/>
        <v>-43.456387520000007</v>
      </c>
      <c r="AA324" s="172">
        <f t="shared" si="208"/>
        <v>-47.861285620000004</v>
      </c>
      <c r="AB324" s="172">
        <f t="shared" si="208"/>
        <v>-172.76672333000005</v>
      </c>
      <c r="AC324" s="172">
        <f t="shared" si="208"/>
        <v>-49.942733059999995</v>
      </c>
      <c r="AD324" s="172">
        <f t="shared" si="208"/>
        <v>-48.353872941474705</v>
      </c>
      <c r="AE324" s="172">
        <f t="shared" si="208"/>
        <v>-48.247812080000003</v>
      </c>
      <c r="AF324" s="189"/>
      <c r="AG324" s="189"/>
      <c r="AH324" s="189"/>
      <c r="AI324" s="189"/>
      <c r="AJ324" s="189"/>
      <c r="AK324" s="189"/>
      <c r="AL324" s="189"/>
      <c r="AM324" s="189"/>
      <c r="AN324" s="147"/>
      <c r="AO324" s="189"/>
      <c r="AP324" s="189"/>
      <c r="AQ324" s="189"/>
      <c r="AR324" s="189"/>
      <c r="AS324" s="189"/>
      <c r="AT324" s="189"/>
      <c r="AU324" s="189"/>
      <c r="AV324" s="189"/>
      <c r="AW324" s="189"/>
      <c r="AX324" s="189"/>
      <c r="AY324" s="189"/>
      <c r="AZ324" s="189"/>
      <c r="BA324" s="189"/>
      <c r="BB324" s="189"/>
      <c r="BC324" s="189"/>
      <c r="BD324" s="189"/>
      <c r="BE324" s="189"/>
      <c r="BF324" s="189"/>
      <c r="BG324" s="189"/>
    </row>
    <row r="325" spans="1:59" ht="15.75" customHeight="1" x14ac:dyDescent="0.2">
      <c r="A325" s="189"/>
      <c r="B325" s="189"/>
      <c r="C325" s="190" t="s">
        <v>25</v>
      </c>
      <c r="D325" s="172">
        <f t="shared" ref="D325:AE325" si="209">D250</f>
        <v>-0.19097253467500008</v>
      </c>
      <c r="E325" s="172">
        <f t="shared" si="209"/>
        <v>-0.21268620571899999</v>
      </c>
      <c r="F325" s="172">
        <f t="shared" si="209"/>
        <v>-0.23192357554999976</v>
      </c>
      <c r="G325" s="172">
        <f t="shared" si="209"/>
        <v>-0.20824632502500018</v>
      </c>
      <c r="H325" s="172">
        <f t="shared" si="209"/>
        <v>-0.8438286409689999</v>
      </c>
      <c r="I325" s="172">
        <f t="shared" si="209"/>
        <v>-0.43351654000000001</v>
      </c>
      <c r="J325" s="172">
        <f t="shared" si="209"/>
        <v>-0.7092811</v>
      </c>
      <c r="K325" s="172">
        <f t="shared" si="209"/>
        <v>-0.13631819000000034</v>
      </c>
      <c r="L325" s="172">
        <f t="shared" si="209"/>
        <v>-0.44206829999999986</v>
      </c>
      <c r="M325" s="172">
        <f t="shared" si="209"/>
        <v>-1.721184130000001</v>
      </c>
      <c r="N325" s="172">
        <f t="shared" si="209"/>
        <v>0.74060512265500089</v>
      </c>
      <c r="O325" s="172">
        <f t="shared" si="209"/>
        <v>0.72959361527399125</v>
      </c>
      <c r="P325" s="172">
        <f t="shared" si="209"/>
        <v>0.90099118340500306</v>
      </c>
      <c r="Q325" s="172">
        <f t="shared" si="209"/>
        <v>0.89010049338402641</v>
      </c>
      <c r="R325" s="172">
        <f t="shared" si="209"/>
        <v>-1.7499070199999984</v>
      </c>
      <c r="S325" s="172">
        <f t="shared" si="209"/>
        <v>-0.43762104999999973</v>
      </c>
      <c r="T325" s="172">
        <f t="shared" si="209"/>
        <v>-0.40522814000000018</v>
      </c>
      <c r="U325" s="172">
        <f t="shared" si="209"/>
        <v>-0.33943462000000002</v>
      </c>
      <c r="V325" s="172">
        <f t="shared" si="209"/>
        <v>-0.35117413999999991</v>
      </c>
      <c r="W325" s="172">
        <f t="shared" si="209"/>
        <v>-1.533457949999999</v>
      </c>
      <c r="X325" s="172">
        <f t="shared" si="209"/>
        <v>-0.3577855999999997</v>
      </c>
      <c r="Y325" s="172">
        <f t="shared" si="209"/>
        <v>-0.43935254000000024</v>
      </c>
      <c r="Z325" s="172">
        <f t="shared" si="209"/>
        <v>-0.43947924000000005</v>
      </c>
      <c r="AA325" s="172">
        <f t="shared" si="209"/>
        <v>-0.38860187999999996</v>
      </c>
      <c r="AB325" s="172">
        <f t="shared" si="209"/>
        <v>-1.6252192599999997</v>
      </c>
      <c r="AC325" s="172">
        <f t="shared" si="209"/>
        <v>-0.44678006999999997</v>
      </c>
      <c r="AD325" s="172">
        <f t="shared" si="209"/>
        <v>-0.42855419268200001</v>
      </c>
      <c r="AE325" s="172">
        <f t="shared" si="209"/>
        <v>-0.38280616000000001</v>
      </c>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row>
    <row r="326" spans="1:59" ht="15.75" customHeight="1" x14ac:dyDescent="0.2">
      <c r="A326" s="189"/>
      <c r="B326" s="189"/>
      <c r="C326" s="190" t="s">
        <v>29</v>
      </c>
      <c r="D326" s="172">
        <f t="shared" ref="D326:AE326" si="210">D268</f>
        <v>-1.7717141486270003</v>
      </c>
      <c r="E326" s="172">
        <f t="shared" si="210"/>
        <v>-2.0036959433930002</v>
      </c>
      <c r="F326" s="172">
        <f t="shared" si="210"/>
        <v>-0.80951035869899868</v>
      </c>
      <c r="G326" s="172">
        <f t="shared" si="210"/>
        <v>-1.4647469289440003</v>
      </c>
      <c r="H326" s="172">
        <f t="shared" si="210"/>
        <v>-6.0496673796629983</v>
      </c>
      <c r="I326" s="172">
        <f t="shared" si="210"/>
        <v>-0.59359269000000003</v>
      </c>
      <c r="J326" s="172">
        <f t="shared" si="210"/>
        <v>0.20528685000000024</v>
      </c>
      <c r="K326" s="172">
        <f t="shared" si="210"/>
        <v>-2.0079112800000001</v>
      </c>
      <c r="L326" s="172">
        <f t="shared" si="210"/>
        <v>-1.4679345499999998</v>
      </c>
      <c r="M326" s="172">
        <f t="shared" si="210"/>
        <v>-3.86415167</v>
      </c>
      <c r="N326" s="172">
        <f t="shared" si="210"/>
        <v>-2.836095796384055</v>
      </c>
      <c r="O326" s="172">
        <f t="shared" si="210"/>
        <v>-2.1839150001840286</v>
      </c>
      <c r="P326" s="172">
        <f t="shared" si="210"/>
        <v>-2.400583776367994</v>
      </c>
      <c r="Q326" s="172">
        <f t="shared" si="210"/>
        <v>-2.5645219883124533</v>
      </c>
      <c r="R326" s="172">
        <f t="shared" si="210"/>
        <v>-10.090318910000001</v>
      </c>
      <c r="S326" s="172">
        <f t="shared" si="210"/>
        <v>-2.5220714499999999</v>
      </c>
      <c r="T326" s="172">
        <f t="shared" si="210"/>
        <v>-2.1943284200000002</v>
      </c>
      <c r="U326" s="172">
        <f t="shared" si="210"/>
        <v>-2.1017966500000003</v>
      </c>
      <c r="V326" s="172">
        <f t="shared" si="210"/>
        <v>-2.0353594399999997</v>
      </c>
      <c r="W326" s="172">
        <f t="shared" si="210"/>
        <v>-8.8535559599999996</v>
      </c>
      <c r="X326" s="172">
        <f t="shared" si="210"/>
        <v>-2.0301380400000002</v>
      </c>
      <c r="Y326" s="172">
        <f t="shared" si="210"/>
        <v>-2.0536314899999999</v>
      </c>
      <c r="Z326" s="172">
        <f t="shared" si="210"/>
        <v>-1.9555989999999999</v>
      </c>
      <c r="AA326" s="172">
        <f t="shared" si="210"/>
        <v>-1.9210293800000002</v>
      </c>
      <c r="AB326" s="172">
        <f t="shared" si="210"/>
        <v>-7.9603979100000002</v>
      </c>
      <c r="AC326" s="172">
        <f t="shared" si="210"/>
        <v>-1.92181297</v>
      </c>
      <c r="AD326" s="172">
        <f t="shared" si="210"/>
        <v>-1.9157565159859999</v>
      </c>
      <c r="AE326" s="172">
        <f t="shared" si="210"/>
        <v>-1.49819016</v>
      </c>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row>
    <row r="327" spans="1:59" ht="15.75" customHeight="1" x14ac:dyDescent="0.2">
      <c r="A327" s="189"/>
      <c r="B327" s="189"/>
      <c r="C327" s="190" t="s">
        <v>208</v>
      </c>
      <c r="D327" s="172">
        <f t="shared" ref="D327:AE327" si="211">D283</f>
        <v>-1.3877720637749995</v>
      </c>
      <c r="E327" s="172">
        <f t="shared" si="211"/>
        <v>-1.6528568698210009</v>
      </c>
      <c r="F327" s="172">
        <f t="shared" si="211"/>
        <v>-1.5644760412079961</v>
      </c>
      <c r="G327" s="172">
        <f t="shared" si="211"/>
        <v>-1.4121392548940008</v>
      </c>
      <c r="H327" s="172">
        <f t="shared" si="211"/>
        <v>-6.017244229698008</v>
      </c>
      <c r="I327" s="172">
        <f t="shared" si="211"/>
        <v>-1.7128397599999978</v>
      </c>
      <c r="J327" s="172">
        <f t="shared" si="211"/>
        <v>-0.74369154000000037</v>
      </c>
      <c r="K327" s="172">
        <f t="shared" si="211"/>
        <v>-1.8559351400000033</v>
      </c>
      <c r="L327" s="172">
        <f t="shared" si="211"/>
        <v>-1.4545604599999962</v>
      </c>
      <c r="M327" s="172">
        <f t="shared" si="211"/>
        <v>-5.7670268999999905</v>
      </c>
      <c r="N327" s="172">
        <f t="shared" si="211"/>
        <v>-3.7869588696210243</v>
      </c>
      <c r="O327" s="172">
        <f t="shared" si="211"/>
        <v>-4.7644870669439801</v>
      </c>
      <c r="P327" s="172">
        <f t="shared" si="211"/>
        <v>-4.5913626983609888</v>
      </c>
      <c r="Q327" s="172">
        <f t="shared" si="211"/>
        <v>-3.8985115400200492</v>
      </c>
      <c r="R327" s="172">
        <f t="shared" si="211"/>
        <v>-10.079338940000014</v>
      </c>
      <c r="S327" s="172">
        <f t="shared" si="211"/>
        <v>-2.6567069199999978</v>
      </c>
      <c r="T327" s="172">
        <f t="shared" si="211"/>
        <v>-2.5565253800000001</v>
      </c>
      <c r="U327" s="172">
        <f t="shared" si="211"/>
        <v>-2.4090169500000016</v>
      </c>
      <c r="V327" s="172">
        <f t="shared" si="211"/>
        <v>-2.4382201100000032</v>
      </c>
      <c r="W327" s="172">
        <f t="shared" si="211"/>
        <v>-10.060469359999999</v>
      </c>
      <c r="X327" s="172">
        <f t="shared" si="211"/>
        <v>-1.1821445299999995</v>
      </c>
      <c r="Y327" s="172">
        <f t="shared" si="211"/>
        <v>6.5899289999999944E-2</v>
      </c>
      <c r="Z327" s="172">
        <f t="shared" si="211"/>
        <v>-0.56888804999999998</v>
      </c>
      <c r="AA327" s="172">
        <f t="shared" si="211"/>
        <v>-0.38494034999999904</v>
      </c>
      <c r="AB327" s="172">
        <f t="shared" si="211"/>
        <v>-2.0700736400000004</v>
      </c>
      <c r="AC327" s="172">
        <f t="shared" si="211"/>
        <v>-0.75839142999999964</v>
      </c>
      <c r="AD327" s="172">
        <f t="shared" si="211"/>
        <v>-0.53816085749499898</v>
      </c>
      <c r="AE327" s="172">
        <f t="shared" si="211"/>
        <v>-0.42941925000000003</v>
      </c>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row>
    <row r="328" spans="1:59" ht="15.75" customHeight="1" x14ac:dyDescent="0.2">
      <c r="A328" s="162"/>
      <c r="B328" s="162"/>
      <c r="C328" s="206" t="s">
        <v>250</v>
      </c>
      <c r="D328" s="207">
        <f t="shared" ref="D328:AE328" si="212">D15</f>
        <v>-46.9</v>
      </c>
      <c r="E328" s="207">
        <f t="shared" si="212"/>
        <v>-51.4</v>
      </c>
      <c r="F328" s="207">
        <f t="shared" si="212"/>
        <v>-53</v>
      </c>
      <c r="G328" s="207">
        <f t="shared" si="212"/>
        <v>-53.5</v>
      </c>
      <c r="H328" s="207">
        <f t="shared" si="212"/>
        <v>-204.8</v>
      </c>
      <c r="I328" s="207">
        <f t="shared" si="212"/>
        <v>-63.1</v>
      </c>
      <c r="J328" s="207">
        <f t="shared" si="212"/>
        <v>-64.2</v>
      </c>
      <c r="K328" s="207">
        <f t="shared" si="212"/>
        <v>-66.400000000000006</v>
      </c>
      <c r="L328" s="207">
        <f t="shared" si="212"/>
        <v>-67.099999999999994</v>
      </c>
      <c r="M328" s="207">
        <f t="shared" si="212"/>
        <v>-260.8</v>
      </c>
      <c r="N328" s="207">
        <f t="shared" si="212"/>
        <v>-72.024982575686565</v>
      </c>
      <c r="O328" s="207">
        <f t="shared" si="212"/>
        <v>-80.561397232350657</v>
      </c>
      <c r="P328" s="207">
        <f t="shared" si="212"/>
        <v>-80.606159372176762</v>
      </c>
      <c r="Q328" s="207">
        <f t="shared" si="212"/>
        <v>-81.841597187711059</v>
      </c>
      <c r="R328" s="207">
        <f t="shared" si="212"/>
        <v>-315</v>
      </c>
      <c r="S328" s="207">
        <f t="shared" si="212"/>
        <v>-84.931852460000002</v>
      </c>
      <c r="T328" s="207">
        <f t="shared" si="212"/>
        <v>-83.358121650000001</v>
      </c>
      <c r="U328" s="207">
        <f t="shared" si="212"/>
        <v>-79.573804019999997</v>
      </c>
      <c r="V328" s="207">
        <f t="shared" si="212"/>
        <v>-83.427491450000005</v>
      </c>
      <c r="W328" s="207">
        <f t="shared" si="212"/>
        <v>-331.26377812999999</v>
      </c>
      <c r="X328" s="207">
        <f t="shared" si="212"/>
        <v>-81.619663489999994</v>
      </c>
      <c r="Y328" s="207">
        <f t="shared" si="212"/>
        <v>-79.104547170000004</v>
      </c>
      <c r="Z328" s="207">
        <f t="shared" si="212"/>
        <v>-83.504519349999995</v>
      </c>
      <c r="AA328" s="207">
        <f t="shared" si="212"/>
        <v>-88.500541220000002</v>
      </c>
      <c r="AB328" s="207">
        <f t="shared" si="212"/>
        <v>-332.72927122999999</v>
      </c>
      <c r="AC328" s="207">
        <f t="shared" si="212"/>
        <v>-91.246415589999998</v>
      </c>
      <c r="AD328" s="207">
        <f t="shared" si="212"/>
        <v>-89.563565134968513</v>
      </c>
      <c r="AE328" s="207">
        <f t="shared" si="212"/>
        <v>-87.820762999999999</v>
      </c>
      <c r="AF328" s="162"/>
      <c r="AG328" s="162"/>
      <c r="AH328" s="162"/>
      <c r="AI328" s="162"/>
      <c r="AJ328" s="162"/>
      <c r="AK328" s="162"/>
      <c r="AL328" s="162"/>
      <c r="AM328" s="162"/>
      <c r="AN328" s="189"/>
      <c r="AO328" s="162"/>
      <c r="AP328" s="162"/>
      <c r="AQ328" s="162"/>
      <c r="AR328" s="162"/>
      <c r="AS328" s="162"/>
      <c r="AT328" s="162"/>
      <c r="AU328" s="162"/>
      <c r="AV328" s="162"/>
      <c r="AW328" s="162"/>
      <c r="AX328" s="162"/>
      <c r="AY328" s="162"/>
      <c r="AZ328" s="162"/>
      <c r="BA328" s="162"/>
      <c r="BB328" s="162"/>
      <c r="BC328" s="162"/>
      <c r="BD328" s="162"/>
      <c r="BE328" s="162"/>
      <c r="BF328" s="162"/>
      <c r="BG328" s="162"/>
    </row>
    <row r="329" spans="1:59" ht="15.75" customHeight="1" x14ac:dyDescent="0.2">
      <c r="A329" s="209"/>
      <c r="B329" s="209"/>
      <c r="C329" s="23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0"/>
      <c r="AF329" s="147"/>
      <c r="AG329" s="147"/>
      <c r="AH329" s="147"/>
      <c r="AI329" s="147"/>
      <c r="AJ329" s="147"/>
      <c r="AK329" s="147"/>
      <c r="AL329" s="147"/>
      <c r="AM329" s="147"/>
      <c r="AN329" s="189"/>
      <c r="AO329" s="147"/>
      <c r="AP329" s="147"/>
      <c r="AQ329" s="147"/>
      <c r="AR329" s="147"/>
      <c r="AS329" s="147"/>
      <c r="AT329" s="147"/>
      <c r="AU329" s="147"/>
      <c r="AV329" s="147"/>
      <c r="AW329" s="147"/>
      <c r="AX329" s="147"/>
      <c r="AY329" s="147"/>
      <c r="AZ329" s="147"/>
      <c r="BA329" s="147"/>
      <c r="BB329" s="147"/>
      <c r="BC329" s="147"/>
      <c r="BD329" s="147"/>
      <c r="BE329" s="147"/>
      <c r="BF329" s="147"/>
      <c r="BG329" s="147"/>
    </row>
    <row r="330" spans="1:59" ht="15.75" customHeight="1" x14ac:dyDescent="0.2">
      <c r="A330" s="210"/>
      <c r="B330" s="211" t="s">
        <v>254</v>
      </c>
      <c r="C330" s="211"/>
      <c r="D330" s="158" t="s">
        <v>98</v>
      </c>
      <c r="E330" s="158" t="s">
        <v>99</v>
      </c>
      <c r="F330" s="158" t="s">
        <v>100</v>
      </c>
      <c r="G330" s="158" t="s">
        <v>101</v>
      </c>
      <c r="H330" s="159">
        <v>2018</v>
      </c>
      <c r="I330" s="158" t="s">
        <v>102</v>
      </c>
      <c r="J330" s="158" t="s">
        <v>103</v>
      </c>
      <c r="K330" s="158" t="s">
        <v>104</v>
      </c>
      <c r="L330" s="158" t="s">
        <v>105</v>
      </c>
      <c r="M330" s="159">
        <v>2019</v>
      </c>
      <c r="N330" s="158" t="s">
        <v>158</v>
      </c>
      <c r="O330" s="158" t="s">
        <v>107</v>
      </c>
      <c r="P330" s="158" t="s">
        <v>108</v>
      </c>
      <c r="Q330" s="158" t="s">
        <v>109</v>
      </c>
      <c r="R330" s="159">
        <v>2020</v>
      </c>
      <c r="S330" s="158" t="s">
        <v>110</v>
      </c>
      <c r="T330" s="158" t="s">
        <v>111</v>
      </c>
      <c r="U330" s="158" t="s">
        <v>112</v>
      </c>
      <c r="V330" s="158" t="s">
        <v>113</v>
      </c>
      <c r="W330" s="159">
        <v>2021</v>
      </c>
      <c r="X330" s="158" t="s">
        <v>114</v>
      </c>
      <c r="Y330" s="158" t="s">
        <v>115</v>
      </c>
      <c r="Z330" s="158" t="str">
        <f>$Z$4</f>
        <v>3Q22</v>
      </c>
      <c r="AA330" s="158" t="str">
        <f>$AA$4</f>
        <v>4Q22</v>
      </c>
      <c r="AB330" s="160">
        <v>2022</v>
      </c>
      <c r="AC330" s="158" t="str">
        <f>$AC$4</f>
        <v>1Q23</v>
      </c>
      <c r="AD330" s="158" t="str">
        <f t="shared" ref="AD330:AE330" si="213">AD$4</f>
        <v>2Q23</v>
      </c>
      <c r="AE330" s="158" t="str">
        <f t="shared" si="213"/>
        <v>3Q23</v>
      </c>
      <c r="AF330" s="147"/>
      <c r="AG330" s="147"/>
      <c r="AH330" s="147"/>
      <c r="AI330" s="147"/>
      <c r="AJ330" s="147"/>
      <c r="AK330" s="147"/>
      <c r="AL330" s="147"/>
      <c r="AM330" s="147"/>
      <c r="AN330" s="189"/>
      <c r="AO330" s="147"/>
      <c r="AP330" s="147"/>
      <c r="AQ330" s="147"/>
      <c r="AR330" s="147"/>
      <c r="AS330" s="147"/>
      <c r="AT330" s="147"/>
      <c r="AU330" s="147"/>
      <c r="AV330" s="147"/>
      <c r="AW330" s="147"/>
      <c r="AX330" s="147"/>
      <c r="AY330" s="147"/>
      <c r="AZ330" s="147"/>
      <c r="BA330" s="147"/>
      <c r="BB330" s="147"/>
      <c r="BC330" s="147"/>
      <c r="BD330" s="147"/>
      <c r="BE330" s="147"/>
      <c r="BF330" s="147"/>
      <c r="BG330" s="147"/>
    </row>
    <row r="331" spans="1:59" ht="15.75" customHeight="1" x14ac:dyDescent="0.2">
      <c r="A331" s="209"/>
      <c r="B331" s="209"/>
      <c r="C331" s="190" t="s">
        <v>19</v>
      </c>
      <c r="D331" s="191">
        <f t="shared" ref="D331:AE331" si="214">+D321/D$328</f>
        <v>0.35771243480433867</v>
      </c>
      <c r="E331" s="191">
        <f t="shared" si="214"/>
        <v>0.34612769588956249</v>
      </c>
      <c r="F331" s="191">
        <f t="shared" si="214"/>
        <v>0.33984888258589441</v>
      </c>
      <c r="G331" s="191">
        <f t="shared" si="214"/>
        <v>0.34265439947116788</v>
      </c>
      <c r="H331" s="191">
        <f t="shared" si="214"/>
        <v>0.34624842729397892</v>
      </c>
      <c r="I331" s="191">
        <f t="shared" si="214"/>
        <v>0.39612991220285282</v>
      </c>
      <c r="J331" s="191">
        <f t="shared" si="214"/>
        <v>0.38393291464174473</v>
      </c>
      <c r="K331" s="191">
        <f t="shared" si="214"/>
        <v>0.36295912364457822</v>
      </c>
      <c r="L331" s="191">
        <f t="shared" si="214"/>
        <v>0.35309756289120708</v>
      </c>
      <c r="M331" s="191">
        <f t="shared" si="214"/>
        <v>0.37361051710122689</v>
      </c>
      <c r="N331" s="191">
        <f t="shared" si="214"/>
        <v>0.33646737486390815</v>
      </c>
      <c r="O331" s="191">
        <f t="shared" si="214"/>
        <v>0.31334233171496123</v>
      </c>
      <c r="P331" s="191">
        <f t="shared" si="214"/>
        <v>0.30762082831486465</v>
      </c>
      <c r="Q331" s="191">
        <f t="shared" si="214"/>
        <v>0.31763142240214348</v>
      </c>
      <c r="R331" s="191">
        <f t="shared" si="214"/>
        <v>0.30762985790476194</v>
      </c>
      <c r="S331" s="191">
        <f t="shared" si="214"/>
        <v>0.33531975972633826</v>
      </c>
      <c r="T331" s="191">
        <f t="shared" si="214"/>
        <v>0.35923062548998785</v>
      </c>
      <c r="U331" s="191">
        <f t="shared" si="214"/>
        <v>0.36775321301272623</v>
      </c>
      <c r="V331" s="191">
        <f t="shared" si="214"/>
        <v>0.34842286930587074</v>
      </c>
      <c r="W331" s="191">
        <f t="shared" si="214"/>
        <v>0.35245533710051707</v>
      </c>
      <c r="X331" s="191">
        <f t="shared" si="214"/>
        <v>0.36541672110243589</v>
      </c>
      <c r="Y331" s="191">
        <f t="shared" si="214"/>
        <v>0.38488661321288242</v>
      </c>
      <c r="Z331" s="191">
        <f t="shared" si="214"/>
        <v>0.36369791319564071</v>
      </c>
      <c r="AA331" s="191">
        <f t="shared" si="214"/>
        <v>0.35133436757981434</v>
      </c>
      <c r="AB331" s="191">
        <f t="shared" si="214"/>
        <v>0.36586853846666884</v>
      </c>
      <c r="AC331" s="191">
        <f t="shared" si="214"/>
        <v>0.3414616432715481</v>
      </c>
      <c r="AD331" s="191">
        <f t="shared" si="214"/>
        <v>0.35243564605699618</v>
      </c>
      <c r="AE331" s="191">
        <f t="shared" si="214"/>
        <v>0.34937888150664315</v>
      </c>
      <c r="AF331" s="147"/>
      <c r="AG331" s="147"/>
      <c r="AH331" s="147"/>
      <c r="AI331" s="147"/>
      <c r="AJ331" s="147"/>
      <c r="AK331" s="147"/>
      <c r="AL331" s="147"/>
      <c r="AM331" s="147"/>
      <c r="AN331" s="189"/>
      <c r="AO331" s="147"/>
      <c r="AP331" s="147"/>
      <c r="AQ331" s="147"/>
      <c r="AR331" s="147"/>
      <c r="AS331" s="147"/>
      <c r="AT331" s="147"/>
      <c r="AU331" s="147"/>
      <c r="AV331" s="147"/>
      <c r="AW331" s="147"/>
      <c r="AX331" s="147"/>
      <c r="AY331" s="147"/>
      <c r="AZ331" s="147"/>
      <c r="BA331" s="147"/>
      <c r="BB331" s="147"/>
      <c r="BC331" s="147"/>
      <c r="BD331" s="147"/>
      <c r="BE331" s="147"/>
      <c r="BF331" s="147"/>
      <c r="BG331" s="147"/>
    </row>
    <row r="332" spans="1:59" ht="15.75" customHeight="1" x14ac:dyDescent="0.2">
      <c r="A332" s="209"/>
      <c r="B332" s="209"/>
      <c r="C332" s="190" t="s">
        <v>27</v>
      </c>
      <c r="D332" s="191">
        <f t="shared" ref="D332:AE332" si="215">+D322/D$328</f>
        <v>6.522547974413645E-2</v>
      </c>
      <c r="E332" s="191">
        <f t="shared" si="215"/>
        <v>5.9722219260700392E-2</v>
      </c>
      <c r="F332" s="191">
        <f t="shared" si="215"/>
        <v>5.7264888490566032E-2</v>
      </c>
      <c r="G332" s="191">
        <f t="shared" si="215"/>
        <v>5.5827792336448606E-2</v>
      </c>
      <c r="H332" s="191">
        <f t="shared" si="215"/>
        <v>5.9329214111328125E-2</v>
      </c>
      <c r="I332" s="191">
        <f t="shared" si="215"/>
        <v>5.475240919175911E-2</v>
      </c>
      <c r="J332" s="191">
        <f t="shared" si="215"/>
        <v>5.3714352647975062E-2</v>
      </c>
      <c r="K332" s="191">
        <f t="shared" si="215"/>
        <v>5.212851792168674E-2</v>
      </c>
      <c r="L332" s="191">
        <f t="shared" si="215"/>
        <v>5.0407327123695944E-2</v>
      </c>
      <c r="M332" s="191">
        <f t="shared" si="215"/>
        <v>5.2710903757668709E-2</v>
      </c>
      <c r="N332" s="191">
        <f t="shared" si="215"/>
        <v>4.6945388517753074E-2</v>
      </c>
      <c r="O332" s="191">
        <f t="shared" si="215"/>
        <v>4.2772951418179578E-2</v>
      </c>
      <c r="P332" s="191">
        <f t="shared" si="215"/>
        <v>4.0539897762799891E-2</v>
      </c>
      <c r="Q332" s="191">
        <f t="shared" si="215"/>
        <v>4.0489007349157224E-2</v>
      </c>
      <c r="R332" s="191">
        <f t="shared" si="215"/>
        <v>4.2554366063492062E-2</v>
      </c>
      <c r="S332" s="191">
        <f t="shared" si="215"/>
        <v>4.0111622451711675E-2</v>
      </c>
      <c r="T332" s="191">
        <f t="shared" si="215"/>
        <v>3.9888346860320598E-2</v>
      </c>
      <c r="U332" s="191">
        <f t="shared" si="215"/>
        <v>4.1426966834103601E-2</v>
      </c>
      <c r="V332" s="191">
        <f t="shared" si="215"/>
        <v>4.2466940434417191E-2</v>
      </c>
      <c r="W332" s="191">
        <f t="shared" si="215"/>
        <v>4.0967907196524739E-2</v>
      </c>
      <c r="X332" s="191">
        <f t="shared" si="215"/>
        <v>4.1697694335838288E-2</v>
      </c>
      <c r="Y332" s="191">
        <f t="shared" si="215"/>
        <v>4.1704935784666851E-2</v>
      </c>
      <c r="Z332" s="191">
        <f t="shared" si="215"/>
        <v>4.285631146501534E-2</v>
      </c>
      <c r="AA332" s="191">
        <f t="shared" si="215"/>
        <v>4.2276245641246712E-2</v>
      </c>
      <c r="AB332" s="191">
        <f t="shared" si="215"/>
        <v>4.2144077370057598E-2</v>
      </c>
      <c r="AC332" s="191">
        <f t="shared" si="215"/>
        <v>4.2176328737035494E-2</v>
      </c>
      <c r="AD332" s="191">
        <f t="shared" si="215"/>
        <v>4.0319014661578098E-2</v>
      </c>
      <c r="AE332" s="191">
        <f t="shared" si="215"/>
        <v>3.9397148371393673E-2</v>
      </c>
      <c r="AF332" s="147"/>
      <c r="AG332" s="147"/>
      <c r="AH332" s="147"/>
      <c r="AI332" s="147"/>
      <c r="AJ332" s="147"/>
      <c r="AK332" s="147"/>
      <c r="AL332" s="147"/>
      <c r="AM332" s="147"/>
      <c r="AN332" s="162"/>
      <c r="AO332" s="147"/>
      <c r="AP332" s="147"/>
      <c r="AQ332" s="147"/>
      <c r="AR332" s="147"/>
      <c r="AS332" s="147"/>
      <c r="AT332" s="147"/>
      <c r="AU332" s="147"/>
      <c r="AV332" s="147"/>
      <c r="AW332" s="147"/>
      <c r="AX332" s="147"/>
      <c r="AY332" s="147"/>
      <c r="AZ332" s="147"/>
      <c r="BA332" s="147"/>
      <c r="BB332" s="147"/>
      <c r="BC332" s="147"/>
      <c r="BD332" s="147"/>
      <c r="BE332" s="147"/>
      <c r="BF332" s="147"/>
      <c r="BG332" s="147"/>
    </row>
    <row r="333" spans="1:59" ht="15.75" customHeight="1" x14ac:dyDescent="0.2">
      <c r="A333" s="209"/>
      <c r="B333" s="209"/>
      <c r="C333" s="190" t="s">
        <v>21</v>
      </c>
      <c r="D333" s="191">
        <f t="shared" ref="D333:AE333" si="216">+D323/D$328</f>
        <v>2.8341695108742002E-2</v>
      </c>
      <c r="E333" s="191">
        <f t="shared" si="216"/>
        <v>2.6473652856789886E-2</v>
      </c>
      <c r="F333" s="191">
        <f t="shared" si="216"/>
        <v>2.6049597080924473E-2</v>
      </c>
      <c r="G333" s="191">
        <f t="shared" si="216"/>
        <v>2.6311830110467276E-2</v>
      </c>
      <c r="H333" s="191">
        <f t="shared" si="216"/>
        <v>2.6749427800966778E-2</v>
      </c>
      <c r="I333" s="191">
        <f t="shared" si="216"/>
        <v>6.7090352139461185E-2</v>
      </c>
      <c r="J333" s="191">
        <f t="shared" si="216"/>
        <v>6.7855893925233654E-2</v>
      </c>
      <c r="K333" s="191">
        <f t="shared" si="216"/>
        <v>6.746998524096387E-2</v>
      </c>
      <c r="L333" s="191">
        <f t="shared" si="216"/>
        <v>6.6271059612518626E-2</v>
      </c>
      <c r="M333" s="191">
        <f t="shared" si="216"/>
        <v>6.7164665375766888E-2</v>
      </c>
      <c r="N333" s="191">
        <f t="shared" si="216"/>
        <v>5.7669193127123812E-2</v>
      </c>
      <c r="O333" s="191">
        <f t="shared" si="216"/>
        <v>5.1522093485429764E-2</v>
      </c>
      <c r="P333" s="191">
        <f t="shared" si="216"/>
        <v>5.0720197375502429E-2</v>
      </c>
      <c r="Q333" s="191">
        <f t="shared" si="216"/>
        <v>5.078143540368301E-2</v>
      </c>
      <c r="R333" s="191">
        <f t="shared" si="216"/>
        <v>5.2631508825396814E-2</v>
      </c>
      <c r="S333" s="191">
        <f t="shared" si="216"/>
        <v>4.8313831397149294E-2</v>
      </c>
      <c r="T333" s="191">
        <f t="shared" si="216"/>
        <v>4.9068690957001677E-2</v>
      </c>
      <c r="U333" s="191">
        <f t="shared" si="216"/>
        <v>4.6741098981081475E-2</v>
      </c>
      <c r="V333" s="191">
        <f t="shared" si="216"/>
        <v>3.6971855516578653E-2</v>
      </c>
      <c r="W333" s="191">
        <f t="shared" si="216"/>
        <v>4.5273568407211827E-2</v>
      </c>
      <c r="X333" s="191">
        <f t="shared" si="216"/>
        <v>3.8005266345897779E-2</v>
      </c>
      <c r="Y333" s="191">
        <f t="shared" si="216"/>
        <v>4.0480070040959701E-2</v>
      </c>
      <c r="Z333" s="191">
        <f t="shared" si="216"/>
        <v>3.7543482130108205E-2</v>
      </c>
      <c r="AA333" s="191">
        <f t="shared" si="216"/>
        <v>3.5140256286898215E-2</v>
      </c>
      <c r="AB333" s="191">
        <f t="shared" si="216"/>
        <v>3.7715698242026287E-2</v>
      </c>
      <c r="AC333" s="191">
        <f t="shared" si="216"/>
        <v>3.4753236162709408E-2</v>
      </c>
      <c r="AD333" s="191">
        <f t="shared" si="216"/>
        <v>3.517851243697153E-2</v>
      </c>
      <c r="AE333" s="191">
        <f t="shared" si="216"/>
        <v>3.5526083734890801E-2</v>
      </c>
      <c r="AF333" s="147"/>
      <c r="AG333" s="147"/>
      <c r="AH333" s="147"/>
      <c r="AI333" s="147"/>
      <c r="AJ333" s="147"/>
      <c r="AK333" s="147"/>
      <c r="AL333" s="147"/>
      <c r="AM333" s="147"/>
      <c r="AN333" s="189"/>
      <c r="AO333" s="147"/>
      <c r="AP333" s="147"/>
      <c r="AQ333" s="147"/>
      <c r="AR333" s="147"/>
      <c r="AS333" s="147"/>
      <c r="AT333" s="147"/>
      <c r="AU333" s="147"/>
      <c r="AV333" s="147"/>
      <c r="AW333" s="147"/>
      <c r="AX333" s="147"/>
      <c r="AY333" s="147"/>
      <c r="AZ333" s="147"/>
      <c r="BA333" s="147"/>
      <c r="BB333" s="147"/>
      <c r="BC333" s="147"/>
      <c r="BD333" s="147"/>
      <c r="BE333" s="147"/>
      <c r="BF333" s="147"/>
      <c r="BG333" s="147"/>
    </row>
    <row r="334" spans="1:59" ht="15.75" customHeight="1" x14ac:dyDescent="0.2">
      <c r="A334" s="209"/>
      <c r="B334" s="209"/>
      <c r="C334" s="190" t="s">
        <v>23</v>
      </c>
      <c r="D334" s="191">
        <f t="shared" ref="D334:AE334" si="217">+D324/D$328</f>
        <v>0.47688309426324516</v>
      </c>
      <c r="E334" s="191">
        <f t="shared" si="217"/>
        <v>0.4926360141910312</v>
      </c>
      <c r="F334" s="191">
        <f t="shared" si="217"/>
        <v>0.52865397815727166</v>
      </c>
      <c r="G334" s="191">
        <f t="shared" si="217"/>
        <v>0.51750117104900017</v>
      </c>
      <c r="H334" s="191">
        <f t="shared" si="217"/>
        <v>0.50484512570225626</v>
      </c>
      <c r="I334" s="191">
        <f t="shared" si="217"/>
        <v>0.43835479033280517</v>
      </c>
      <c r="J334" s="191">
        <f t="shared" si="217"/>
        <v>0.47547951884735201</v>
      </c>
      <c r="K334" s="191">
        <f t="shared" si="217"/>
        <v>0.45743017996987934</v>
      </c>
      <c r="L334" s="191">
        <f t="shared" si="217"/>
        <v>0.4792789526080477</v>
      </c>
      <c r="M334" s="191">
        <f t="shared" si="217"/>
        <v>0.46287942503834345</v>
      </c>
      <c r="N334" s="191">
        <f t="shared" si="217"/>
        <v>0.49230507741099466</v>
      </c>
      <c r="O334" s="191">
        <f t="shared" si="217"/>
        <v>0.54596974238056639</v>
      </c>
      <c r="P334" s="191">
        <f t="shared" si="217"/>
        <v>0.54288588892177203</v>
      </c>
      <c r="Q334" s="191">
        <f t="shared" si="217"/>
        <v>0.54779008944468255</v>
      </c>
      <c r="R334" s="191">
        <f t="shared" si="217"/>
        <v>0.52769130155555555</v>
      </c>
      <c r="S334" s="191">
        <f t="shared" si="217"/>
        <v>0.51012648182147058</v>
      </c>
      <c r="T334" s="191">
        <f t="shared" si="217"/>
        <v>0.48995775254491936</v>
      </c>
      <c r="U334" s="191">
        <f t="shared" si="217"/>
        <v>0.48312589517949261</v>
      </c>
      <c r="V334" s="191">
        <f t="shared" si="217"/>
        <v>0.51431075901060208</v>
      </c>
      <c r="W334" s="191">
        <f t="shared" si="217"/>
        <v>0.49966153170855904</v>
      </c>
      <c r="X334" s="191">
        <f t="shared" si="217"/>
        <v>0.5111400232017792</v>
      </c>
      <c r="Y334" s="191">
        <f t="shared" si="217"/>
        <v>0.50224639317659081</v>
      </c>
      <c r="Z334" s="191">
        <f t="shared" si="217"/>
        <v>0.52040761216596365</v>
      </c>
      <c r="AA334" s="191">
        <f t="shared" si="217"/>
        <v>0.54080217996660074</v>
      </c>
      <c r="AB334" s="191">
        <f t="shared" si="217"/>
        <v>0.51924113166038399</v>
      </c>
      <c r="AC334" s="191">
        <f t="shared" si="217"/>
        <v>0.5473391227158888</v>
      </c>
      <c r="AD334" s="191">
        <f t="shared" si="217"/>
        <v>0.53988329817607705</v>
      </c>
      <c r="AE334" s="191">
        <f t="shared" si="217"/>
        <v>0.54938957977397673</v>
      </c>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row>
    <row r="335" spans="1:59" ht="15.75" customHeight="1" x14ac:dyDescent="0.2">
      <c r="A335" s="209"/>
      <c r="B335" s="209"/>
      <c r="C335" s="190" t="s">
        <v>25</v>
      </c>
      <c r="D335" s="191">
        <f t="shared" ref="D335:AE335" si="218">+D325/D$328</f>
        <v>4.071909054904053E-3</v>
      </c>
      <c r="E335" s="191">
        <f t="shared" si="218"/>
        <v>4.137863924494163E-3</v>
      </c>
      <c r="F335" s="191">
        <f t="shared" si="218"/>
        <v>4.375916519811316E-3</v>
      </c>
      <c r="G335" s="191">
        <f t="shared" si="218"/>
        <v>3.8924546733644892E-3</v>
      </c>
      <c r="H335" s="191">
        <f t="shared" si="218"/>
        <v>4.1202570359814448E-3</v>
      </c>
      <c r="I335" s="191">
        <f t="shared" si="218"/>
        <v>6.8703096671949284E-3</v>
      </c>
      <c r="J335" s="191">
        <f t="shared" si="218"/>
        <v>1.1047992211838005E-2</v>
      </c>
      <c r="K335" s="191">
        <f t="shared" si="218"/>
        <v>2.0529847891566314E-3</v>
      </c>
      <c r="L335" s="191">
        <f t="shared" si="218"/>
        <v>6.5882011922503711E-3</v>
      </c>
      <c r="M335" s="191">
        <f t="shared" si="218"/>
        <v>6.5996324003067524E-3</v>
      </c>
      <c r="N335" s="191">
        <f t="shared" si="218"/>
        <v>-1.0282614395314086E-2</v>
      </c>
      <c r="O335" s="191">
        <f t="shared" si="218"/>
        <v>-9.0563674456854114E-3</v>
      </c>
      <c r="P335" s="191">
        <f t="shared" si="218"/>
        <v>-1.1177696474098513E-2</v>
      </c>
      <c r="Q335" s="191">
        <f t="shared" si="218"/>
        <v>-1.0875893481679015E-2</v>
      </c>
      <c r="R335" s="191">
        <f t="shared" si="218"/>
        <v>5.5552603809523758E-3</v>
      </c>
      <c r="S335" s="191">
        <f t="shared" si="218"/>
        <v>5.1526139760828165E-3</v>
      </c>
      <c r="T335" s="191">
        <f t="shared" si="218"/>
        <v>4.8612916411606812E-3</v>
      </c>
      <c r="U335" s="191">
        <f t="shared" si="218"/>
        <v>4.2656578277279148E-3</v>
      </c>
      <c r="V335" s="191">
        <f t="shared" si="218"/>
        <v>4.2093335649492298E-3</v>
      </c>
      <c r="W335" s="191">
        <f t="shared" si="218"/>
        <v>4.6291144738384712E-3</v>
      </c>
      <c r="X335" s="191">
        <f t="shared" si="218"/>
        <v>4.3835711236892743E-3</v>
      </c>
      <c r="Y335" s="191">
        <f t="shared" si="218"/>
        <v>5.5540743954428764E-3</v>
      </c>
      <c r="Z335" s="191">
        <f t="shared" si="218"/>
        <v>5.2629395800480117E-3</v>
      </c>
      <c r="AA335" s="191">
        <f t="shared" si="218"/>
        <v>4.3909548421177435E-3</v>
      </c>
      <c r="AB335" s="191">
        <f t="shared" si="218"/>
        <v>4.8845094211039898E-3</v>
      </c>
      <c r="AC335" s="191">
        <f t="shared" si="218"/>
        <v>4.8964122821824477E-3</v>
      </c>
      <c r="AD335" s="191">
        <f t="shared" si="218"/>
        <v>4.784916634751943E-3</v>
      </c>
      <c r="AE335" s="191">
        <f t="shared" si="218"/>
        <v>4.3589482364210386E-3</v>
      </c>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row>
    <row r="336" spans="1:59" ht="15.75" customHeight="1" x14ac:dyDescent="0.2">
      <c r="A336" s="209"/>
      <c r="B336" s="209"/>
      <c r="C336" s="190" t="s">
        <v>29</v>
      </c>
      <c r="D336" s="191">
        <f t="shared" ref="D336:AE336" si="219">+D326/D$328</f>
        <v>3.7776421079466958E-2</v>
      </c>
      <c r="E336" s="191">
        <f t="shared" si="219"/>
        <v>3.8982411350058373E-2</v>
      </c>
      <c r="F336" s="191">
        <f t="shared" si="219"/>
        <v>1.5273780352811296E-2</v>
      </c>
      <c r="G336" s="191">
        <f t="shared" si="219"/>
        <v>2.7378447269981312E-2</v>
      </c>
      <c r="H336" s="191">
        <f t="shared" si="219"/>
        <v>2.9539391502260731E-2</v>
      </c>
      <c r="I336" s="191">
        <f t="shared" si="219"/>
        <v>9.4071741679873228E-3</v>
      </c>
      <c r="J336" s="191">
        <f t="shared" si="219"/>
        <v>-3.1976144859813121E-3</v>
      </c>
      <c r="K336" s="191">
        <f t="shared" si="219"/>
        <v>3.0239627710843372E-2</v>
      </c>
      <c r="L336" s="191">
        <f t="shared" si="219"/>
        <v>2.1876818926974663E-2</v>
      </c>
      <c r="M336" s="191">
        <f t="shared" si="219"/>
        <v>1.4816532476993865E-2</v>
      </c>
      <c r="N336" s="191">
        <f t="shared" si="219"/>
        <v>3.9376556508066887E-2</v>
      </c>
      <c r="O336" s="191">
        <f t="shared" si="219"/>
        <v>2.7108703116025951E-2</v>
      </c>
      <c r="P336" s="191">
        <f t="shared" si="219"/>
        <v>2.9781641937360631E-2</v>
      </c>
      <c r="Q336" s="191">
        <f t="shared" si="219"/>
        <v>3.1335189884313858E-2</v>
      </c>
      <c r="R336" s="191">
        <f t="shared" si="219"/>
        <v>3.2032758444444448E-2</v>
      </c>
      <c r="S336" s="191">
        <f t="shared" si="219"/>
        <v>2.9695236556718331E-2</v>
      </c>
      <c r="T336" s="191">
        <f t="shared" si="219"/>
        <v>2.6324110675303349E-2</v>
      </c>
      <c r="U336" s="191">
        <f t="shared" si="219"/>
        <v>2.6413172976771815E-2</v>
      </c>
      <c r="V336" s="191">
        <f t="shared" si="219"/>
        <v>2.4396747458478203E-2</v>
      </c>
      <c r="W336" s="191">
        <f t="shared" si="219"/>
        <v>2.6726604429795343E-2</v>
      </c>
      <c r="X336" s="191">
        <f t="shared" si="219"/>
        <v>2.4873148861349226E-2</v>
      </c>
      <c r="Y336" s="191">
        <f t="shared" si="219"/>
        <v>2.5960979026738291E-2</v>
      </c>
      <c r="Z336" s="191">
        <f t="shared" si="219"/>
        <v>2.3419079772237502E-2</v>
      </c>
      <c r="AA336" s="191">
        <f t="shared" si="219"/>
        <v>2.1706413921521554E-2</v>
      </c>
      <c r="AB336" s="191">
        <f t="shared" si="219"/>
        <v>2.392454947102431E-2</v>
      </c>
      <c r="AC336" s="191">
        <f t="shared" si="219"/>
        <v>2.1061791387349774E-2</v>
      </c>
      <c r="AD336" s="191">
        <f t="shared" si="219"/>
        <v>2.138990908969552E-2</v>
      </c>
      <c r="AE336" s="191">
        <f t="shared" si="219"/>
        <v>1.7059634974931841E-2</v>
      </c>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row>
    <row r="337" spans="1:59" ht="15.75" customHeight="1" x14ac:dyDescent="0.2">
      <c r="A337" s="209"/>
      <c r="B337" s="209"/>
      <c r="C337" s="190" t="s">
        <v>208</v>
      </c>
      <c r="D337" s="191">
        <f t="shared" ref="D337:AE337" si="220">+D327/D$328</f>
        <v>2.9590022681769714E-2</v>
      </c>
      <c r="E337" s="191">
        <f t="shared" si="220"/>
        <v>3.2156748440097298E-2</v>
      </c>
      <c r="F337" s="191">
        <f t="shared" si="220"/>
        <v>2.9518415871848985E-2</v>
      </c>
      <c r="G337" s="191">
        <f t="shared" si="220"/>
        <v>2.639512625970095E-2</v>
      </c>
      <c r="H337" s="191">
        <f t="shared" si="220"/>
        <v>2.9381075340322305E-2</v>
      </c>
      <c r="I337" s="191">
        <f t="shared" si="220"/>
        <v>2.7144845641838316E-2</v>
      </c>
      <c r="J337" s="191">
        <f t="shared" si="220"/>
        <v>1.158398037383178E-2</v>
      </c>
      <c r="K337" s="191">
        <f t="shared" si="220"/>
        <v>2.7950830421686793E-2</v>
      </c>
      <c r="L337" s="191">
        <f t="shared" si="220"/>
        <v>2.1677503129657171E-2</v>
      </c>
      <c r="M337" s="191">
        <f t="shared" si="220"/>
        <v>2.2112833205521435E-2</v>
      </c>
      <c r="N337" s="191">
        <f t="shared" si="220"/>
        <v>5.2578407299738603E-2</v>
      </c>
      <c r="O337" s="191">
        <f t="shared" si="220"/>
        <v>5.9141067938562608E-2</v>
      </c>
      <c r="P337" s="191">
        <f t="shared" si="220"/>
        <v>5.6960444885627598E-2</v>
      </c>
      <c r="Q337" s="191">
        <f t="shared" si="220"/>
        <v>4.7634841865053811E-2</v>
      </c>
      <c r="R337" s="191">
        <f t="shared" si="220"/>
        <v>3.1997901396825443E-2</v>
      </c>
      <c r="S337" s="191">
        <f t="shared" si="220"/>
        <v>3.1280454188270718E-2</v>
      </c>
      <c r="T337" s="191">
        <f t="shared" si="220"/>
        <v>3.0669181711341982E-2</v>
      </c>
      <c r="U337" s="191">
        <f t="shared" si="220"/>
        <v>3.027399506242685E-2</v>
      </c>
      <c r="V337" s="191">
        <f t="shared" si="220"/>
        <v>2.9225619368661995E-2</v>
      </c>
      <c r="W337" s="191">
        <f t="shared" si="220"/>
        <v>3.0369965037505258E-2</v>
      </c>
      <c r="X337" s="191">
        <f t="shared" si="220"/>
        <v>1.4483575151529942E-2</v>
      </c>
      <c r="Y337" s="191">
        <f t="shared" si="220"/>
        <v>-8.3306576369597009E-4</v>
      </c>
      <c r="Z337" s="191">
        <f t="shared" si="220"/>
        <v>6.8126618107406667E-3</v>
      </c>
      <c r="AA337" s="191">
        <f t="shared" si="220"/>
        <v>4.3495818747943133E-3</v>
      </c>
      <c r="AB337" s="191">
        <f t="shared" si="220"/>
        <v>6.2214954288438793E-3</v>
      </c>
      <c r="AC337" s="191">
        <f t="shared" si="220"/>
        <v>8.3114654432860195E-3</v>
      </c>
      <c r="AD337" s="191">
        <f t="shared" si="220"/>
        <v>6.0087029439260626E-3</v>
      </c>
      <c r="AE337" s="191">
        <f t="shared" si="220"/>
        <v>4.8897235156109952E-3</v>
      </c>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row>
    <row r="338" spans="1:59" ht="15.75" customHeight="1" x14ac:dyDescent="0.2">
      <c r="A338" s="209"/>
      <c r="B338" s="209"/>
      <c r="C338" s="19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row>
    <row r="339" spans="1:59" ht="15.75" customHeight="1" x14ac:dyDescent="0.2">
      <c r="A339" s="210"/>
      <c r="B339" s="211" t="s">
        <v>255</v>
      </c>
      <c r="C339" s="211"/>
      <c r="D339" s="158" t="s">
        <v>98</v>
      </c>
      <c r="E339" s="158" t="s">
        <v>99</v>
      </c>
      <c r="F339" s="158" t="s">
        <v>100</v>
      </c>
      <c r="G339" s="158" t="s">
        <v>101</v>
      </c>
      <c r="H339" s="159">
        <v>2018</v>
      </c>
      <c r="I339" s="158" t="s">
        <v>102</v>
      </c>
      <c r="J339" s="158" t="s">
        <v>103</v>
      </c>
      <c r="K339" s="158" t="s">
        <v>104</v>
      </c>
      <c r="L339" s="158" t="s">
        <v>105</v>
      </c>
      <c r="M339" s="159">
        <v>2019</v>
      </c>
      <c r="N339" s="158" t="s">
        <v>158</v>
      </c>
      <c r="O339" s="158" t="s">
        <v>107</v>
      </c>
      <c r="P339" s="158" t="s">
        <v>108</v>
      </c>
      <c r="Q339" s="158" t="s">
        <v>109</v>
      </c>
      <c r="R339" s="159">
        <v>2020</v>
      </c>
      <c r="S339" s="158" t="s">
        <v>110</v>
      </c>
      <c r="T339" s="158" t="s">
        <v>111</v>
      </c>
      <c r="U339" s="158" t="s">
        <v>112</v>
      </c>
      <c r="V339" s="158" t="s">
        <v>113</v>
      </c>
      <c r="W339" s="159">
        <v>2021</v>
      </c>
      <c r="X339" s="158" t="s">
        <v>114</v>
      </c>
      <c r="Y339" s="158" t="s">
        <v>115</v>
      </c>
      <c r="Z339" s="158" t="str">
        <f>$Z$4</f>
        <v>3Q22</v>
      </c>
      <c r="AA339" s="158" t="str">
        <f>$AA$4</f>
        <v>4Q22</v>
      </c>
      <c r="AB339" s="160">
        <v>2022</v>
      </c>
      <c r="AC339" s="158" t="str">
        <f t="shared" ref="AC339:AE339" si="221">AC$4</f>
        <v>1Q23</v>
      </c>
      <c r="AD339" s="158" t="str">
        <f t="shared" si="221"/>
        <v>2Q23</v>
      </c>
      <c r="AE339" s="158" t="str">
        <f t="shared" si="221"/>
        <v>3Q23</v>
      </c>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row>
    <row r="340" spans="1:59" ht="15.75" customHeight="1" x14ac:dyDescent="0.2">
      <c r="A340" s="241"/>
      <c r="B340" s="241"/>
      <c r="C340" s="242" t="s">
        <v>256</v>
      </c>
      <c r="D340" s="201">
        <f t="shared" ref="D340:AE340" si="222">(D344+D347)-D350</f>
        <v>5.5229999999999961</v>
      </c>
      <c r="E340" s="201">
        <f t="shared" si="222"/>
        <v>33.982000000000028</v>
      </c>
      <c r="F340" s="201">
        <f t="shared" si="222"/>
        <v>45.774000000000001</v>
      </c>
      <c r="G340" s="201">
        <f t="shared" si="222"/>
        <v>21.36</v>
      </c>
      <c r="H340" s="201">
        <f t="shared" si="222"/>
        <v>21.36</v>
      </c>
      <c r="I340" s="201">
        <f t="shared" si="222"/>
        <v>21.930999999999997</v>
      </c>
      <c r="J340" s="201">
        <f t="shared" si="222"/>
        <v>17.836000000000013</v>
      </c>
      <c r="K340" s="201">
        <f t="shared" si="222"/>
        <v>45.774000000000001</v>
      </c>
      <c r="L340" s="201">
        <f t="shared" si="222"/>
        <v>2.4470000000000027</v>
      </c>
      <c r="M340" s="201">
        <f t="shared" si="222"/>
        <v>2.4470000000000027</v>
      </c>
      <c r="N340" s="201">
        <f t="shared" si="222"/>
        <v>9.2839999999999918</v>
      </c>
      <c r="O340" s="201">
        <f t="shared" si="222"/>
        <v>-59.646000000000001</v>
      </c>
      <c r="P340" s="201">
        <f t="shared" si="222"/>
        <v>-5.8870000000000005</v>
      </c>
      <c r="Q340" s="201">
        <f t="shared" si="222"/>
        <v>9.0230000000000103</v>
      </c>
      <c r="R340" s="201">
        <f t="shared" si="222"/>
        <v>9.0230000000000103</v>
      </c>
      <c r="S340" s="201">
        <f t="shared" si="222"/>
        <v>200.25700000000001</v>
      </c>
      <c r="T340" s="201">
        <f t="shared" si="222"/>
        <v>214.21600000000001</v>
      </c>
      <c r="U340" s="201">
        <f t="shared" si="222"/>
        <v>240.89099999999996</v>
      </c>
      <c r="V340" s="201">
        <f t="shared" si="222"/>
        <v>182.75199999999995</v>
      </c>
      <c r="W340" s="201">
        <f t="shared" si="222"/>
        <v>182.75199999999995</v>
      </c>
      <c r="X340" s="201">
        <f t="shared" si="222"/>
        <v>212.61099999999999</v>
      </c>
      <c r="Y340" s="201">
        <f t="shared" si="222"/>
        <v>231.93799999999999</v>
      </c>
      <c r="Z340" s="201">
        <f t="shared" si="222"/>
        <v>259.02799999999996</v>
      </c>
      <c r="AA340" s="201">
        <f t="shared" si="222"/>
        <v>233.13399999999996</v>
      </c>
      <c r="AB340" s="201">
        <f t="shared" si="222"/>
        <v>233.13399999999996</v>
      </c>
      <c r="AC340" s="201">
        <f t="shared" si="222"/>
        <v>181.53399999999999</v>
      </c>
      <c r="AD340" s="201">
        <f t="shared" si="222"/>
        <v>215.89600000000004</v>
      </c>
      <c r="AE340" s="201">
        <f t="shared" si="222"/>
        <v>248.37899999999999</v>
      </c>
      <c r="AF340" s="241"/>
      <c r="AG340" s="241"/>
      <c r="AH340" s="241"/>
      <c r="AI340" s="241"/>
      <c r="AJ340" s="241"/>
      <c r="AK340" s="241"/>
      <c r="AL340" s="241"/>
      <c r="AM340" s="241"/>
      <c r="AN340" s="147"/>
      <c r="AO340" s="241"/>
      <c r="AP340" s="241"/>
      <c r="AQ340" s="241"/>
      <c r="AR340" s="241"/>
      <c r="AS340" s="241"/>
      <c r="AT340" s="241"/>
      <c r="AU340" s="241"/>
      <c r="AV340" s="241"/>
      <c r="AW340" s="241"/>
      <c r="AX340" s="241"/>
      <c r="AY340" s="241"/>
      <c r="AZ340" s="241"/>
      <c r="BA340" s="241"/>
      <c r="BB340" s="241"/>
      <c r="BC340" s="241"/>
      <c r="BD340" s="241"/>
      <c r="BE340" s="241"/>
      <c r="BF340" s="241"/>
      <c r="BG340" s="241"/>
    </row>
    <row r="341" spans="1:59" ht="15.75" customHeight="1" x14ac:dyDescent="0.2">
      <c r="A341" s="241"/>
      <c r="B341" s="241"/>
      <c r="C341" s="242" t="s">
        <v>257</v>
      </c>
      <c r="D341" s="201" t="s">
        <v>146</v>
      </c>
      <c r="E341" s="172">
        <f t="shared" ref="E341:G341" si="223">E340-D340</f>
        <v>28.459000000000032</v>
      </c>
      <c r="F341" s="172">
        <f t="shared" si="223"/>
        <v>11.791999999999973</v>
      </c>
      <c r="G341" s="172">
        <f t="shared" si="223"/>
        <v>-24.414000000000001</v>
      </c>
      <c r="H341" s="172">
        <f>SUM(D341:G341)</f>
        <v>15.837000000000003</v>
      </c>
      <c r="I341" s="172">
        <f t="shared" ref="I341:L341" si="224">I340-H340</f>
        <v>0.57099999999999795</v>
      </c>
      <c r="J341" s="172">
        <f t="shared" si="224"/>
        <v>-4.0949999999999847</v>
      </c>
      <c r="K341" s="172">
        <f t="shared" si="224"/>
        <v>27.937999999999988</v>
      </c>
      <c r="L341" s="172">
        <f t="shared" si="224"/>
        <v>-43.326999999999998</v>
      </c>
      <c r="M341" s="172">
        <f>SUM(I341:L341)</f>
        <v>-18.912999999999997</v>
      </c>
      <c r="N341" s="172">
        <f t="shared" ref="N341:Q341" si="225">N340-M340</f>
        <v>6.8369999999999891</v>
      </c>
      <c r="O341" s="172">
        <f t="shared" si="225"/>
        <v>-68.929999999999993</v>
      </c>
      <c r="P341" s="172">
        <f t="shared" si="225"/>
        <v>53.759</v>
      </c>
      <c r="Q341" s="172">
        <f t="shared" si="225"/>
        <v>14.910000000000011</v>
      </c>
      <c r="R341" s="172">
        <f>SUM(N341:Q341)</f>
        <v>6.5760000000000076</v>
      </c>
      <c r="S341" s="172">
        <f t="shared" ref="S341:V341" si="226">S340-R340</f>
        <v>191.23399999999998</v>
      </c>
      <c r="T341" s="172">
        <f t="shared" si="226"/>
        <v>13.959000000000003</v>
      </c>
      <c r="U341" s="172">
        <f t="shared" si="226"/>
        <v>26.674999999999955</v>
      </c>
      <c r="V341" s="172">
        <f t="shared" si="226"/>
        <v>-58.13900000000001</v>
      </c>
      <c r="W341" s="172">
        <f>SUM(S341:V341)</f>
        <v>173.72899999999993</v>
      </c>
      <c r="X341" s="172">
        <f t="shared" ref="X341:AA341" si="227">X340-W340</f>
        <v>29.859000000000037</v>
      </c>
      <c r="Y341" s="172">
        <f t="shared" si="227"/>
        <v>19.326999999999998</v>
      </c>
      <c r="Z341" s="172">
        <f t="shared" si="227"/>
        <v>27.089999999999975</v>
      </c>
      <c r="AA341" s="172">
        <f t="shared" si="227"/>
        <v>-25.894000000000005</v>
      </c>
      <c r="AB341" s="172">
        <f>SUM(X341:AA341)</f>
        <v>50.382000000000005</v>
      </c>
      <c r="AC341" s="172">
        <f t="shared" ref="AC341:AE341" si="228">AC340-AB340</f>
        <v>-51.599999999999966</v>
      </c>
      <c r="AD341" s="172">
        <f t="shared" si="228"/>
        <v>34.362000000000052</v>
      </c>
      <c r="AE341" s="172">
        <f t="shared" si="228"/>
        <v>32.482999999999947</v>
      </c>
      <c r="AF341" s="241"/>
      <c r="AG341" s="241"/>
      <c r="AH341" s="241"/>
      <c r="AI341" s="241"/>
      <c r="AJ341" s="241"/>
      <c r="AK341" s="241"/>
      <c r="AL341" s="241"/>
      <c r="AM341" s="241"/>
      <c r="AN341" s="147"/>
      <c r="AO341" s="241"/>
      <c r="AP341" s="241"/>
      <c r="AQ341" s="241"/>
      <c r="AR341" s="241"/>
      <c r="AS341" s="241"/>
      <c r="AT341" s="241"/>
      <c r="AU341" s="241"/>
      <c r="AV341" s="241"/>
      <c r="AW341" s="241"/>
      <c r="AX341" s="241"/>
      <c r="AY341" s="241"/>
      <c r="AZ341" s="241"/>
      <c r="BA341" s="241"/>
      <c r="BB341" s="241"/>
      <c r="BC341" s="241"/>
      <c r="BD341" s="241"/>
      <c r="BE341" s="241"/>
      <c r="BF341" s="241"/>
      <c r="BG341" s="241"/>
    </row>
    <row r="342" spans="1:59" ht="15.75" customHeight="1" x14ac:dyDescent="0.2">
      <c r="A342" s="241"/>
      <c r="B342" s="241"/>
      <c r="C342" s="242" t="s">
        <v>258</v>
      </c>
      <c r="D342" s="201" t="s">
        <v>146</v>
      </c>
      <c r="E342" s="243">
        <f t="shared" ref="E342:AE342" si="229">E340/E5</f>
        <v>8.16737091595931E-2</v>
      </c>
      <c r="F342" s="243">
        <f t="shared" si="229"/>
        <v>0.10141971283046194</v>
      </c>
      <c r="G342" s="243">
        <f t="shared" si="229"/>
        <v>5.0522146294438033E-2</v>
      </c>
      <c r="H342" s="243">
        <f t="shared" si="229"/>
        <v>1.2733463118468621E-2</v>
      </c>
      <c r="I342" s="243">
        <f t="shared" si="229"/>
        <v>5.7888987237107233E-2</v>
      </c>
      <c r="J342" s="243">
        <f t="shared" si="229"/>
        <v>4.6092602627990274E-2</v>
      </c>
      <c r="K342" s="243">
        <f t="shared" si="229"/>
        <v>0.1086366167050466</v>
      </c>
      <c r="L342" s="243">
        <f t="shared" si="229"/>
        <v>5.8953874427044315E-3</v>
      </c>
      <c r="M342" s="243">
        <f t="shared" si="229"/>
        <v>1.5272503536815623E-3</v>
      </c>
      <c r="N342" s="243">
        <f t="shared" si="229"/>
        <v>2.2845088697492626E-2</v>
      </c>
      <c r="O342" s="243">
        <f t="shared" si="229"/>
        <v>-0.13333639664147356</v>
      </c>
      <c r="P342" s="243">
        <f t="shared" si="229"/>
        <v>-1.2417183988880169E-2</v>
      </c>
      <c r="Q342" s="243">
        <f t="shared" si="229"/>
        <v>1.8498182782754554E-2</v>
      </c>
      <c r="R342" s="243">
        <f t="shared" si="229"/>
        <v>4.9696994957819009E-3</v>
      </c>
      <c r="S342" s="243">
        <f t="shared" si="229"/>
        <v>0.39491744877136398</v>
      </c>
      <c r="T342" s="243">
        <f t="shared" si="229"/>
        <v>0.4200330413650008</v>
      </c>
      <c r="U342" s="243">
        <f t="shared" si="229"/>
        <v>0.44287413787749469</v>
      </c>
      <c r="V342" s="243">
        <f t="shared" si="229"/>
        <v>0.31634163206659038</v>
      </c>
      <c r="W342" s="243">
        <f t="shared" si="229"/>
        <v>8.5449448756172122E-2</v>
      </c>
      <c r="X342" s="243">
        <f t="shared" si="229"/>
        <v>0.40174569385130249</v>
      </c>
      <c r="Y342" s="243">
        <f t="shared" si="229"/>
        <v>0.42985671110933504</v>
      </c>
      <c r="Z342" s="243">
        <f t="shared" si="229"/>
        <v>0.41840954428613114</v>
      </c>
      <c r="AA342" s="243">
        <f t="shared" si="229"/>
        <v>0.39918432459211678</v>
      </c>
      <c r="AB342" s="243">
        <f t="shared" si="229"/>
        <v>0.10261667535293124</v>
      </c>
      <c r="AC342" s="243">
        <f t="shared" si="229"/>
        <v>0.31834727049484657</v>
      </c>
      <c r="AD342" s="243">
        <f t="shared" si="229"/>
        <v>0.36374624314873055</v>
      </c>
      <c r="AE342" s="243">
        <f t="shared" si="229"/>
        <v>0.40152770047760489</v>
      </c>
      <c r="AF342" s="241"/>
      <c r="AG342" s="241"/>
      <c r="AH342" s="241"/>
      <c r="AI342" s="241"/>
      <c r="AJ342" s="241"/>
      <c r="AK342" s="241"/>
      <c r="AL342" s="241"/>
      <c r="AM342" s="241"/>
      <c r="AN342" s="147"/>
      <c r="AO342" s="241"/>
      <c r="AP342" s="241"/>
      <c r="AQ342" s="241"/>
      <c r="AR342" s="241"/>
      <c r="AS342" s="241"/>
      <c r="AT342" s="241"/>
      <c r="AU342" s="241"/>
      <c r="AV342" s="241"/>
      <c r="AW342" s="241"/>
      <c r="AX342" s="241"/>
      <c r="AY342" s="241"/>
      <c r="AZ342" s="241"/>
      <c r="BA342" s="241"/>
      <c r="BB342" s="241"/>
      <c r="BC342" s="241"/>
      <c r="BD342" s="241"/>
      <c r="BE342" s="241"/>
      <c r="BF342" s="241"/>
      <c r="BG342" s="241"/>
    </row>
    <row r="343" spans="1:59" ht="15.75" customHeight="1" x14ac:dyDescent="0.2">
      <c r="A343" s="209"/>
      <c r="B343" s="209"/>
      <c r="C343" s="222"/>
      <c r="D343" s="223"/>
      <c r="E343" s="223"/>
      <c r="F343" s="223"/>
      <c r="G343" s="223"/>
      <c r="H343" s="223"/>
      <c r="I343" s="223"/>
      <c r="J343" s="223"/>
      <c r="K343" s="223"/>
      <c r="L343" s="223"/>
      <c r="M343" s="223"/>
      <c r="N343" s="223"/>
      <c r="O343" s="223"/>
      <c r="P343" s="223"/>
      <c r="Q343" s="223"/>
      <c r="R343" s="224"/>
      <c r="S343" s="223"/>
      <c r="T343" s="223"/>
      <c r="U343" s="223"/>
      <c r="V343" s="223"/>
      <c r="W343" s="223"/>
      <c r="X343" s="223"/>
      <c r="Y343" s="223"/>
      <c r="Z343" s="223"/>
      <c r="AA343" s="223"/>
      <c r="AB343" s="223"/>
      <c r="AC343" s="223"/>
      <c r="AD343" s="223"/>
      <c r="AE343" s="223"/>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row>
    <row r="344" spans="1:59" ht="15.75" customHeight="1" x14ac:dyDescent="0.2">
      <c r="A344" s="241"/>
      <c r="B344" s="241"/>
      <c r="C344" s="242" t="s">
        <v>259</v>
      </c>
      <c r="D344" s="172">
        <f t="shared" ref="D344:AE344" si="230">(D375)/1000</f>
        <v>107.98</v>
      </c>
      <c r="E344" s="172">
        <f t="shared" si="230"/>
        <v>114.93300000000001</v>
      </c>
      <c r="F344" s="172">
        <f t="shared" si="230"/>
        <v>75.245999999999995</v>
      </c>
      <c r="G344" s="172">
        <f t="shared" si="230"/>
        <v>61.707000000000001</v>
      </c>
      <c r="H344" s="172">
        <f t="shared" si="230"/>
        <v>61.707000000000001</v>
      </c>
      <c r="I344" s="172">
        <f t="shared" si="230"/>
        <v>57.7</v>
      </c>
      <c r="J344" s="172">
        <f t="shared" si="230"/>
        <v>48.95</v>
      </c>
      <c r="K344" s="172">
        <f t="shared" si="230"/>
        <v>75.245999999999995</v>
      </c>
      <c r="L344" s="172">
        <f t="shared" si="230"/>
        <v>38.601999999999997</v>
      </c>
      <c r="M344" s="172">
        <f t="shared" si="230"/>
        <v>38.601999999999997</v>
      </c>
      <c r="N344" s="172">
        <f t="shared" si="230"/>
        <v>36.088000000000001</v>
      </c>
      <c r="O344" s="172">
        <f t="shared" si="230"/>
        <v>31.215</v>
      </c>
      <c r="P344" s="172">
        <f t="shared" si="230"/>
        <v>42.572000000000003</v>
      </c>
      <c r="Q344" s="172">
        <f t="shared" si="230"/>
        <v>35.348999999999997</v>
      </c>
      <c r="R344" s="172">
        <f t="shared" si="230"/>
        <v>35.348999999999997</v>
      </c>
      <c r="S344" s="172">
        <f t="shared" si="230"/>
        <v>295.14800000000002</v>
      </c>
      <c r="T344" s="172">
        <f t="shared" si="230"/>
        <v>248.02600000000001</v>
      </c>
      <c r="U344" s="172">
        <f t="shared" si="230"/>
        <v>263.57299999999998</v>
      </c>
      <c r="V344" s="172">
        <f t="shared" si="230"/>
        <v>273.97199999999998</v>
      </c>
      <c r="W344" s="172">
        <f t="shared" si="230"/>
        <v>273.97199999999998</v>
      </c>
      <c r="X344" s="172">
        <f t="shared" si="230"/>
        <v>242.738</v>
      </c>
      <c r="Y344" s="172">
        <f t="shared" si="230"/>
        <v>253.66499999999999</v>
      </c>
      <c r="Z344" s="172">
        <f t="shared" si="230"/>
        <v>289.00099999999998</v>
      </c>
      <c r="AA344" s="172">
        <f t="shared" si="230"/>
        <v>284.55599999999998</v>
      </c>
      <c r="AB344" s="172">
        <f t="shared" si="230"/>
        <v>284.55599999999998</v>
      </c>
      <c r="AC344" s="172">
        <f t="shared" si="230"/>
        <v>257.42</v>
      </c>
      <c r="AD344" s="172">
        <f t="shared" si="230"/>
        <v>291.12</v>
      </c>
      <c r="AE344" s="172">
        <f t="shared" si="230"/>
        <v>301.065</v>
      </c>
      <c r="AF344" s="241"/>
      <c r="AG344" s="241"/>
      <c r="AH344" s="241"/>
      <c r="AI344" s="241"/>
      <c r="AJ344" s="241"/>
      <c r="AK344" s="241"/>
      <c r="AL344" s="241"/>
      <c r="AM344" s="241"/>
      <c r="AN344" s="195"/>
      <c r="AO344" s="241"/>
      <c r="AP344" s="241"/>
      <c r="AQ344" s="241"/>
      <c r="AR344" s="241"/>
      <c r="AS344" s="241"/>
      <c r="AT344" s="241"/>
      <c r="AU344" s="241"/>
      <c r="AV344" s="241"/>
      <c r="AW344" s="241"/>
      <c r="AX344" s="241"/>
      <c r="AY344" s="241"/>
      <c r="AZ344" s="241"/>
      <c r="BA344" s="241"/>
      <c r="BB344" s="241"/>
      <c r="BC344" s="241"/>
      <c r="BD344" s="241"/>
      <c r="BE344" s="241"/>
      <c r="BF344" s="241"/>
      <c r="BG344" s="241"/>
    </row>
    <row r="345" spans="1:59" ht="15.75" customHeight="1" x14ac:dyDescent="0.2">
      <c r="A345" s="241"/>
      <c r="B345" s="241"/>
      <c r="C345" s="242" t="s">
        <v>260</v>
      </c>
      <c r="D345" s="172">
        <f t="shared" ref="D345:G345" si="231">(D344*365/4)/D5</f>
        <v>25.441841421891013</v>
      </c>
      <c r="E345" s="172">
        <f t="shared" si="231"/>
        <v>25.206407888120328</v>
      </c>
      <c r="F345" s="172">
        <f t="shared" si="231"/>
        <v>15.213172951615231</v>
      </c>
      <c r="G345" s="172">
        <f t="shared" si="231"/>
        <v>13.318271063994311</v>
      </c>
      <c r="H345" s="172">
        <f>(H344*365)/H5</f>
        <v>13.42680197367698</v>
      </c>
      <c r="I345" s="172">
        <f t="shared" ref="I345:L345" si="232">(I344*365/4)/I5</f>
        <v>13.897804656731305</v>
      </c>
      <c r="J345" s="172">
        <f t="shared" si="232"/>
        <v>11.543017044231394</v>
      </c>
      <c r="K345" s="172">
        <f t="shared" si="232"/>
        <v>16.29572390502576</v>
      </c>
      <c r="L345" s="172">
        <f t="shared" si="232"/>
        <v>8.4863524022370065</v>
      </c>
      <c r="M345" s="172">
        <f>(M344*365)/M5</f>
        <v>8.7938476198519382</v>
      </c>
      <c r="N345" s="172">
        <f t="shared" ref="N345:Q345" si="233">(N344*365/4)/N5</f>
        <v>8.1031411496665449</v>
      </c>
      <c r="O345" s="172">
        <f t="shared" si="233"/>
        <v>6.3674215442976605</v>
      </c>
      <c r="P345" s="172">
        <f t="shared" si="233"/>
        <v>8.1938122228100632</v>
      </c>
      <c r="Q345" s="172">
        <f t="shared" si="233"/>
        <v>6.6128415178840276</v>
      </c>
      <c r="R345" s="172">
        <f>(R344*365)/R5</f>
        <v>7.1063921344213545</v>
      </c>
      <c r="S345" s="172">
        <f t="shared" ref="S345:V345" si="234">(S344*365/4)/S5</f>
        <v>53.111838458879397</v>
      </c>
      <c r="T345" s="172">
        <f t="shared" si="234"/>
        <v>44.377377294322585</v>
      </c>
      <c r="U345" s="172">
        <f t="shared" si="234"/>
        <v>44.217434209991751</v>
      </c>
      <c r="V345" s="172">
        <f t="shared" si="234"/>
        <v>43.274620266125673</v>
      </c>
      <c r="W345" s="172">
        <f>(W344*365)/W5</f>
        <v>46.756949728257354</v>
      </c>
      <c r="X345" s="172">
        <f t="shared" ref="X345:AA345" si="235">(X344*365/4)/X5</f>
        <v>41.853920276277186</v>
      </c>
      <c r="Y345" s="172">
        <f t="shared" si="235"/>
        <v>42.898808040937183</v>
      </c>
      <c r="Z345" s="172">
        <f t="shared" si="235"/>
        <v>42.597792032624092</v>
      </c>
      <c r="AA345" s="172">
        <f t="shared" si="235"/>
        <v>44.459900265567825</v>
      </c>
      <c r="AB345" s="172">
        <f>(AB344*365)/AB5</f>
        <v>45.716496071705443</v>
      </c>
      <c r="AC345" s="172">
        <f t="shared" ref="AC345:AE345" si="236">(AC344*365/4)/AC5</f>
        <v>41.192515376370189</v>
      </c>
      <c r="AD345" s="172">
        <f t="shared" si="236"/>
        <v>44.756780233876874</v>
      </c>
      <c r="AE345" s="172">
        <f t="shared" si="236"/>
        <v>44.4113301221781</v>
      </c>
      <c r="AF345" s="241"/>
      <c r="AG345" s="241"/>
      <c r="AH345" s="241"/>
      <c r="AI345" s="241"/>
      <c r="AJ345" s="241"/>
      <c r="AK345" s="241"/>
      <c r="AL345" s="241"/>
      <c r="AM345" s="241"/>
      <c r="AN345" s="147"/>
      <c r="AO345" s="241"/>
      <c r="AP345" s="241"/>
      <c r="AQ345" s="241"/>
      <c r="AR345" s="241"/>
      <c r="AS345" s="241"/>
      <c r="AT345" s="241"/>
      <c r="AU345" s="241"/>
      <c r="AV345" s="241"/>
      <c r="AW345" s="241"/>
      <c r="AX345" s="241"/>
      <c r="AY345" s="241"/>
      <c r="AZ345" s="241"/>
      <c r="BA345" s="241"/>
      <c r="BB345" s="241"/>
      <c r="BC345" s="241"/>
      <c r="BD345" s="241"/>
      <c r="BE345" s="241"/>
      <c r="BF345" s="241"/>
      <c r="BG345" s="241"/>
    </row>
    <row r="346" spans="1:59" ht="15.75" customHeight="1" x14ac:dyDescent="0.2">
      <c r="A346" s="209"/>
      <c r="B346" s="209"/>
      <c r="C346" s="222"/>
      <c r="D346" s="223"/>
      <c r="E346" s="223"/>
      <c r="F346" s="223"/>
      <c r="G346" s="223"/>
      <c r="H346" s="223"/>
      <c r="I346" s="223"/>
      <c r="J346" s="223"/>
      <c r="K346" s="223"/>
      <c r="L346" s="223"/>
      <c r="M346" s="223"/>
      <c r="N346" s="223"/>
      <c r="O346" s="223"/>
      <c r="P346" s="223"/>
      <c r="Q346" s="223"/>
      <c r="R346" s="224"/>
      <c r="S346" s="223"/>
      <c r="T346" s="223"/>
      <c r="U346" s="223"/>
      <c r="V346" s="223"/>
      <c r="W346" s="223"/>
      <c r="X346" s="223"/>
      <c r="Y346" s="223"/>
      <c r="Z346" s="223"/>
      <c r="AA346" s="223"/>
      <c r="AB346" s="223"/>
      <c r="AC346" s="223"/>
      <c r="AD346" s="223"/>
      <c r="AE346" s="223"/>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row>
    <row r="347" spans="1:59" ht="15.75" customHeight="1" x14ac:dyDescent="0.2">
      <c r="A347" s="241"/>
      <c r="B347" s="241"/>
      <c r="C347" s="242" t="s">
        <v>261</v>
      </c>
      <c r="D347" s="172">
        <f t="shared" ref="D347:AE347" si="237">(D376)/1000</f>
        <v>50.09</v>
      </c>
      <c r="E347" s="172">
        <f t="shared" si="237"/>
        <v>53.695999999999998</v>
      </c>
      <c r="F347" s="172">
        <f t="shared" si="237"/>
        <v>52.402999999999999</v>
      </c>
      <c r="G347" s="172">
        <f t="shared" si="237"/>
        <v>42.137999999999998</v>
      </c>
      <c r="H347" s="172">
        <f t="shared" si="237"/>
        <v>42.137999999999998</v>
      </c>
      <c r="I347" s="172">
        <f t="shared" si="237"/>
        <v>42.006</v>
      </c>
      <c r="J347" s="172">
        <f t="shared" si="237"/>
        <v>43.779000000000003</v>
      </c>
      <c r="K347" s="172">
        <f t="shared" si="237"/>
        <v>52.402999999999999</v>
      </c>
      <c r="L347" s="172">
        <f t="shared" si="237"/>
        <v>42.350999999999999</v>
      </c>
      <c r="M347" s="172">
        <f t="shared" si="237"/>
        <v>42.350999999999999</v>
      </c>
      <c r="N347" s="172">
        <f t="shared" si="237"/>
        <v>50.421999999999997</v>
      </c>
      <c r="O347" s="172">
        <f t="shared" si="237"/>
        <v>51.896000000000001</v>
      </c>
      <c r="P347" s="172">
        <f t="shared" si="237"/>
        <v>57.947000000000003</v>
      </c>
      <c r="Q347" s="172">
        <f t="shared" si="237"/>
        <v>61.134</v>
      </c>
      <c r="R347" s="172">
        <f t="shared" si="237"/>
        <v>61.134</v>
      </c>
      <c r="S347" s="172">
        <f t="shared" si="237"/>
        <v>64.954999999999998</v>
      </c>
      <c r="T347" s="172">
        <f t="shared" si="237"/>
        <v>63.317999999999998</v>
      </c>
      <c r="U347" s="172">
        <f t="shared" si="237"/>
        <v>74.926000000000002</v>
      </c>
      <c r="V347" s="172">
        <f t="shared" si="237"/>
        <v>68.626000000000005</v>
      </c>
      <c r="W347" s="172">
        <f t="shared" si="237"/>
        <v>68.626000000000005</v>
      </c>
      <c r="X347" s="172">
        <f t="shared" si="237"/>
        <v>69.206999999999994</v>
      </c>
      <c r="Y347" s="172">
        <f t="shared" si="237"/>
        <v>82.992000000000004</v>
      </c>
      <c r="Z347" s="172">
        <f t="shared" si="237"/>
        <v>87.591999999999999</v>
      </c>
      <c r="AA347" s="172">
        <f t="shared" si="237"/>
        <v>91.72</v>
      </c>
      <c r="AB347" s="172">
        <f t="shared" si="237"/>
        <v>91.72</v>
      </c>
      <c r="AC347" s="172">
        <f t="shared" si="237"/>
        <v>79.84</v>
      </c>
      <c r="AD347" s="172">
        <f t="shared" si="237"/>
        <v>79.671999999999997</v>
      </c>
      <c r="AE347" s="172">
        <f t="shared" si="237"/>
        <v>81.850999999999999</v>
      </c>
      <c r="AF347" s="241"/>
      <c r="AG347" s="241"/>
      <c r="AH347" s="241"/>
      <c r="AI347" s="241"/>
      <c r="AJ347" s="241"/>
      <c r="AK347" s="241"/>
      <c r="AL347" s="241"/>
      <c r="AM347" s="241"/>
      <c r="AN347" s="147"/>
      <c r="AO347" s="241"/>
      <c r="AP347" s="241"/>
      <c r="AQ347" s="241"/>
      <c r="AR347" s="241"/>
      <c r="AS347" s="241"/>
      <c r="AT347" s="241"/>
      <c r="AU347" s="241"/>
      <c r="AV347" s="241"/>
      <c r="AW347" s="241"/>
      <c r="AX347" s="241"/>
      <c r="AY347" s="241"/>
      <c r="AZ347" s="241"/>
      <c r="BA347" s="241"/>
      <c r="BB347" s="241"/>
      <c r="BC347" s="241"/>
      <c r="BD347" s="241"/>
      <c r="BE347" s="241"/>
      <c r="BF347" s="241"/>
      <c r="BG347" s="241"/>
    </row>
    <row r="348" spans="1:59" ht="15.75" customHeight="1" x14ac:dyDescent="0.2">
      <c r="A348" s="241"/>
      <c r="B348" s="241"/>
      <c r="C348" s="242" t="s">
        <v>262</v>
      </c>
      <c r="D348" s="201">
        <f t="shared" ref="D348:S348" si="238">(D347*365/4)/D6</f>
        <v>-17.987849271940185</v>
      </c>
      <c r="E348" s="201">
        <f t="shared" si="238"/>
        <v>-17.325884016973127</v>
      </c>
      <c r="F348" s="201">
        <f t="shared" si="238"/>
        <v>-17.684074519230773</v>
      </c>
      <c r="G348" s="201">
        <f t="shared" si="238"/>
        <v>-13.572511471937874</v>
      </c>
      <c r="H348" s="201">
        <f t="shared" si="238"/>
        <v>-3.5256670640014671</v>
      </c>
      <c r="I348" s="201">
        <f t="shared" si="238"/>
        <v>-16.105241596638656</v>
      </c>
      <c r="J348" s="201">
        <f t="shared" si="238"/>
        <v>-15.49586404189294</v>
      </c>
      <c r="K348" s="201">
        <f t="shared" si="238"/>
        <v>-19.866114457831326</v>
      </c>
      <c r="L348" s="201">
        <f t="shared" si="238"/>
        <v>-14.932491306027821</v>
      </c>
      <c r="M348" s="201">
        <f t="shared" si="238"/>
        <v>-3.8827778056867279</v>
      </c>
      <c r="N348" s="201">
        <f t="shared" si="238"/>
        <v>-18.78298425125227</v>
      </c>
      <c r="O348" s="201">
        <f t="shared" si="238"/>
        <v>-19.159013418043472</v>
      </c>
      <c r="P348" s="201">
        <f t="shared" si="238"/>
        <v>-19.720658541854824</v>
      </c>
      <c r="Q348" s="201">
        <f t="shared" si="238"/>
        <v>-17.546702960484701</v>
      </c>
      <c r="R348" s="201">
        <f t="shared" si="238"/>
        <v>-5.1400610053812539</v>
      </c>
      <c r="S348" s="201">
        <f t="shared" si="238"/>
        <v>-22.196554928049633</v>
      </c>
      <c r="T348" s="201">
        <f t="shared" ref="T348:AE348" si="239">(S347*365/4)/T6</f>
        <v>-20.302678335270723</v>
      </c>
      <c r="U348" s="201">
        <f t="shared" si="239"/>
        <v>-18.655356264723686</v>
      </c>
      <c r="V348" s="201">
        <f t="shared" si="239"/>
        <v>-18.155567866433039</v>
      </c>
      <c r="W348" s="201">
        <f t="shared" si="239"/>
        <v>-5.0287311330287183</v>
      </c>
      <c r="X348" s="201">
        <f t="shared" si="239"/>
        <v>-20.08712547676847</v>
      </c>
      <c r="Y348" s="201">
        <f t="shared" si="239"/>
        <v>-19.708118183068805</v>
      </c>
      <c r="Z348" s="201">
        <f t="shared" si="239"/>
        <v>-21.134208868629685</v>
      </c>
      <c r="AA348" s="201">
        <f t="shared" si="239"/>
        <v>-22.206210531443929</v>
      </c>
      <c r="AB348" s="201">
        <f t="shared" si="239"/>
        <v>-6.1977685538192402</v>
      </c>
      <c r="AC348" s="201">
        <f t="shared" si="239"/>
        <v>-24.409829031555844</v>
      </c>
      <c r="AD348" s="201">
        <f t="shared" si="239"/>
        <v>-20.076121685736325</v>
      </c>
      <c r="AE348" s="201">
        <f t="shared" si="239"/>
        <v>-20.724963954806999</v>
      </c>
      <c r="AF348" s="241"/>
      <c r="AG348" s="241"/>
      <c r="AH348" s="241"/>
      <c r="AI348" s="241"/>
      <c r="AJ348" s="241"/>
      <c r="AK348" s="241"/>
      <c r="AL348" s="241"/>
      <c r="AM348" s="241"/>
      <c r="AN348" s="147"/>
      <c r="AO348" s="241"/>
      <c r="AP348" s="241"/>
      <c r="AQ348" s="241"/>
      <c r="AR348" s="241"/>
      <c r="AS348" s="241"/>
      <c r="AT348" s="241"/>
      <c r="AU348" s="241"/>
      <c r="AV348" s="241"/>
      <c r="AW348" s="241"/>
      <c r="AX348" s="241"/>
      <c r="AY348" s="241"/>
      <c r="AZ348" s="241"/>
      <c r="BA348" s="241"/>
      <c r="BB348" s="241"/>
      <c r="BC348" s="241"/>
      <c r="BD348" s="241"/>
      <c r="BE348" s="241"/>
      <c r="BF348" s="241"/>
      <c r="BG348" s="241"/>
    </row>
    <row r="349" spans="1:59" ht="15.75" customHeight="1" x14ac:dyDescent="0.2">
      <c r="A349" s="209"/>
      <c r="B349" s="209"/>
      <c r="C349" s="222"/>
      <c r="D349" s="223"/>
      <c r="E349" s="223"/>
      <c r="F349" s="223"/>
      <c r="G349" s="223"/>
      <c r="H349" s="223"/>
      <c r="I349" s="223"/>
      <c r="J349" s="223"/>
      <c r="K349" s="223"/>
      <c r="L349" s="223"/>
      <c r="M349" s="223"/>
      <c r="N349" s="223"/>
      <c r="O349" s="223"/>
      <c r="P349" s="223"/>
      <c r="Q349" s="223"/>
      <c r="R349" s="224"/>
      <c r="S349" s="223"/>
      <c r="T349" s="223"/>
      <c r="U349" s="223"/>
      <c r="V349" s="223"/>
      <c r="W349" s="223"/>
      <c r="X349" s="223"/>
      <c r="Y349" s="223"/>
      <c r="Z349" s="223"/>
      <c r="AA349" s="223"/>
      <c r="AB349" s="223"/>
      <c r="AC349" s="223"/>
      <c r="AD349" s="223"/>
      <c r="AE349" s="223"/>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row>
    <row r="350" spans="1:59" ht="15.75" customHeight="1" x14ac:dyDescent="0.2">
      <c r="A350" s="241"/>
      <c r="B350" s="241"/>
      <c r="C350" s="242" t="s">
        <v>263</v>
      </c>
      <c r="D350" s="172">
        <f t="shared" ref="D350:AE350" si="240">(D398)/1000</f>
        <v>152.547</v>
      </c>
      <c r="E350" s="172">
        <f t="shared" si="240"/>
        <v>134.64699999999999</v>
      </c>
      <c r="F350" s="172">
        <f t="shared" si="240"/>
        <v>81.875</v>
      </c>
      <c r="G350" s="172">
        <f t="shared" si="240"/>
        <v>82.484999999999999</v>
      </c>
      <c r="H350" s="172">
        <f t="shared" si="240"/>
        <v>82.484999999999999</v>
      </c>
      <c r="I350" s="172">
        <f t="shared" si="240"/>
        <v>77.775000000000006</v>
      </c>
      <c r="J350" s="172">
        <f t="shared" si="240"/>
        <v>74.893000000000001</v>
      </c>
      <c r="K350" s="172">
        <f t="shared" si="240"/>
        <v>81.875</v>
      </c>
      <c r="L350" s="172">
        <f t="shared" si="240"/>
        <v>78.506</v>
      </c>
      <c r="M350" s="172">
        <f t="shared" si="240"/>
        <v>78.506</v>
      </c>
      <c r="N350" s="172">
        <f t="shared" si="240"/>
        <v>77.225999999999999</v>
      </c>
      <c r="O350" s="172">
        <f t="shared" si="240"/>
        <v>142.75700000000001</v>
      </c>
      <c r="P350" s="172">
        <f t="shared" si="240"/>
        <v>106.40600000000001</v>
      </c>
      <c r="Q350" s="172">
        <f t="shared" si="240"/>
        <v>87.46</v>
      </c>
      <c r="R350" s="172">
        <f t="shared" si="240"/>
        <v>87.46</v>
      </c>
      <c r="S350" s="172">
        <f t="shared" si="240"/>
        <v>159.846</v>
      </c>
      <c r="T350" s="172">
        <f t="shared" si="240"/>
        <v>97.128</v>
      </c>
      <c r="U350" s="172">
        <f t="shared" si="240"/>
        <v>97.608000000000004</v>
      </c>
      <c r="V350" s="172">
        <f t="shared" si="240"/>
        <v>159.846</v>
      </c>
      <c r="W350" s="172">
        <f t="shared" si="240"/>
        <v>159.846</v>
      </c>
      <c r="X350" s="172">
        <f t="shared" si="240"/>
        <v>99.334000000000003</v>
      </c>
      <c r="Y350" s="172">
        <f t="shared" si="240"/>
        <v>104.71899999999999</v>
      </c>
      <c r="Z350" s="172">
        <f t="shared" si="240"/>
        <v>117.565</v>
      </c>
      <c r="AA350" s="172">
        <f t="shared" si="240"/>
        <v>143.142</v>
      </c>
      <c r="AB350" s="172">
        <f t="shared" si="240"/>
        <v>143.142</v>
      </c>
      <c r="AC350" s="172">
        <f t="shared" si="240"/>
        <v>155.726</v>
      </c>
      <c r="AD350" s="172">
        <f t="shared" si="240"/>
        <v>154.89599999999999</v>
      </c>
      <c r="AE350" s="172">
        <f t="shared" si="240"/>
        <v>134.53700000000001</v>
      </c>
      <c r="AF350" s="172"/>
      <c r="AG350" s="241"/>
      <c r="AH350" s="241"/>
      <c r="AI350" s="241"/>
      <c r="AJ350" s="241"/>
      <c r="AK350" s="241"/>
      <c r="AL350" s="241"/>
      <c r="AM350" s="241"/>
      <c r="AN350" s="147"/>
      <c r="AO350" s="241"/>
      <c r="AP350" s="241"/>
      <c r="AQ350" s="241"/>
      <c r="AR350" s="241"/>
      <c r="AS350" s="241"/>
      <c r="AT350" s="241"/>
      <c r="AU350" s="241"/>
      <c r="AV350" s="241"/>
      <c r="AW350" s="241"/>
      <c r="AX350" s="241"/>
      <c r="AY350" s="241"/>
      <c r="AZ350" s="241"/>
      <c r="BA350" s="241"/>
      <c r="BB350" s="241"/>
      <c r="BC350" s="241"/>
      <c r="BD350" s="241"/>
      <c r="BE350" s="241"/>
      <c r="BF350" s="241"/>
      <c r="BG350" s="241"/>
    </row>
    <row r="351" spans="1:59" ht="15.75" customHeight="1" x14ac:dyDescent="0.2">
      <c r="A351" s="241"/>
      <c r="B351" s="241"/>
      <c r="C351" s="242" t="s">
        <v>264</v>
      </c>
      <c r="D351" s="201">
        <f t="shared" ref="D351:S351" si="241">(D350*365/4)/D6</f>
        <v>-54.781242621015352</v>
      </c>
      <c r="E351" s="201">
        <f t="shared" si="241"/>
        <v>-43.44603518387553</v>
      </c>
      <c r="F351" s="201">
        <f t="shared" si="241"/>
        <v>-27.629784578402369</v>
      </c>
      <c r="G351" s="201">
        <f t="shared" si="241"/>
        <v>-26.568147723261561</v>
      </c>
      <c r="H351" s="201">
        <f t="shared" si="241"/>
        <v>-6.9014819823950129</v>
      </c>
      <c r="I351" s="201">
        <f t="shared" si="241"/>
        <v>-29.819196428571434</v>
      </c>
      <c r="J351" s="201">
        <f t="shared" si="241"/>
        <v>-26.508868308766484</v>
      </c>
      <c r="K351" s="201">
        <f t="shared" si="241"/>
        <v>-31.039026796842546</v>
      </c>
      <c r="L351" s="201">
        <f t="shared" si="241"/>
        <v>-27.680341962905715</v>
      </c>
      <c r="M351" s="201">
        <f t="shared" si="241"/>
        <v>-7.1975007535416458</v>
      </c>
      <c r="N351" s="201">
        <f t="shared" si="241"/>
        <v>-28.76789381197112</v>
      </c>
      <c r="O351" s="201">
        <f t="shared" si="241"/>
        <v>-52.703161679505776</v>
      </c>
      <c r="P351" s="201">
        <f t="shared" si="241"/>
        <v>-36.212338737201307</v>
      </c>
      <c r="Q351" s="201">
        <f t="shared" si="241"/>
        <v>-25.102801075080837</v>
      </c>
      <c r="R351" s="201">
        <f t="shared" si="241"/>
        <v>-7.3535141742834504</v>
      </c>
      <c r="S351" s="201">
        <f t="shared" si="241"/>
        <v>-54.622900762512835</v>
      </c>
      <c r="T351" s="201">
        <f t="shared" ref="T351:AE351" si="242">(S350*365/4)/T6</f>
        <v>-49.962311156642045</v>
      </c>
      <c r="U351" s="201">
        <f t="shared" si="242"/>
        <v>-28.616782641272344</v>
      </c>
      <c r="V351" s="201">
        <f t="shared" si="242"/>
        <v>-23.651718606448977</v>
      </c>
      <c r="W351" s="201">
        <f t="shared" si="242"/>
        <v>-11.713090617114629</v>
      </c>
      <c r="X351" s="201">
        <f t="shared" si="242"/>
        <v>-46.787611968634813</v>
      </c>
      <c r="Y351" s="201">
        <f t="shared" si="242"/>
        <v>-28.287401730994802</v>
      </c>
      <c r="Z351" s="201">
        <f t="shared" si="242"/>
        <v>-26.667066928306724</v>
      </c>
      <c r="AA351" s="201">
        <f t="shared" si="242"/>
        <v>-29.804926718526868</v>
      </c>
      <c r="AB351" s="201">
        <f t="shared" si="242"/>
        <v>-9.6724922190448499</v>
      </c>
      <c r="AC351" s="201">
        <f t="shared" si="242"/>
        <v>-38.094981980320178</v>
      </c>
      <c r="AD351" s="201">
        <f t="shared" si="242"/>
        <v>-39.157992555523229</v>
      </c>
      <c r="AE351" s="201">
        <f t="shared" si="242"/>
        <v>-40.292876000901003</v>
      </c>
      <c r="AF351" s="241"/>
      <c r="AG351" s="241"/>
      <c r="AH351" s="241"/>
      <c r="AI351" s="241"/>
      <c r="AJ351" s="241"/>
      <c r="AK351" s="241"/>
      <c r="AL351" s="241"/>
      <c r="AM351" s="241"/>
      <c r="AN351" s="209"/>
      <c r="AO351" s="241"/>
      <c r="AP351" s="241"/>
      <c r="AQ351" s="241"/>
      <c r="AR351" s="241"/>
      <c r="AS351" s="241"/>
      <c r="AT351" s="241"/>
      <c r="AU351" s="241"/>
      <c r="AV351" s="241"/>
      <c r="AW351" s="241"/>
      <c r="AX351" s="241"/>
      <c r="AY351" s="241"/>
      <c r="AZ351" s="241"/>
      <c r="BA351" s="241"/>
      <c r="BB351" s="241"/>
      <c r="BC351" s="241"/>
      <c r="BD351" s="241"/>
      <c r="BE351" s="241"/>
      <c r="BF351" s="241"/>
      <c r="BG351" s="241"/>
    </row>
    <row r="352" spans="1:59" ht="15.75" customHeight="1" x14ac:dyDescent="0.2">
      <c r="A352" s="209"/>
      <c r="B352" s="209"/>
      <c r="C352" s="222"/>
      <c r="D352" s="223"/>
      <c r="E352" s="223"/>
      <c r="F352" s="223"/>
      <c r="G352" s="223"/>
      <c r="H352" s="223"/>
      <c r="I352" s="223"/>
      <c r="J352" s="223"/>
      <c r="K352" s="223"/>
      <c r="L352" s="223"/>
      <c r="M352" s="223"/>
      <c r="N352" s="223"/>
      <c r="O352" s="223"/>
      <c r="P352" s="223"/>
      <c r="Q352" s="223"/>
      <c r="R352" s="224"/>
      <c r="S352" s="223"/>
      <c r="T352" s="223"/>
      <c r="U352" s="223"/>
      <c r="V352" s="223"/>
      <c r="W352" s="223"/>
      <c r="X352" s="223"/>
      <c r="Y352" s="223"/>
      <c r="Z352" s="223"/>
      <c r="AA352" s="223"/>
      <c r="AB352" s="223"/>
      <c r="AC352" s="223"/>
      <c r="AD352" s="223"/>
      <c r="AE352" s="223"/>
      <c r="AF352" s="147"/>
      <c r="AG352" s="147"/>
      <c r="AH352" s="147"/>
      <c r="AI352" s="147"/>
      <c r="AJ352" s="147"/>
      <c r="AK352" s="147"/>
      <c r="AL352" s="147"/>
      <c r="AM352" s="147"/>
      <c r="AN352" s="84"/>
      <c r="AO352" s="147"/>
      <c r="AP352" s="147"/>
      <c r="AQ352" s="147"/>
      <c r="AR352" s="147"/>
      <c r="AS352" s="147"/>
      <c r="AT352" s="147"/>
      <c r="AU352" s="147"/>
      <c r="AV352" s="147"/>
      <c r="AW352" s="147"/>
      <c r="AX352" s="147"/>
      <c r="AY352" s="147"/>
      <c r="AZ352" s="147"/>
      <c r="BA352" s="147"/>
      <c r="BB352" s="147"/>
      <c r="BC352" s="147"/>
      <c r="BD352" s="147"/>
      <c r="BE352" s="147"/>
      <c r="BF352" s="147"/>
      <c r="BG352" s="147"/>
    </row>
    <row r="353" spans="1:59" ht="15.75" customHeight="1" x14ac:dyDescent="0.2">
      <c r="A353" s="210"/>
      <c r="B353" s="211" t="s">
        <v>265</v>
      </c>
      <c r="C353" s="211"/>
      <c r="D353" s="158"/>
      <c r="E353" s="158"/>
      <c r="F353" s="158"/>
      <c r="G353" s="158"/>
      <c r="H353" s="159"/>
      <c r="I353" s="158"/>
      <c r="J353" s="158"/>
      <c r="K353" s="158"/>
      <c r="L353" s="158"/>
      <c r="M353" s="159"/>
      <c r="N353" s="158"/>
      <c r="O353" s="158"/>
      <c r="P353" s="158"/>
      <c r="Q353" s="158"/>
      <c r="R353" s="159"/>
      <c r="S353" s="158"/>
      <c r="T353" s="158"/>
      <c r="U353" s="158"/>
      <c r="V353" s="158"/>
      <c r="W353" s="159"/>
      <c r="X353" s="158"/>
      <c r="Y353" s="158"/>
      <c r="Z353" s="158"/>
      <c r="AA353" s="158"/>
      <c r="AB353" s="159"/>
      <c r="AC353" s="158"/>
      <c r="AD353" s="158"/>
      <c r="AE353" s="158"/>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row>
    <row r="354" spans="1:59" ht="15.75" customHeight="1" x14ac:dyDescent="0.2">
      <c r="A354" s="210"/>
      <c r="B354" s="211" t="s">
        <v>266</v>
      </c>
      <c r="C354" s="211"/>
      <c r="D354" s="158" t="s">
        <v>98</v>
      </c>
      <c r="E354" s="158" t="s">
        <v>99</v>
      </c>
      <c r="F354" s="158" t="s">
        <v>100</v>
      </c>
      <c r="G354" s="158" t="s">
        <v>101</v>
      </c>
      <c r="H354" s="159">
        <v>2018</v>
      </c>
      <c r="I354" s="158" t="s">
        <v>102</v>
      </c>
      <c r="J354" s="158" t="s">
        <v>103</v>
      </c>
      <c r="K354" s="158" t="s">
        <v>104</v>
      </c>
      <c r="L354" s="158" t="s">
        <v>105</v>
      </c>
      <c r="M354" s="159">
        <v>2019</v>
      </c>
      <c r="N354" s="158" t="s">
        <v>158</v>
      </c>
      <c r="O354" s="158" t="s">
        <v>107</v>
      </c>
      <c r="P354" s="158" t="s">
        <v>108</v>
      </c>
      <c r="Q354" s="158" t="s">
        <v>109</v>
      </c>
      <c r="R354" s="159">
        <v>2020</v>
      </c>
      <c r="S354" s="158" t="s">
        <v>110</v>
      </c>
      <c r="T354" s="158" t="s">
        <v>111</v>
      </c>
      <c r="U354" s="158" t="s">
        <v>112</v>
      </c>
      <c r="V354" s="158" t="s">
        <v>113</v>
      </c>
      <c r="W354" s="159">
        <v>2021</v>
      </c>
      <c r="X354" s="158" t="s">
        <v>114</v>
      </c>
      <c r="Y354" s="158" t="s">
        <v>115</v>
      </c>
      <c r="Z354" s="158" t="str">
        <f>$Z$4</f>
        <v>3Q22</v>
      </c>
      <c r="AA354" s="158" t="str">
        <f>$AA$4</f>
        <v>4Q22</v>
      </c>
      <c r="AB354" s="160">
        <v>2022</v>
      </c>
      <c r="AC354" s="158" t="str">
        <f t="shared" ref="AC354:AE354" si="243">AC$4</f>
        <v>1Q23</v>
      </c>
      <c r="AD354" s="158" t="str">
        <f t="shared" si="243"/>
        <v>2Q23</v>
      </c>
      <c r="AE354" s="158" t="str">
        <f t="shared" si="243"/>
        <v>3Q23</v>
      </c>
      <c r="AF354" s="147"/>
      <c r="AG354" s="147"/>
      <c r="AH354" s="147"/>
      <c r="AI354" s="147"/>
      <c r="AJ354" s="147"/>
      <c r="AK354" s="147"/>
      <c r="AL354" s="147"/>
      <c r="AM354" s="147"/>
      <c r="AN354" s="189"/>
      <c r="AO354" s="147"/>
      <c r="AP354" s="147"/>
      <c r="AQ354" s="147"/>
      <c r="AR354" s="147"/>
      <c r="AS354" s="147"/>
      <c r="AT354" s="147"/>
      <c r="AU354" s="147"/>
      <c r="AV354" s="147"/>
      <c r="AW354" s="147"/>
      <c r="AX354" s="147"/>
      <c r="AY354" s="147"/>
      <c r="AZ354" s="147"/>
      <c r="BA354" s="147"/>
      <c r="BB354" s="147"/>
      <c r="BC354" s="147"/>
      <c r="BD354" s="147"/>
      <c r="BE354" s="147"/>
      <c r="BF354" s="147"/>
      <c r="BG354" s="147"/>
    </row>
    <row r="355" spans="1:59" ht="15.75" customHeight="1" x14ac:dyDescent="0.2">
      <c r="A355" s="241"/>
      <c r="B355" s="241"/>
      <c r="C355" s="242" t="s">
        <v>167</v>
      </c>
      <c r="D355" s="201">
        <f t="shared" ref="D355:AA355" si="244">D141</f>
        <v>-1.6</v>
      </c>
      <c r="E355" s="201">
        <f t="shared" si="244"/>
        <v>-2.9</v>
      </c>
      <c r="F355" s="201">
        <f t="shared" si="244"/>
        <v>-2.1</v>
      </c>
      <c r="G355" s="201">
        <f t="shared" si="244"/>
        <v>-8.5</v>
      </c>
      <c r="H355" s="201">
        <f t="shared" si="244"/>
        <v>-15.1</v>
      </c>
      <c r="I355" s="201">
        <f t="shared" si="244"/>
        <v>-4.8</v>
      </c>
      <c r="J355" s="201">
        <f t="shared" si="244"/>
        <v>2.5</v>
      </c>
      <c r="K355" s="201">
        <f t="shared" si="244"/>
        <v>-2.1</v>
      </c>
      <c r="L355" s="201">
        <f t="shared" si="244"/>
        <v>6.8</v>
      </c>
      <c r="M355" s="201">
        <f t="shared" si="244"/>
        <v>2.3999999999999995</v>
      </c>
      <c r="N355" s="201">
        <f t="shared" si="244"/>
        <v>-20.755774623940663</v>
      </c>
      <c r="O355" s="201">
        <f t="shared" si="244"/>
        <v>-8.8213611674358994</v>
      </c>
      <c r="P355" s="201">
        <f t="shared" si="244"/>
        <v>-2.5582720601457778</v>
      </c>
      <c r="Q355" s="201">
        <f t="shared" si="244"/>
        <v>3.3687220727818254</v>
      </c>
      <c r="R355" s="201">
        <f t="shared" si="244"/>
        <v>-19.100000000000001</v>
      </c>
      <c r="S355" s="201">
        <f t="shared" si="244"/>
        <v>-10.2396025</v>
      </c>
      <c r="T355" s="201">
        <f t="shared" si="244"/>
        <v>2.1829537499999998</v>
      </c>
      <c r="U355" s="201">
        <f t="shared" si="244"/>
        <v>-15.7024714</v>
      </c>
      <c r="V355" s="201">
        <f t="shared" si="244"/>
        <v>-8.03832828</v>
      </c>
      <c r="W355" s="201">
        <f t="shared" si="244"/>
        <v>-31.891265679999997</v>
      </c>
      <c r="X355" s="201">
        <f t="shared" si="244"/>
        <v>21.417042769999998</v>
      </c>
      <c r="Y355" s="201">
        <f t="shared" si="244"/>
        <v>-18.24229012</v>
      </c>
      <c r="Z355" s="201">
        <f t="shared" si="244"/>
        <v>-12.859271870000001</v>
      </c>
      <c r="AA355" s="201">
        <f t="shared" si="244"/>
        <v>26.697567840000001</v>
      </c>
      <c r="AB355" s="201">
        <f t="shared" ref="AB355:AB357" si="245">SUM(X355:AA355)</f>
        <v>17.013048619999999</v>
      </c>
      <c r="AC355" s="201">
        <f t="shared" ref="AC355:AE355" si="246">AC141</f>
        <v>12.0674036</v>
      </c>
      <c r="AD355" s="201">
        <f t="shared" si="246"/>
        <v>18.319750655970303</v>
      </c>
      <c r="AE355" s="201">
        <f t="shared" si="246"/>
        <v>0.56187282000000005</v>
      </c>
      <c r="AF355" s="241"/>
      <c r="AG355" s="241"/>
      <c r="AH355" s="241"/>
      <c r="AI355" s="241"/>
      <c r="AJ355" s="241"/>
      <c r="AK355" s="241"/>
      <c r="AL355" s="241"/>
      <c r="AM355" s="241"/>
      <c r="AN355" s="189"/>
      <c r="AO355" s="241"/>
      <c r="AP355" s="241"/>
      <c r="AQ355" s="241"/>
      <c r="AR355" s="241"/>
      <c r="AS355" s="241"/>
      <c r="AT355" s="241"/>
      <c r="AU355" s="241"/>
      <c r="AV355" s="241"/>
      <c r="AW355" s="241"/>
      <c r="AX355" s="241"/>
      <c r="AY355" s="241"/>
      <c r="AZ355" s="241"/>
      <c r="BA355" s="241"/>
      <c r="BB355" s="241"/>
      <c r="BC355" s="241"/>
      <c r="BD355" s="241"/>
      <c r="BE355" s="241"/>
      <c r="BF355" s="241"/>
      <c r="BG355" s="241"/>
    </row>
    <row r="356" spans="1:59" ht="15.75" customHeight="1" x14ac:dyDescent="0.2">
      <c r="A356" s="241"/>
      <c r="B356" s="241"/>
      <c r="C356" s="242" t="s">
        <v>168</v>
      </c>
      <c r="D356" s="201">
        <f t="shared" ref="D356:AA356" si="247">D142</f>
        <v>132.58230541999995</v>
      </c>
      <c r="E356" s="201">
        <f t="shared" si="247"/>
        <v>129.37024279499892</v>
      </c>
      <c r="F356" s="201">
        <f t="shared" si="247"/>
        <v>178.83237634500128</v>
      </c>
      <c r="G356" s="201">
        <f t="shared" si="247"/>
        <v>129.98488874000026</v>
      </c>
      <c r="H356" s="201">
        <f t="shared" si="247"/>
        <v>570.76981330000046</v>
      </c>
      <c r="I356" s="201">
        <f t="shared" si="247"/>
        <v>136.04580550999998</v>
      </c>
      <c r="J356" s="201">
        <f t="shared" si="247"/>
        <v>131.66014074000003</v>
      </c>
      <c r="K356" s="201">
        <f t="shared" si="247"/>
        <v>179.54964608000003</v>
      </c>
      <c r="L356" s="201">
        <f t="shared" si="247"/>
        <v>109.07026023000002</v>
      </c>
      <c r="M356" s="201">
        <f t="shared" si="247"/>
        <v>556.32585256000004</v>
      </c>
      <c r="N356" s="201">
        <f t="shared" si="247"/>
        <v>141.32273723385333</v>
      </c>
      <c r="O356" s="201">
        <f t="shared" si="247"/>
        <v>192.08856570170511</v>
      </c>
      <c r="P356" s="201">
        <f t="shared" si="247"/>
        <v>202.53347135089939</v>
      </c>
      <c r="Q356" s="201">
        <f t="shared" si="247"/>
        <v>172.67415686880008</v>
      </c>
      <c r="R356" s="201">
        <f t="shared" si="247"/>
        <v>708.61893115525788</v>
      </c>
      <c r="S356" s="201">
        <f t="shared" si="247"/>
        <v>229.48144902999999</v>
      </c>
      <c r="T356" s="201">
        <f t="shared" si="247"/>
        <v>220.59656956999999</v>
      </c>
      <c r="U356" s="201">
        <f t="shared" si="247"/>
        <v>219.09142583000002</v>
      </c>
      <c r="V356" s="201">
        <f t="shared" si="247"/>
        <v>189.63891305000001</v>
      </c>
      <c r="W356" s="201">
        <f t="shared" si="247"/>
        <v>858.80835748000004</v>
      </c>
      <c r="X356" s="201">
        <f t="shared" si="247"/>
        <v>239.01264623</v>
      </c>
      <c r="Y356" s="201">
        <f t="shared" si="247"/>
        <v>201.20064794000001</v>
      </c>
      <c r="Z356" s="201">
        <f t="shared" si="247"/>
        <v>248.02250831999999</v>
      </c>
      <c r="AA356" s="201">
        <f t="shared" si="247"/>
        <v>250.71721364000001</v>
      </c>
      <c r="AB356" s="201">
        <f t="shared" si="245"/>
        <v>938.95301612999992</v>
      </c>
      <c r="AC356" s="201">
        <f t="shared" ref="AC356:AE356" si="248">AC142</f>
        <v>239.53447352999999</v>
      </c>
      <c r="AD356" s="201">
        <f t="shared" si="248"/>
        <v>257.198315557363</v>
      </c>
      <c r="AE356" s="201">
        <f t="shared" si="248"/>
        <v>268.39054135999999</v>
      </c>
      <c r="AF356" s="241"/>
      <c r="AG356" s="241"/>
      <c r="AH356" s="241"/>
      <c r="AI356" s="241"/>
      <c r="AJ356" s="241"/>
      <c r="AK356" s="241"/>
      <c r="AL356" s="241"/>
      <c r="AM356" s="241"/>
      <c r="AN356" s="189"/>
      <c r="AO356" s="241"/>
      <c r="AP356" s="241"/>
      <c r="AQ356" s="241"/>
      <c r="AR356" s="241"/>
      <c r="AS356" s="241"/>
      <c r="AT356" s="241"/>
      <c r="AU356" s="241"/>
      <c r="AV356" s="241"/>
      <c r="AW356" s="241"/>
      <c r="AX356" s="241"/>
      <c r="AY356" s="241"/>
      <c r="AZ356" s="241"/>
      <c r="BA356" s="241"/>
      <c r="BB356" s="241"/>
      <c r="BC356" s="241"/>
      <c r="BD356" s="241"/>
      <c r="BE356" s="241"/>
      <c r="BF356" s="241"/>
      <c r="BG356" s="241"/>
    </row>
    <row r="357" spans="1:59" ht="15.75" customHeight="1" x14ac:dyDescent="0.2">
      <c r="A357" s="162"/>
      <c r="B357" s="162"/>
      <c r="C357" s="177" t="s">
        <v>267</v>
      </c>
      <c r="D357" s="172">
        <v>-46.881</v>
      </c>
      <c r="E357" s="172">
        <v>-51.4</v>
      </c>
      <c r="F357" s="172">
        <v>-53</v>
      </c>
      <c r="G357" s="172">
        <v>-53.5</v>
      </c>
      <c r="H357" s="172">
        <v>-204.8</v>
      </c>
      <c r="I357" s="172">
        <v>-63.1</v>
      </c>
      <c r="J357" s="172">
        <v>-64.2</v>
      </c>
      <c r="K357" s="172">
        <v>-66.400000000000006</v>
      </c>
      <c r="L357" s="172">
        <v>-67.099999999999994</v>
      </c>
      <c r="M357" s="172">
        <v>-260.8</v>
      </c>
      <c r="N357" s="172">
        <v>-72.024982575686565</v>
      </c>
      <c r="O357" s="172">
        <v>-80.561397232350657</v>
      </c>
      <c r="P357" s="172">
        <v>-80.606159372176762</v>
      </c>
      <c r="Q357" s="172">
        <v>-81.841597187711059</v>
      </c>
      <c r="R357" s="174">
        <v>-315</v>
      </c>
      <c r="S357" s="172">
        <v>-84.931852460000002</v>
      </c>
      <c r="T357" s="172">
        <v>-83.358121650000001</v>
      </c>
      <c r="U357" s="172">
        <v>-79.573804019999997</v>
      </c>
      <c r="V357" s="172">
        <v>-83.4</v>
      </c>
      <c r="W357" s="172">
        <v>-331.26377812999999</v>
      </c>
      <c r="X357" s="172">
        <v>-81.599999999999994</v>
      </c>
      <c r="Y357" s="174">
        <f t="shared" ref="Y357:AA357" si="249">Y15</f>
        <v>-79.104547170000004</v>
      </c>
      <c r="Z357" s="174">
        <f t="shared" si="249"/>
        <v>-83.504519349999995</v>
      </c>
      <c r="AA357" s="174">
        <f t="shared" si="249"/>
        <v>-88.500541220000002</v>
      </c>
      <c r="AB357" s="201">
        <f t="shared" si="245"/>
        <v>-332.70960774000002</v>
      </c>
      <c r="AC357" s="174">
        <f t="shared" ref="AC357:AE357" si="250">AC15</f>
        <v>-91.246415589999998</v>
      </c>
      <c r="AD357" s="174">
        <f t="shared" si="250"/>
        <v>-89.563565134968513</v>
      </c>
      <c r="AE357" s="174">
        <f t="shared" si="250"/>
        <v>-87.820762999999999</v>
      </c>
      <c r="AF357" s="161"/>
      <c r="AG357" s="161"/>
      <c r="AH357" s="161"/>
      <c r="AI357" s="161"/>
      <c r="AJ357" s="175"/>
      <c r="AK357" s="176"/>
      <c r="AL357" s="176"/>
      <c r="AM357" s="176"/>
      <c r="AN357" s="189"/>
      <c r="AO357" s="176"/>
      <c r="AP357" s="176"/>
      <c r="AQ357" s="176"/>
      <c r="AR357" s="176"/>
      <c r="AS357" s="176"/>
      <c r="AT357" s="176"/>
      <c r="AU357" s="176"/>
      <c r="AV357" s="176"/>
      <c r="AW357" s="176"/>
      <c r="AX357" s="176"/>
      <c r="AY357" s="176"/>
      <c r="AZ357" s="176"/>
      <c r="BA357" s="176"/>
      <c r="BB357" s="176"/>
      <c r="BC357" s="176"/>
      <c r="BD357" s="176"/>
      <c r="BE357" s="176"/>
      <c r="BF357" s="176"/>
      <c r="BG357" s="176"/>
    </row>
    <row r="358" spans="1:59" ht="15.75" customHeight="1" x14ac:dyDescent="0.2">
      <c r="A358" s="162"/>
      <c r="B358" s="177"/>
      <c r="C358" s="242" t="s">
        <v>170</v>
      </c>
      <c r="D358" s="172">
        <f t="shared" ref="D358:AE358" si="251">D356+D357</f>
        <v>85.701305419999954</v>
      </c>
      <c r="E358" s="172">
        <f t="shared" si="251"/>
        <v>77.97024279499891</v>
      </c>
      <c r="F358" s="172">
        <f t="shared" si="251"/>
        <v>125.83237634500128</v>
      </c>
      <c r="G358" s="172">
        <f t="shared" si="251"/>
        <v>76.484888740000258</v>
      </c>
      <c r="H358" s="172">
        <f t="shared" si="251"/>
        <v>365.96981330000045</v>
      </c>
      <c r="I358" s="172">
        <f t="shared" si="251"/>
        <v>72.945805509999985</v>
      </c>
      <c r="J358" s="172">
        <f t="shared" si="251"/>
        <v>67.460140740000028</v>
      </c>
      <c r="K358" s="172">
        <f t="shared" si="251"/>
        <v>113.14964608000002</v>
      </c>
      <c r="L358" s="172">
        <f t="shared" si="251"/>
        <v>41.970260230000022</v>
      </c>
      <c r="M358" s="172">
        <f t="shared" si="251"/>
        <v>295.52585256000003</v>
      </c>
      <c r="N358" s="172">
        <f t="shared" si="251"/>
        <v>69.297754658166767</v>
      </c>
      <c r="O358" s="172">
        <f t="shared" si="251"/>
        <v>111.52716846935445</v>
      </c>
      <c r="P358" s="172">
        <f t="shared" si="251"/>
        <v>121.92731197872263</v>
      </c>
      <c r="Q358" s="172">
        <f t="shared" si="251"/>
        <v>90.832559681089023</v>
      </c>
      <c r="R358" s="172">
        <f t="shared" si="251"/>
        <v>393.61893115525788</v>
      </c>
      <c r="S358" s="172">
        <f t="shared" si="251"/>
        <v>144.54959657000001</v>
      </c>
      <c r="T358" s="172">
        <f t="shared" si="251"/>
        <v>137.23844792</v>
      </c>
      <c r="U358" s="172">
        <f t="shared" si="251"/>
        <v>139.51762181000004</v>
      </c>
      <c r="V358" s="172">
        <f t="shared" si="251"/>
        <v>106.23891305000001</v>
      </c>
      <c r="W358" s="172">
        <f t="shared" si="251"/>
        <v>527.54457935000005</v>
      </c>
      <c r="X358" s="172">
        <f t="shared" si="251"/>
        <v>157.41264623000001</v>
      </c>
      <c r="Y358" s="172">
        <f t="shared" si="251"/>
        <v>122.09610077000001</v>
      </c>
      <c r="Z358" s="172">
        <f t="shared" si="251"/>
        <v>164.51798896999998</v>
      </c>
      <c r="AA358" s="172">
        <f t="shared" si="251"/>
        <v>162.21667242000001</v>
      </c>
      <c r="AB358" s="172">
        <f t="shared" si="251"/>
        <v>606.2434083899999</v>
      </c>
      <c r="AC358" s="172">
        <f t="shared" si="251"/>
        <v>148.28805793999999</v>
      </c>
      <c r="AD358" s="172">
        <f t="shared" si="251"/>
        <v>167.63475042239449</v>
      </c>
      <c r="AE358" s="172">
        <f t="shared" si="251"/>
        <v>180.56977835999999</v>
      </c>
      <c r="AF358" s="172"/>
      <c r="AG358" s="172"/>
      <c r="AH358" s="172"/>
      <c r="AI358" s="172"/>
      <c r="AJ358" s="172"/>
      <c r="AK358" s="172"/>
      <c r="AL358" s="172"/>
      <c r="AM358" s="172"/>
      <c r="AN358" s="189"/>
      <c r="AO358" s="172"/>
      <c r="AP358" s="174"/>
      <c r="AQ358" s="172"/>
      <c r="AR358" s="172"/>
      <c r="AS358" s="172"/>
      <c r="AT358" s="172"/>
      <c r="AU358" s="172"/>
      <c r="AV358" s="172"/>
      <c r="AW358" s="174"/>
      <c r="AX358" s="147"/>
      <c r="AY358" s="147"/>
      <c r="AZ358" s="147"/>
      <c r="BA358" s="147"/>
      <c r="BB358" s="147"/>
      <c r="BC358" s="147"/>
      <c r="BD358" s="147"/>
      <c r="BE358" s="147"/>
      <c r="BF358" s="147"/>
      <c r="BG358" s="147"/>
    </row>
    <row r="359" spans="1:59" ht="15.75" customHeight="1" x14ac:dyDescent="0.2">
      <c r="A359" s="162"/>
      <c r="B359" s="162"/>
      <c r="C359" s="177" t="s">
        <v>178</v>
      </c>
      <c r="D359" s="174">
        <f>D24</f>
        <v>-26.6</v>
      </c>
      <c r="E359" s="172">
        <v>-11.4</v>
      </c>
      <c r="F359" s="172">
        <v>-38.799999999999997</v>
      </c>
      <c r="G359" s="172">
        <v>-23.3</v>
      </c>
      <c r="H359" s="172">
        <v>-100.1</v>
      </c>
      <c r="I359" s="172">
        <v>-27.9</v>
      </c>
      <c r="J359" s="172">
        <v>-22.6</v>
      </c>
      <c r="K359" s="172">
        <v>-30.7</v>
      </c>
      <c r="L359" s="172">
        <v>-4.3</v>
      </c>
      <c r="M359" s="172">
        <v>-85.5</v>
      </c>
      <c r="N359" s="172">
        <v>-41.5</v>
      </c>
      <c r="O359" s="172">
        <v>-37.700000000000003</v>
      </c>
      <c r="P359" s="172">
        <v>-35.5</v>
      </c>
      <c r="Q359" s="172">
        <v>-18.899999999999999</v>
      </c>
      <c r="R359" s="174">
        <v>-133.6</v>
      </c>
      <c r="S359" s="172">
        <v>-52.4</v>
      </c>
      <c r="T359" s="172">
        <v>-26</v>
      </c>
      <c r="U359" s="172">
        <v>-52</v>
      </c>
      <c r="V359" s="172">
        <v>-19.600000000000001</v>
      </c>
      <c r="W359" s="172">
        <v>-150</v>
      </c>
      <c r="X359" s="174">
        <f t="shared" ref="X359:AA359" si="252">X24</f>
        <v>4.8021610699999897</v>
      </c>
      <c r="Y359" s="174">
        <f t="shared" si="252"/>
        <v>-57.816059699999997</v>
      </c>
      <c r="Z359" s="174">
        <f t="shared" si="252"/>
        <v>-61.145711200000001</v>
      </c>
      <c r="AA359" s="174">
        <f t="shared" si="252"/>
        <v>-22.376066430000002</v>
      </c>
      <c r="AB359" s="201">
        <f>SUM(X359:AA359)</f>
        <v>-136.53567626</v>
      </c>
      <c r="AC359" s="174">
        <f t="shared" ref="AC359:AE359" si="253">AC24</f>
        <v>-30.93748068</v>
      </c>
      <c r="AD359" s="174">
        <f t="shared" si="253"/>
        <v>-22.469134665888369</v>
      </c>
      <c r="AE359" s="174">
        <f t="shared" si="253"/>
        <v>-51.846781300000004</v>
      </c>
      <c r="AF359" s="161"/>
      <c r="AG359" s="161"/>
      <c r="AH359" s="161"/>
      <c r="AI359" s="161"/>
      <c r="AJ359" s="161"/>
      <c r="AK359" s="147"/>
      <c r="AL359" s="147"/>
      <c r="AM359" s="147"/>
      <c r="AN359" s="189"/>
      <c r="AO359" s="147"/>
      <c r="AP359" s="147"/>
      <c r="AQ359" s="147"/>
      <c r="AR359" s="147"/>
      <c r="AS359" s="147"/>
      <c r="AT359" s="147"/>
      <c r="AU359" s="147"/>
      <c r="AV359" s="147"/>
      <c r="AW359" s="147"/>
      <c r="AX359" s="147"/>
      <c r="AY359" s="147"/>
      <c r="AZ359" s="147"/>
      <c r="BA359" s="147"/>
      <c r="BB359" s="147"/>
      <c r="BC359" s="147"/>
      <c r="BD359" s="147"/>
      <c r="BE359" s="147"/>
      <c r="BF359" s="147"/>
      <c r="BG359" s="147"/>
    </row>
    <row r="360" spans="1:59" ht="15.75" customHeight="1" x14ac:dyDescent="0.2">
      <c r="A360" s="209"/>
      <c r="B360" s="209"/>
      <c r="C360" s="222"/>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147"/>
      <c r="AG360" s="147"/>
      <c r="AH360" s="147"/>
      <c r="AI360" s="147"/>
      <c r="AJ360" s="147"/>
      <c r="AK360" s="147"/>
      <c r="AL360" s="147"/>
      <c r="AM360" s="147"/>
      <c r="AN360" s="189"/>
      <c r="AO360" s="147"/>
      <c r="AP360" s="147"/>
      <c r="AQ360" s="147"/>
      <c r="AR360" s="147"/>
      <c r="AS360" s="147"/>
      <c r="AT360" s="147"/>
      <c r="AU360" s="147"/>
      <c r="AV360" s="147"/>
      <c r="AW360" s="147"/>
      <c r="AX360" s="147"/>
      <c r="AY360" s="147"/>
      <c r="AZ360" s="147"/>
      <c r="BA360" s="147"/>
      <c r="BB360" s="147"/>
      <c r="BC360" s="147"/>
      <c r="BD360" s="147"/>
      <c r="BE360" s="147"/>
      <c r="BF360" s="147"/>
      <c r="BG360" s="147"/>
    </row>
    <row r="361" spans="1:59" ht="15.75" customHeight="1" x14ac:dyDescent="0.2">
      <c r="A361" s="162"/>
      <c r="B361" s="162"/>
      <c r="C361" s="177" t="s">
        <v>268</v>
      </c>
      <c r="D361" s="172">
        <f t="shared" ref="D361:AE361" si="254">D358+D359</f>
        <v>59.101305419999953</v>
      </c>
      <c r="E361" s="172">
        <f t="shared" si="254"/>
        <v>66.570242794998904</v>
      </c>
      <c r="F361" s="172">
        <f t="shared" si="254"/>
        <v>87.032376345001282</v>
      </c>
      <c r="G361" s="172">
        <f t="shared" si="254"/>
        <v>53.184888740000261</v>
      </c>
      <c r="H361" s="172">
        <f t="shared" si="254"/>
        <v>265.86981330000049</v>
      </c>
      <c r="I361" s="172">
        <f t="shared" si="254"/>
        <v>45.045805509999987</v>
      </c>
      <c r="J361" s="172">
        <f t="shared" si="254"/>
        <v>44.860140740000027</v>
      </c>
      <c r="K361" s="172">
        <f t="shared" si="254"/>
        <v>82.449646080000022</v>
      </c>
      <c r="L361" s="172">
        <f t="shared" si="254"/>
        <v>37.670260230000025</v>
      </c>
      <c r="M361" s="172">
        <f t="shared" si="254"/>
        <v>210.02585256000003</v>
      </c>
      <c r="N361" s="172">
        <f t="shared" si="254"/>
        <v>27.797754658166767</v>
      </c>
      <c r="O361" s="172">
        <f t="shared" si="254"/>
        <v>73.827168469354447</v>
      </c>
      <c r="P361" s="172">
        <f t="shared" si="254"/>
        <v>86.427311978722628</v>
      </c>
      <c r="Q361" s="172">
        <f t="shared" si="254"/>
        <v>71.932559681089032</v>
      </c>
      <c r="R361" s="172">
        <f t="shared" si="254"/>
        <v>260.01893115525786</v>
      </c>
      <c r="S361" s="172">
        <f t="shared" si="254"/>
        <v>92.14959657</v>
      </c>
      <c r="T361" s="172">
        <f t="shared" si="254"/>
        <v>111.23844792</v>
      </c>
      <c r="U361" s="172">
        <f t="shared" si="254"/>
        <v>87.517621810000037</v>
      </c>
      <c r="V361" s="172">
        <f t="shared" si="254"/>
        <v>86.638913050000014</v>
      </c>
      <c r="W361" s="172">
        <f t="shared" si="254"/>
        <v>377.54457935000005</v>
      </c>
      <c r="X361" s="172">
        <f t="shared" si="254"/>
        <v>162.21480729999999</v>
      </c>
      <c r="Y361" s="172">
        <f t="shared" si="254"/>
        <v>64.28004107000001</v>
      </c>
      <c r="Z361" s="172">
        <f t="shared" si="254"/>
        <v>103.37227776999998</v>
      </c>
      <c r="AA361" s="172">
        <f t="shared" si="254"/>
        <v>139.84060599</v>
      </c>
      <c r="AB361" s="172">
        <f t="shared" si="254"/>
        <v>469.7077321299999</v>
      </c>
      <c r="AC361" s="172">
        <f t="shared" si="254"/>
        <v>117.35057725999999</v>
      </c>
      <c r="AD361" s="172">
        <f t="shared" si="254"/>
        <v>145.16561575650613</v>
      </c>
      <c r="AE361" s="172">
        <f t="shared" si="254"/>
        <v>128.72299705999998</v>
      </c>
      <c r="AF361" s="161"/>
      <c r="AG361" s="161"/>
      <c r="AH361" s="161"/>
      <c r="AI361" s="161"/>
      <c r="AJ361" s="161"/>
      <c r="AK361" s="147"/>
      <c r="AL361" s="147"/>
      <c r="AM361" s="147"/>
      <c r="AN361" s="162"/>
      <c r="AO361" s="147"/>
      <c r="AP361" s="147"/>
      <c r="AQ361" s="147"/>
      <c r="AR361" s="147"/>
      <c r="AS361" s="147"/>
      <c r="AT361" s="147"/>
      <c r="AU361" s="147"/>
      <c r="AV361" s="147"/>
      <c r="AW361" s="147"/>
      <c r="AX361" s="147"/>
      <c r="AY361" s="147"/>
      <c r="AZ361" s="147"/>
      <c r="BA361" s="147"/>
      <c r="BB361" s="147"/>
      <c r="BC361" s="147"/>
      <c r="BD361" s="147"/>
      <c r="BE361" s="147"/>
      <c r="BF361" s="147"/>
      <c r="BG361" s="147"/>
    </row>
    <row r="362" spans="1:59" ht="15.75" customHeight="1" x14ac:dyDescent="0.2">
      <c r="A362" s="209"/>
      <c r="B362" s="209"/>
      <c r="C362" s="242" t="s">
        <v>269</v>
      </c>
      <c r="D362" s="243">
        <f t="shared" ref="D362:AE362" si="255">D361/D$5</f>
        <v>0.15260523032650761</v>
      </c>
      <c r="E362" s="243">
        <f t="shared" si="255"/>
        <v>0.15999760604797345</v>
      </c>
      <c r="F362" s="243">
        <f t="shared" si="255"/>
        <v>0.19283432987859306</v>
      </c>
      <c r="G362" s="243">
        <f t="shared" si="255"/>
        <v>0.12579656973669023</v>
      </c>
      <c r="H362" s="243">
        <f t="shared" si="255"/>
        <v>0.15849454409970479</v>
      </c>
      <c r="I362" s="243">
        <f t="shared" si="255"/>
        <v>0.11890274316053094</v>
      </c>
      <c r="J362" s="243">
        <f t="shared" si="255"/>
        <v>0.11592961656002115</v>
      </c>
      <c r="K362" s="243">
        <f t="shared" si="255"/>
        <v>0.1956798750089507</v>
      </c>
      <c r="L362" s="243">
        <f t="shared" si="255"/>
        <v>9.0756346188537007E-2</v>
      </c>
      <c r="M362" s="243">
        <f t="shared" si="255"/>
        <v>0.13108379959318814</v>
      </c>
      <c r="N362" s="243">
        <f t="shared" si="255"/>
        <v>6.8401784872572077E-2</v>
      </c>
      <c r="O362" s="243">
        <f t="shared" si="255"/>
        <v>0.16503786704802895</v>
      </c>
      <c r="P362" s="243">
        <f t="shared" si="255"/>
        <v>0.18229723704843651</v>
      </c>
      <c r="Q362" s="243">
        <f t="shared" si="255"/>
        <v>0.14746998082812635</v>
      </c>
      <c r="R362" s="243">
        <f t="shared" si="255"/>
        <v>0.1432135599086814</v>
      </c>
      <c r="S362" s="243">
        <f t="shared" si="255"/>
        <v>0.18172390269870634</v>
      </c>
      <c r="T362" s="243">
        <f t="shared" si="255"/>
        <v>0.21811547035029991</v>
      </c>
      <c r="U362" s="243">
        <f t="shared" si="255"/>
        <v>0.1608997069553964</v>
      </c>
      <c r="V362" s="243">
        <f t="shared" si="255"/>
        <v>0.14997097243648458</v>
      </c>
      <c r="W362" s="243">
        <f t="shared" si="255"/>
        <v>0.17652871753161878</v>
      </c>
      <c r="X362" s="243">
        <f t="shared" si="255"/>
        <v>0.30651800853057382</v>
      </c>
      <c r="Y362" s="243">
        <f t="shared" si="255"/>
        <v>0.11913186732800657</v>
      </c>
      <c r="Z362" s="243">
        <f t="shared" si="255"/>
        <v>0.1669778851458725</v>
      </c>
      <c r="AA362" s="243">
        <f t="shared" si="255"/>
        <v>0.23944245735358413</v>
      </c>
      <c r="AB362" s="243">
        <f t="shared" si="255"/>
        <v>0.20674738930720443</v>
      </c>
      <c r="AC362" s="243">
        <f t="shared" si="255"/>
        <v>0.20579195060823655</v>
      </c>
      <c r="AD362" s="243">
        <f t="shared" si="255"/>
        <v>0.2445781643282009</v>
      </c>
      <c r="AE362" s="243">
        <f t="shared" si="255"/>
        <v>0.20809266889748043</v>
      </c>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row>
    <row r="363" spans="1:59" ht="15.75" customHeight="1" x14ac:dyDescent="0.2">
      <c r="A363" s="209"/>
      <c r="B363" s="209"/>
      <c r="C363" s="222"/>
      <c r="D363" s="223"/>
      <c r="E363" s="223"/>
      <c r="F363" s="223"/>
      <c r="G363" s="223"/>
      <c r="H363" s="223"/>
      <c r="I363" s="223"/>
      <c r="J363" s="223"/>
      <c r="K363" s="223"/>
      <c r="L363" s="223"/>
      <c r="M363" s="223"/>
      <c r="N363" s="223"/>
      <c r="O363" s="223"/>
      <c r="P363" s="223"/>
      <c r="Q363" s="223"/>
      <c r="R363" s="224"/>
      <c r="S363" s="223"/>
      <c r="T363" s="223"/>
      <c r="U363" s="223"/>
      <c r="V363" s="223"/>
      <c r="W363" s="223"/>
      <c r="X363" s="223"/>
      <c r="Y363" s="223"/>
      <c r="Z363" s="223"/>
      <c r="AA363" s="223"/>
      <c r="AB363" s="223"/>
      <c r="AC363" s="223"/>
      <c r="AD363" s="223"/>
      <c r="AE363" s="223"/>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row>
    <row r="364" spans="1:59" ht="15.75" customHeight="1" x14ac:dyDescent="0.2">
      <c r="A364" s="162"/>
      <c r="B364" s="162"/>
      <c r="C364" s="177" t="s">
        <v>270</v>
      </c>
      <c r="D364" s="172">
        <f t="shared" ref="D364:AE364" si="256">-D357</f>
        <v>46.881</v>
      </c>
      <c r="E364" s="172">
        <f t="shared" si="256"/>
        <v>51.4</v>
      </c>
      <c r="F364" s="172">
        <f t="shared" si="256"/>
        <v>53</v>
      </c>
      <c r="G364" s="172">
        <f t="shared" si="256"/>
        <v>53.5</v>
      </c>
      <c r="H364" s="172">
        <f t="shared" si="256"/>
        <v>204.8</v>
      </c>
      <c r="I364" s="172">
        <f t="shared" si="256"/>
        <v>63.1</v>
      </c>
      <c r="J364" s="172">
        <f t="shared" si="256"/>
        <v>64.2</v>
      </c>
      <c r="K364" s="172">
        <f t="shared" si="256"/>
        <v>66.400000000000006</v>
      </c>
      <c r="L364" s="172">
        <f t="shared" si="256"/>
        <v>67.099999999999994</v>
      </c>
      <c r="M364" s="172">
        <f t="shared" si="256"/>
        <v>260.8</v>
      </c>
      <c r="N364" s="172">
        <f t="shared" si="256"/>
        <v>72.024982575686565</v>
      </c>
      <c r="O364" s="172">
        <f t="shared" si="256"/>
        <v>80.561397232350657</v>
      </c>
      <c r="P364" s="172">
        <f t="shared" si="256"/>
        <v>80.606159372176762</v>
      </c>
      <c r="Q364" s="172">
        <f t="shared" si="256"/>
        <v>81.841597187711059</v>
      </c>
      <c r="R364" s="172">
        <f t="shared" si="256"/>
        <v>315</v>
      </c>
      <c r="S364" s="172">
        <f t="shared" si="256"/>
        <v>84.931852460000002</v>
      </c>
      <c r="T364" s="172">
        <f t="shared" si="256"/>
        <v>83.358121650000001</v>
      </c>
      <c r="U364" s="172">
        <f t="shared" si="256"/>
        <v>79.573804019999997</v>
      </c>
      <c r="V364" s="172">
        <f t="shared" si="256"/>
        <v>83.4</v>
      </c>
      <c r="W364" s="172">
        <f t="shared" si="256"/>
        <v>331.26377812999999</v>
      </c>
      <c r="X364" s="172">
        <f t="shared" si="256"/>
        <v>81.599999999999994</v>
      </c>
      <c r="Y364" s="172">
        <f t="shared" si="256"/>
        <v>79.104547170000004</v>
      </c>
      <c r="Z364" s="172">
        <f t="shared" si="256"/>
        <v>83.504519349999995</v>
      </c>
      <c r="AA364" s="172">
        <f t="shared" si="256"/>
        <v>88.500541220000002</v>
      </c>
      <c r="AB364" s="172">
        <f t="shared" si="256"/>
        <v>332.70960774000002</v>
      </c>
      <c r="AC364" s="172">
        <f t="shared" si="256"/>
        <v>91.246415589999998</v>
      </c>
      <c r="AD364" s="172">
        <f t="shared" si="256"/>
        <v>89.563565134968513</v>
      </c>
      <c r="AE364" s="172">
        <f t="shared" si="256"/>
        <v>87.820762999999999</v>
      </c>
      <c r="AF364" s="147"/>
      <c r="AG364" s="147"/>
      <c r="AH364" s="161"/>
      <c r="AI364" s="161"/>
      <c r="AJ364" s="175"/>
      <c r="AK364" s="176"/>
      <c r="AL364" s="176"/>
      <c r="AM364" s="176"/>
      <c r="AN364" s="147"/>
      <c r="AO364" s="176"/>
      <c r="AP364" s="176"/>
      <c r="AQ364" s="176"/>
      <c r="AR364" s="176"/>
      <c r="AS364" s="176"/>
      <c r="AT364" s="176"/>
      <c r="AU364" s="176"/>
      <c r="AV364" s="176"/>
      <c r="AW364" s="176"/>
      <c r="AX364" s="176"/>
      <c r="AY364" s="176"/>
      <c r="AZ364" s="176"/>
      <c r="BA364" s="176"/>
      <c r="BB364" s="176"/>
      <c r="BC364" s="176"/>
      <c r="BD364" s="176"/>
      <c r="BE364" s="176"/>
      <c r="BF364" s="176"/>
      <c r="BG364" s="176"/>
    </row>
    <row r="365" spans="1:59" ht="15.75" customHeight="1" x14ac:dyDescent="0.2">
      <c r="A365" s="162"/>
      <c r="B365" s="162"/>
      <c r="C365" s="177" t="s">
        <v>271</v>
      </c>
      <c r="D365" s="172">
        <f t="shared" ref="D365:AE365" si="257">-D299</f>
        <v>-50.009441388241335</v>
      </c>
      <c r="E365" s="172">
        <f t="shared" si="257"/>
        <v>-36.287424127748942</v>
      </c>
      <c r="F365" s="172">
        <f t="shared" si="257"/>
        <v>-51.532226950857186</v>
      </c>
      <c r="G365" s="172">
        <f t="shared" si="257"/>
        <v>-89.920173080270132</v>
      </c>
      <c r="H365" s="172">
        <f t="shared" si="257"/>
        <v>-227.7492655471176</v>
      </c>
      <c r="I365" s="172">
        <f t="shared" si="257"/>
        <v>-88.527394840000014</v>
      </c>
      <c r="J365" s="172">
        <f t="shared" si="257"/>
        <v>-91.971033800000001</v>
      </c>
      <c r="K365" s="172">
        <f t="shared" si="257"/>
        <v>-93.885297309999999</v>
      </c>
      <c r="L365" s="172">
        <f t="shared" si="257"/>
        <v>-77.824454180000018</v>
      </c>
      <c r="M365" s="172">
        <f t="shared" si="257"/>
        <v>-352.20818012999996</v>
      </c>
      <c r="N365" s="172">
        <f t="shared" si="257"/>
        <v>-71.538076647260681</v>
      </c>
      <c r="O365" s="172">
        <f t="shared" si="257"/>
        <v>-146.12734001085627</v>
      </c>
      <c r="P365" s="172">
        <f t="shared" si="257"/>
        <v>-33.905232358203783</v>
      </c>
      <c r="Q365" s="172">
        <f t="shared" si="257"/>
        <v>-68.829317897418321</v>
      </c>
      <c r="R365" s="172">
        <f t="shared" si="257"/>
        <v>-320.39996691373898</v>
      </c>
      <c r="S365" s="172">
        <f t="shared" si="257"/>
        <v>-36.61185845</v>
      </c>
      <c r="T365" s="172">
        <f t="shared" si="257"/>
        <v>-54.372901030000001</v>
      </c>
      <c r="U365" s="172">
        <f t="shared" si="257"/>
        <v>-62.982211529999994</v>
      </c>
      <c r="V365" s="172">
        <f t="shared" si="257"/>
        <v>-115.44915522000001</v>
      </c>
      <c r="W365" s="172">
        <f t="shared" si="257"/>
        <v>-269.41612623000003</v>
      </c>
      <c r="X365" s="172">
        <f t="shared" si="257"/>
        <v>-72.285147010000003</v>
      </c>
      <c r="Y365" s="172">
        <f t="shared" si="257"/>
        <v>-70.194073759999995</v>
      </c>
      <c r="Z365" s="172">
        <f t="shared" si="257"/>
        <v>-101.15082339000001</v>
      </c>
      <c r="AA365" s="172">
        <f t="shared" si="257"/>
        <v>-90.921620750000017</v>
      </c>
      <c r="AB365" s="172">
        <f t="shared" si="257"/>
        <v>-334.55166491000006</v>
      </c>
      <c r="AC365" s="172">
        <f t="shared" si="257"/>
        <v>-85.566275959999999</v>
      </c>
      <c r="AD365" s="172">
        <f t="shared" si="257"/>
        <v>-77.449850116322096</v>
      </c>
      <c r="AE365" s="172">
        <f t="shared" si="257"/>
        <v>-99.361975510000008</v>
      </c>
      <c r="AF365" s="147"/>
      <c r="AG365" s="147"/>
      <c r="AH365" s="161"/>
      <c r="AI365" s="161"/>
      <c r="AJ365" s="175"/>
      <c r="AK365" s="176"/>
      <c r="AL365" s="176"/>
      <c r="AM365" s="176"/>
      <c r="AN365" s="147"/>
      <c r="AO365" s="176"/>
      <c r="AP365" s="176"/>
      <c r="AQ365" s="176"/>
      <c r="AR365" s="176"/>
      <c r="AS365" s="176"/>
      <c r="AT365" s="176"/>
      <c r="AU365" s="176"/>
      <c r="AV365" s="176"/>
      <c r="AW365" s="176"/>
      <c r="AX365" s="176"/>
      <c r="AY365" s="176"/>
      <c r="AZ365" s="176"/>
      <c r="BA365" s="176"/>
      <c r="BB365" s="176"/>
      <c r="BC365" s="176"/>
      <c r="BD365" s="176"/>
      <c r="BE365" s="176"/>
      <c r="BF365" s="176"/>
      <c r="BG365" s="176"/>
    </row>
    <row r="366" spans="1:59" ht="15.75" customHeight="1" x14ac:dyDescent="0.2">
      <c r="A366" s="162"/>
      <c r="B366" s="162"/>
      <c r="C366" s="177" t="s">
        <v>257</v>
      </c>
      <c r="D366" s="172" t="str">
        <f t="shared" ref="D366:H366" si="258">D341</f>
        <v>-</v>
      </c>
      <c r="E366" s="172">
        <f t="shared" si="258"/>
        <v>28.459000000000032</v>
      </c>
      <c r="F366" s="172">
        <f t="shared" si="258"/>
        <v>11.791999999999973</v>
      </c>
      <c r="G366" s="172">
        <f t="shared" si="258"/>
        <v>-24.414000000000001</v>
      </c>
      <c r="H366" s="172">
        <f t="shared" si="258"/>
        <v>15.837000000000003</v>
      </c>
      <c r="I366" s="172">
        <f t="shared" ref="I366:AE366" si="259">-I341</f>
        <v>-0.57099999999999795</v>
      </c>
      <c r="J366" s="172">
        <f t="shared" si="259"/>
        <v>4.0949999999999847</v>
      </c>
      <c r="K366" s="172">
        <f t="shared" si="259"/>
        <v>-27.937999999999988</v>
      </c>
      <c r="L366" s="172">
        <f t="shared" si="259"/>
        <v>43.326999999999998</v>
      </c>
      <c r="M366" s="172">
        <f t="shared" si="259"/>
        <v>18.912999999999997</v>
      </c>
      <c r="N366" s="172">
        <f t="shared" si="259"/>
        <v>-6.8369999999999891</v>
      </c>
      <c r="O366" s="172">
        <f t="shared" si="259"/>
        <v>68.929999999999993</v>
      </c>
      <c r="P366" s="172">
        <f t="shared" si="259"/>
        <v>-53.759</v>
      </c>
      <c r="Q366" s="172">
        <f t="shared" si="259"/>
        <v>-14.910000000000011</v>
      </c>
      <c r="R366" s="172">
        <f t="shared" si="259"/>
        <v>-6.5760000000000076</v>
      </c>
      <c r="S366" s="172">
        <f t="shared" si="259"/>
        <v>-191.23399999999998</v>
      </c>
      <c r="T366" s="172">
        <f t="shared" si="259"/>
        <v>-13.959000000000003</v>
      </c>
      <c r="U366" s="172">
        <f t="shared" si="259"/>
        <v>-26.674999999999955</v>
      </c>
      <c r="V366" s="172">
        <f t="shared" si="259"/>
        <v>58.13900000000001</v>
      </c>
      <c r="W366" s="172">
        <f t="shared" si="259"/>
        <v>-173.72899999999993</v>
      </c>
      <c r="X366" s="172">
        <f t="shared" si="259"/>
        <v>-29.859000000000037</v>
      </c>
      <c r="Y366" s="172">
        <f t="shared" si="259"/>
        <v>-19.326999999999998</v>
      </c>
      <c r="Z366" s="172">
        <f t="shared" si="259"/>
        <v>-27.089999999999975</v>
      </c>
      <c r="AA366" s="172">
        <f t="shared" si="259"/>
        <v>25.894000000000005</v>
      </c>
      <c r="AB366" s="172">
        <f t="shared" si="259"/>
        <v>-50.382000000000005</v>
      </c>
      <c r="AC366" s="172">
        <f t="shared" si="259"/>
        <v>51.599999999999966</v>
      </c>
      <c r="AD366" s="172">
        <f t="shared" si="259"/>
        <v>-34.362000000000052</v>
      </c>
      <c r="AE366" s="172">
        <f t="shared" si="259"/>
        <v>-32.482999999999947</v>
      </c>
      <c r="AF366" s="147"/>
      <c r="AG366" s="147"/>
      <c r="AH366" s="161"/>
      <c r="AI366" s="161"/>
      <c r="AJ366" s="175"/>
      <c r="AK366" s="176"/>
      <c r="AL366" s="176"/>
      <c r="AM366" s="176"/>
      <c r="AN366" s="147"/>
      <c r="AO366" s="176"/>
      <c r="AP366" s="176"/>
      <c r="AQ366" s="176"/>
      <c r="AR366" s="176"/>
      <c r="AS366" s="176"/>
      <c r="AT366" s="176"/>
      <c r="AU366" s="176"/>
      <c r="AV366" s="176"/>
      <c r="AW366" s="176"/>
      <c r="AX366" s="176"/>
      <c r="AY366" s="176"/>
      <c r="AZ366" s="176"/>
      <c r="BA366" s="176"/>
      <c r="BB366" s="176"/>
      <c r="BC366" s="176"/>
      <c r="BD366" s="176"/>
      <c r="BE366" s="176"/>
      <c r="BF366" s="176"/>
      <c r="BG366" s="176"/>
    </row>
    <row r="367" spans="1:59" ht="15.75" customHeight="1" x14ac:dyDescent="0.2">
      <c r="A367" s="162"/>
      <c r="B367" s="162"/>
      <c r="C367" s="177"/>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47"/>
      <c r="AG367" s="147"/>
      <c r="AH367" s="161"/>
      <c r="AI367" s="161"/>
      <c r="AJ367" s="175"/>
      <c r="AK367" s="176"/>
      <c r="AL367" s="176"/>
      <c r="AM367" s="176"/>
      <c r="AN367" s="147"/>
      <c r="AO367" s="176"/>
      <c r="AP367" s="176"/>
      <c r="AQ367" s="176"/>
      <c r="AR367" s="176"/>
      <c r="AS367" s="176"/>
      <c r="AT367" s="176"/>
      <c r="AU367" s="176"/>
      <c r="AV367" s="176"/>
      <c r="AW367" s="176"/>
      <c r="AX367" s="176"/>
      <c r="AY367" s="176"/>
      <c r="AZ367" s="176"/>
      <c r="BA367" s="176"/>
      <c r="BB367" s="176"/>
      <c r="BC367" s="176"/>
      <c r="BD367" s="176"/>
      <c r="BE367" s="176"/>
      <c r="BF367" s="176"/>
      <c r="BG367" s="176"/>
    </row>
    <row r="368" spans="1:59" ht="15.75" customHeight="1" x14ac:dyDescent="0.2">
      <c r="A368" s="162"/>
      <c r="B368" s="162"/>
      <c r="C368" s="177" t="s">
        <v>272</v>
      </c>
      <c r="D368" s="172" t="s">
        <v>146</v>
      </c>
      <c r="E368" s="172">
        <f t="shared" ref="E368:AE368" si="260">E361+E364+E365+E366</f>
        <v>110.14181866724999</v>
      </c>
      <c r="F368" s="172">
        <f t="shared" si="260"/>
        <v>100.29214939414408</v>
      </c>
      <c r="G368" s="172">
        <f t="shared" si="260"/>
        <v>-7.6492843402698725</v>
      </c>
      <c r="H368" s="172">
        <f t="shared" si="260"/>
        <v>258.75754775288289</v>
      </c>
      <c r="I368" s="172">
        <f t="shared" si="260"/>
        <v>19.047410669999977</v>
      </c>
      <c r="J368" s="172">
        <f t="shared" si="260"/>
        <v>21.184106940000021</v>
      </c>
      <c r="K368" s="172">
        <f t="shared" si="260"/>
        <v>27.026348770000027</v>
      </c>
      <c r="L368" s="172">
        <f t="shared" si="260"/>
        <v>70.27280605</v>
      </c>
      <c r="M368" s="172">
        <f t="shared" si="260"/>
        <v>137.5306724300001</v>
      </c>
      <c r="N368" s="172">
        <f t="shared" si="260"/>
        <v>21.447660586592662</v>
      </c>
      <c r="O368" s="172">
        <f t="shared" si="260"/>
        <v>77.19122569084881</v>
      </c>
      <c r="P368" s="172">
        <f t="shared" si="260"/>
        <v>79.3692389926956</v>
      </c>
      <c r="Q368" s="172">
        <f t="shared" si="260"/>
        <v>70.034838971381774</v>
      </c>
      <c r="R368" s="172">
        <f t="shared" si="260"/>
        <v>248.04296424151886</v>
      </c>
      <c r="S368" s="172">
        <f t="shared" si="260"/>
        <v>-50.764409419999993</v>
      </c>
      <c r="T368" s="172">
        <f t="shared" si="260"/>
        <v>126.26466853999997</v>
      </c>
      <c r="U368" s="172">
        <f t="shared" si="260"/>
        <v>77.434214300000093</v>
      </c>
      <c r="V368" s="172">
        <f t="shared" si="260"/>
        <v>112.72875783000002</v>
      </c>
      <c r="W368" s="172">
        <f t="shared" si="260"/>
        <v>265.66323125000008</v>
      </c>
      <c r="X368" s="172">
        <f t="shared" si="260"/>
        <v>141.67066028999994</v>
      </c>
      <c r="Y368" s="172">
        <f t="shared" si="260"/>
        <v>53.863514480000035</v>
      </c>
      <c r="Z368" s="172">
        <f t="shared" si="260"/>
        <v>58.635973730000003</v>
      </c>
      <c r="AA368" s="172">
        <f t="shared" si="260"/>
        <v>163.31352645999999</v>
      </c>
      <c r="AB368" s="172">
        <f t="shared" si="260"/>
        <v>417.48367495999992</v>
      </c>
      <c r="AC368" s="172">
        <f t="shared" si="260"/>
        <v>174.63071688999997</v>
      </c>
      <c r="AD368" s="172">
        <f t="shared" si="260"/>
        <v>122.91733077515249</v>
      </c>
      <c r="AE368" s="172">
        <f t="shared" si="260"/>
        <v>84.698784550000028</v>
      </c>
      <c r="AF368" s="147"/>
      <c r="AG368" s="147"/>
      <c r="AH368" s="161"/>
      <c r="AI368" s="161"/>
      <c r="AJ368" s="175"/>
      <c r="AK368" s="176"/>
      <c r="AL368" s="176"/>
      <c r="AM368" s="176"/>
      <c r="AN368" s="147"/>
      <c r="AO368" s="176"/>
      <c r="AP368" s="176"/>
      <c r="AQ368" s="176"/>
      <c r="AR368" s="176"/>
      <c r="AS368" s="176"/>
      <c r="AT368" s="176"/>
      <c r="AU368" s="176"/>
      <c r="AV368" s="176"/>
      <c r="AW368" s="176"/>
      <c r="AX368" s="176"/>
      <c r="AY368" s="176"/>
      <c r="AZ368" s="176"/>
      <c r="BA368" s="176"/>
      <c r="BB368" s="176"/>
      <c r="BC368" s="176"/>
      <c r="BD368" s="176"/>
      <c r="BE368" s="176"/>
      <c r="BF368" s="176"/>
      <c r="BG368" s="176"/>
    </row>
    <row r="369" spans="1:59" ht="15.75" customHeight="1" x14ac:dyDescent="0.2">
      <c r="A369" s="147"/>
      <c r="B369" s="147"/>
      <c r="C369" s="55" t="s">
        <v>193</v>
      </c>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147"/>
      <c r="AG369" s="147"/>
      <c r="AH369" s="157"/>
      <c r="AI369" s="157"/>
      <c r="AJ369" s="15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row>
    <row r="370" spans="1:59" ht="15.75" customHeight="1" x14ac:dyDescent="0.2">
      <c r="A370" s="162"/>
      <c r="B370" s="162"/>
      <c r="C370" s="206"/>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row>
    <row r="371" spans="1:59" ht="15.75" customHeight="1" x14ac:dyDescent="0.2">
      <c r="A371" s="84"/>
      <c r="B371" s="153" t="s">
        <v>273</v>
      </c>
      <c r="C371" s="153"/>
      <c r="D371" s="245" t="s">
        <v>274</v>
      </c>
      <c r="E371" s="245" t="s">
        <v>275</v>
      </c>
      <c r="F371" s="245" t="s">
        <v>276</v>
      </c>
      <c r="G371" s="245" t="s">
        <v>277</v>
      </c>
      <c r="H371" s="245">
        <v>2018</v>
      </c>
      <c r="I371" s="245" t="s">
        <v>278</v>
      </c>
      <c r="J371" s="245" t="s">
        <v>279</v>
      </c>
      <c r="K371" s="245" t="s">
        <v>280</v>
      </c>
      <c r="L371" s="245" t="s">
        <v>281</v>
      </c>
      <c r="M371" s="245">
        <v>2019</v>
      </c>
      <c r="N371" s="245" t="s">
        <v>282</v>
      </c>
      <c r="O371" s="245" t="s">
        <v>283</v>
      </c>
      <c r="P371" s="245" t="s">
        <v>284</v>
      </c>
      <c r="Q371" s="245" t="s">
        <v>285</v>
      </c>
      <c r="R371" s="245">
        <v>2020</v>
      </c>
      <c r="S371" s="245" t="s">
        <v>286</v>
      </c>
      <c r="T371" s="245" t="s">
        <v>287</v>
      </c>
      <c r="U371" s="245" t="s">
        <v>288</v>
      </c>
      <c r="V371" s="245" t="s">
        <v>289</v>
      </c>
      <c r="W371" s="245">
        <v>2021</v>
      </c>
      <c r="X371" s="245" t="s">
        <v>290</v>
      </c>
      <c r="Y371" s="245" t="s">
        <v>291</v>
      </c>
      <c r="Z371" s="245" t="s">
        <v>292</v>
      </c>
      <c r="AA371" s="245" t="s">
        <v>293</v>
      </c>
      <c r="AB371" s="245">
        <v>2022</v>
      </c>
      <c r="AC371" s="245" t="s">
        <v>294</v>
      </c>
      <c r="AD371" s="245" t="s">
        <v>295</v>
      </c>
      <c r="AE371" s="245" t="s">
        <v>296</v>
      </c>
      <c r="AF371" s="147"/>
      <c r="AG371" s="84"/>
      <c r="AO371" s="84"/>
      <c r="AP371" s="84"/>
      <c r="AQ371" s="84"/>
      <c r="AR371" s="84"/>
      <c r="AS371" s="84"/>
      <c r="AT371" s="84"/>
      <c r="AU371" s="84"/>
      <c r="AV371" s="84"/>
      <c r="AW371" s="84"/>
      <c r="AX371" s="84"/>
      <c r="AY371" s="84"/>
      <c r="AZ371" s="84"/>
      <c r="BA371" s="84"/>
      <c r="BB371" s="84"/>
      <c r="BC371" s="84"/>
      <c r="BD371" s="84"/>
      <c r="BE371" s="84"/>
      <c r="BF371" s="84"/>
      <c r="BG371" s="84"/>
    </row>
    <row r="372" spans="1:59" ht="15.75" customHeight="1" x14ac:dyDescent="0.2">
      <c r="A372" s="84"/>
      <c r="B372" s="84"/>
      <c r="C372" s="97" t="s">
        <v>297</v>
      </c>
      <c r="D372" s="246">
        <f t="shared" ref="D372:E372" si="261">SUM(D373:D379)</f>
        <v>745193</v>
      </c>
      <c r="E372" s="246">
        <f t="shared" si="261"/>
        <v>623829</v>
      </c>
      <c r="F372" s="246">
        <v>711759</v>
      </c>
      <c r="G372" s="246">
        <f>SUM(G373:G379)</f>
        <v>684847</v>
      </c>
      <c r="H372" s="246">
        <f t="shared" ref="H372:AE372" si="262">SUM(H373:H380)</f>
        <v>684847</v>
      </c>
      <c r="I372" s="246">
        <f t="shared" si="262"/>
        <v>664788</v>
      </c>
      <c r="J372" s="246">
        <f t="shared" si="262"/>
        <v>588853</v>
      </c>
      <c r="K372" s="246">
        <f t="shared" si="262"/>
        <v>711759</v>
      </c>
      <c r="L372" s="246">
        <f t="shared" si="262"/>
        <v>685255</v>
      </c>
      <c r="M372" s="246">
        <f t="shared" si="262"/>
        <v>685255</v>
      </c>
      <c r="N372" s="246">
        <f t="shared" si="262"/>
        <v>881465</v>
      </c>
      <c r="O372" s="246">
        <f t="shared" si="262"/>
        <v>940897</v>
      </c>
      <c r="P372" s="246">
        <f t="shared" si="262"/>
        <v>1064982</v>
      </c>
      <c r="Q372" s="246">
        <f t="shared" si="262"/>
        <v>925735</v>
      </c>
      <c r="R372" s="246">
        <f t="shared" si="262"/>
        <v>925735</v>
      </c>
      <c r="S372" s="246">
        <f t="shared" si="262"/>
        <v>1248775</v>
      </c>
      <c r="T372" s="246">
        <f t="shared" si="262"/>
        <v>694827</v>
      </c>
      <c r="U372" s="246">
        <f t="shared" si="262"/>
        <v>758616</v>
      </c>
      <c r="V372" s="246">
        <f t="shared" si="262"/>
        <v>915026</v>
      </c>
      <c r="W372" s="246">
        <f t="shared" si="262"/>
        <v>915026</v>
      </c>
      <c r="X372" s="246">
        <f t="shared" si="262"/>
        <v>855432</v>
      </c>
      <c r="Y372" s="246">
        <f t="shared" si="262"/>
        <v>716830</v>
      </c>
      <c r="Z372" s="246">
        <f t="shared" si="262"/>
        <v>927545</v>
      </c>
      <c r="AA372" s="246">
        <f t="shared" si="262"/>
        <v>872083</v>
      </c>
      <c r="AB372" s="246">
        <f t="shared" si="262"/>
        <v>872083</v>
      </c>
      <c r="AC372" s="246">
        <f t="shared" si="262"/>
        <v>833021</v>
      </c>
      <c r="AD372" s="246">
        <f t="shared" si="262"/>
        <v>740208.03670000006</v>
      </c>
      <c r="AE372" s="246">
        <f t="shared" si="262"/>
        <v>813418</v>
      </c>
      <c r="AF372" s="147"/>
      <c r="AG372" s="84"/>
      <c r="AO372" s="84"/>
      <c r="AP372" s="84"/>
      <c r="AQ372" s="84"/>
      <c r="AR372" s="84"/>
      <c r="AS372" s="84"/>
      <c r="AT372" s="84"/>
      <c r="AU372" s="84"/>
      <c r="AV372" s="84"/>
      <c r="AW372" s="84"/>
      <c r="AX372" s="84"/>
      <c r="AY372" s="84"/>
      <c r="AZ372" s="84"/>
      <c r="BA372" s="84"/>
      <c r="BB372" s="84"/>
      <c r="BC372" s="84"/>
      <c r="BD372" s="84"/>
      <c r="BE372" s="84"/>
      <c r="BF372" s="84"/>
      <c r="BG372" s="84"/>
    </row>
    <row r="373" spans="1:59" ht="15.75" customHeight="1" x14ac:dyDescent="0.2">
      <c r="A373" s="84"/>
      <c r="B373" s="147"/>
      <c r="C373" s="189" t="s">
        <v>298</v>
      </c>
      <c r="D373" s="247">
        <v>377587</v>
      </c>
      <c r="E373" s="247">
        <v>213190</v>
      </c>
      <c r="F373" s="247">
        <v>146188</v>
      </c>
      <c r="G373" s="247">
        <v>154699</v>
      </c>
      <c r="H373" s="247">
        <f t="shared" ref="H373:H377" si="263">G373</f>
        <v>154699</v>
      </c>
      <c r="I373" s="247">
        <v>152540</v>
      </c>
      <c r="J373" s="247">
        <v>209510</v>
      </c>
      <c r="K373" s="247">
        <v>146188</v>
      </c>
      <c r="L373" s="247">
        <v>256542</v>
      </c>
      <c r="M373" s="247">
        <f t="shared" ref="M373:M380" si="264">L373</f>
        <v>256542</v>
      </c>
      <c r="N373" s="247">
        <v>503255</v>
      </c>
      <c r="O373" s="247">
        <v>533045</v>
      </c>
      <c r="P373" s="247">
        <v>533656</v>
      </c>
      <c r="Q373" s="247">
        <v>305241</v>
      </c>
      <c r="R373" s="247">
        <f t="shared" ref="R373:R380" si="265">Q373</f>
        <v>305241</v>
      </c>
      <c r="S373" s="247">
        <v>458849</v>
      </c>
      <c r="T373" s="247">
        <v>201999</v>
      </c>
      <c r="U373" s="247">
        <v>208200</v>
      </c>
      <c r="V373" s="247">
        <v>373695</v>
      </c>
      <c r="W373" s="247">
        <f t="shared" ref="W373:W380" si="266">V373</f>
        <v>373695</v>
      </c>
      <c r="X373" s="247">
        <v>343402</v>
      </c>
      <c r="Y373" s="247">
        <v>151091</v>
      </c>
      <c r="Z373" s="247">
        <v>339924</v>
      </c>
      <c r="AA373" s="247">
        <v>261395</v>
      </c>
      <c r="AB373" s="247">
        <f t="shared" ref="AB373:AB380" si="267">AA373</f>
        <v>261395</v>
      </c>
      <c r="AC373" s="247">
        <v>278168</v>
      </c>
      <c r="AD373" s="247">
        <v>143046.0367</v>
      </c>
      <c r="AE373" s="247">
        <v>217046</v>
      </c>
      <c r="AF373" s="147"/>
      <c r="AG373" s="84"/>
      <c r="AO373" s="84"/>
      <c r="AP373" s="84"/>
      <c r="AQ373" s="84"/>
      <c r="AR373" s="84"/>
      <c r="AS373" s="84"/>
      <c r="AT373" s="84"/>
      <c r="AU373" s="84"/>
      <c r="AV373" s="84"/>
      <c r="AW373" s="84"/>
      <c r="AX373" s="84"/>
      <c r="AY373" s="84"/>
      <c r="AZ373" s="84"/>
      <c r="BA373" s="84"/>
      <c r="BB373" s="84"/>
      <c r="BC373" s="84"/>
      <c r="BD373" s="84"/>
      <c r="BE373" s="84"/>
      <c r="BF373" s="84"/>
      <c r="BG373" s="84"/>
    </row>
    <row r="374" spans="1:59" ht="15.75" customHeight="1" x14ac:dyDescent="0.2">
      <c r="A374" s="84"/>
      <c r="B374" s="147"/>
      <c r="C374" s="189" t="s">
        <v>299</v>
      </c>
      <c r="D374" s="247">
        <v>21472</v>
      </c>
      <c r="E374" s="247">
        <v>46440</v>
      </c>
      <c r="F374" s="247">
        <v>95569</v>
      </c>
      <c r="G374" s="247">
        <v>112794</v>
      </c>
      <c r="H374" s="247">
        <f t="shared" si="263"/>
        <v>112794</v>
      </c>
      <c r="I374" s="247">
        <v>114384</v>
      </c>
      <c r="J374" s="247">
        <v>0</v>
      </c>
      <c r="K374" s="247">
        <v>95569</v>
      </c>
      <c r="L374" s="247">
        <v>56740</v>
      </c>
      <c r="M374" s="247">
        <f t="shared" si="264"/>
        <v>56740</v>
      </c>
      <c r="N374" s="247">
        <v>0</v>
      </c>
      <c r="O374" s="247">
        <v>0</v>
      </c>
      <c r="P374" s="247">
        <v>101589</v>
      </c>
      <c r="Q374" s="247">
        <v>205735</v>
      </c>
      <c r="R374" s="247">
        <f t="shared" si="265"/>
        <v>205735</v>
      </c>
      <c r="S374" s="247">
        <v>0</v>
      </c>
      <c r="T374" s="247">
        <v>0</v>
      </c>
      <c r="U374" s="247">
        <v>0</v>
      </c>
      <c r="V374" s="247">
        <v>0</v>
      </c>
      <c r="W374" s="247">
        <f t="shared" si="266"/>
        <v>0</v>
      </c>
      <c r="X374" s="247">
        <v>0</v>
      </c>
      <c r="Y374" s="247">
        <v>0</v>
      </c>
      <c r="Z374" s="247">
        <v>0</v>
      </c>
      <c r="AA374" s="247">
        <v>0</v>
      </c>
      <c r="AB374" s="247">
        <f t="shared" si="267"/>
        <v>0</v>
      </c>
      <c r="AC374" s="247">
        <v>0</v>
      </c>
      <c r="AD374" s="247">
        <v>0</v>
      </c>
      <c r="AE374" s="247">
        <v>0</v>
      </c>
      <c r="AF374" s="84"/>
      <c r="AG374" s="84"/>
      <c r="AO374" s="84"/>
      <c r="AP374" s="84"/>
      <c r="AQ374" s="84"/>
      <c r="AR374" s="84"/>
      <c r="AS374" s="84"/>
      <c r="AT374" s="84"/>
      <c r="AU374" s="84"/>
      <c r="AV374" s="84"/>
      <c r="AW374" s="84"/>
      <c r="AX374" s="84"/>
      <c r="AY374" s="84"/>
      <c r="AZ374" s="84"/>
      <c r="BA374" s="84"/>
      <c r="BB374" s="84"/>
      <c r="BC374" s="84"/>
      <c r="BD374" s="84"/>
      <c r="BE374" s="84"/>
      <c r="BF374" s="84"/>
      <c r="BG374" s="84"/>
    </row>
    <row r="375" spans="1:59" ht="15.75" customHeight="1" x14ac:dyDescent="0.2">
      <c r="A375" s="84"/>
      <c r="B375" s="147"/>
      <c r="C375" s="189" t="s">
        <v>259</v>
      </c>
      <c r="D375" s="247">
        <v>107980</v>
      </c>
      <c r="E375" s="247">
        <v>114933</v>
      </c>
      <c r="F375" s="247">
        <v>75246</v>
      </c>
      <c r="G375" s="247">
        <v>61707</v>
      </c>
      <c r="H375" s="247">
        <f t="shared" si="263"/>
        <v>61707</v>
      </c>
      <c r="I375" s="247">
        <v>57700</v>
      </c>
      <c r="J375" s="247">
        <v>48950</v>
      </c>
      <c r="K375" s="247">
        <v>75246</v>
      </c>
      <c r="L375" s="247">
        <v>38602</v>
      </c>
      <c r="M375" s="247">
        <f t="shared" si="264"/>
        <v>38602</v>
      </c>
      <c r="N375" s="247">
        <v>36088</v>
      </c>
      <c r="O375" s="247">
        <v>31215</v>
      </c>
      <c r="P375" s="247">
        <v>42572</v>
      </c>
      <c r="Q375" s="247">
        <v>35349</v>
      </c>
      <c r="R375" s="247">
        <f t="shared" si="265"/>
        <v>35349</v>
      </c>
      <c r="S375" s="247">
        <v>295148</v>
      </c>
      <c r="T375" s="247">
        <v>248026</v>
      </c>
      <c r="U375" s="247">
        <v>263573</v>
      </c>
      <c r="V375" s="247">
        <v>273972</v>
      </c>
      <c r="W375" s="247">
        <f t="shared" si="266"/>
        <v>273972</v>
      </c>
      <c r="X375" s="247">
        <v>242738</v>
      </c>
      <c r="Y375" s="247">
        <v>253665</v>
      </c>
      <c r="Z375" s="247">
        <v>289001</v>
      </c>
      <c r="AA375" s="247">
        <v>284556</v>
      </c>
      <c r="AB375" s="247">
        <f t="shared" si="267"/>
        <v>284556</v>
      </c>
      <c r="AC375" s="247">
        <v>257420</v>
      </c>
      <c r="AD375" s="247">
        <v>291120</v>
      </c>
      <c r="AE375" s="247">
        <v>301065</v>
      </c>
      <c r="AF375" s="84"/>
      <c r="AG375" s="84"/>
      <c r="AO375" s="84"/>
      <c r="AP375" s="84"/>
      <c r="AQ375" s="84"/>
      <c r="AR375" s="84"/>
      <c r="AS375" s="84"/>
      <c r="AT375" s="84"/>
      <c r="AU375" s="84"/>
      <c r="AV375" s="84"/>
      <c r="AW375" s="84"/>
      <c r="AX375" s="84"/>
      <c r="AY375" s="84"/>
      <c r="AZ375" s="84"/>
      <c r="BA375" s="84"/>
      <c r="BB375" s="84"/>
      <c r="BC375" s="84"/>
      <c r="BD375" s="84"/>
      <c r="BE375" s="84"/>
      <c r="BF375" s="84"/>
      <c r="BG375" s="84"/>
    </row>
    <row r="376" spans="1:59" ht="15.75" customHeight="1" x14ac:dyDescent="0.2">
      <c r="A376" s="84"/>
      <c r="B376" s="147"/>
      <c r="C376" s="189" t="s">
        <v>261</v>
      </c>
      <c r="D376" s="247">
        <v>50090</v>
      </c>
      <c r="E376" s="247">
        <v>53696</v>
      </c>
      <c r="F376" s="247">
        <v>52403</v>
      </c>
      <c r="G376" s="247">
        <v>42138</v>
      </c>
      <c r="H376" s="247">
        <f t="shared" si="263"/>
        <v>42138</v>
      </c>
      <c r="I376" s="247">
        <v>42006</v>
      </c>
      <c r="J376" s="247">
        <v>43779</v>
      </c>
      <c r="K376" s="247">
        <v>52403</v>
      </c>
      <c r="L376" s="247">
        <v>42351</v>
      </c>
      <c r="M376" s="247">
        <f t="shared" si="264"/>
        <v>42351</v>
      </c>
      <c r="N376" s="247">
        <v>50422</v>
      </c>
      <c r="O376" s="247">
        <v>51896</v>
      </c>
      <c r="P376" s="247">
        <v>57947</v>
      </c>
      <c r="Q376" s="247">
        <v>61134</v>
      </c>
      <c r="R376" s="247">
        <f t="shared" si="265"/>
        <v>61134</v>
      </c>
      <c r="S376" s="247">
        <v>64955</v>
      </c>
      <c r="T376" s="247">
        <v>63318</v>
      </c>
      <c r="U376" s="247">
        <v>74926</v>
      </c>
      <c r="V376" s="247">
        <v>68626</v>
      </c>
      <c r="W376" s="247">
        <f t="shared" si="266"/>
        <v>68626</v>
      </c>
      <c r="X376" s="247">
        <v>69207</v>
      </c>
      <c r="Y376" s="247">
        <v>82992</v>
      </c>
      <c r="Z376" s="247">
        <v>87592</v>
      </c>
      <c r="AA376" s="247">
        <v>91720</v>
      </c>
      <c r="AB376" s="247">
        <f t="shared" si="267"/>
        <v>91720</v>
      </c>
      <c r="AC376" s="247">
        <v>79840</v>
      </c>
      <c r="AD376" s="247">
        <v>79672</v>
      </c>
      <c r="AE376" s="247">
        <v>81851</v>
      </c>
      <c r="AF376" s="84"/>
      <c r="AG376" s="84"/>
      <c r="AO376" s="84"/>
      <c r="AP376" s="84"/>
      <c r="AQ376" s="84"/>
      <c r="AR376" s="84"/>
      <c r="AS376" s="84"/>
      <c r="AT376" s="84"/>
      <c r="AU376" s="84"/>
      <c r="AV376" s="84"/>
      <c r="AW376" s="84"/>
      <c r="AX376" s="84"/>
      <c r="AY376" s="84"/>
      <c r="AZ376" s="84"/>
      <c r="BA376" s="84"/>
      <c r="BB376" s="84"/>
      <c r="BC376" s="84"/>
      <c r="BD376" s="84"/>
      <c r="BE376" s="84"/>
      <c r="BF376" s="84"/>
      <c r="BG376" s="84"/>
    </row>
    <row r="377" spans="1:59" ht="15.75" customHeight="1" x14ac:dyDescent="0.2">
      <c r="A377" s="84"/>
      <c r="B377" s="147"/>
      <c r="C377" s="189" t="s">
        <v>300</v>
      </c>
      <c r="D377" s="247">
        <v>0</v>
      </c>
      <c r="E377" s="247">
        <v>0</v>
      </c>
      <c r="F377" s="247">
        <v>81187</v>
      </c>
      <c r="G377" s="247">
        <v>90218</v>
      </c>
      <c r="H377" s="247">
        <f t="shared" si="263"/>
        <v>90218</v>
      </c>
      <c r="I377" s="247">
        <v>87035</v>
      </c>
      <c r="J377" s="247">
        <v>82020</v>
      </c>
      <c r="K377" s="247">
        <v>81187</v>
      </c>
      <c r="L377" s="247">
        <v>100956</v>
      </c>
      <c r="M377" s="247">
        <f t="shared" si="264"/>
        <v>100956</v>
      </c>
      <c r="N377" s="247">
        <v>96871</v>
      </c>
      <c r="O377" s="247">
        <v>105407</v>
      </c>
      <c r="P377" s="247">
        <v>115014</v>
      </c>
      <c r="Q377" s="247">
        <v>116815</v>
      </c>
      <c r="R377" s="247">
        <f t="shared" si="265"/>
        <v>116815</v>
      </c>
      <c r="S377" s="247">
        <v>134675</v>
      </c>
      <c r="T377" s="247">
        <v>135239</v>
      </c>
      <c r="U377" s="247">
        <v>151405</v>
      </c>
      <c r="V377" s="247">
        <v>141635</v>
      </c>
      <c r="W377" s="247">
        <f t="shared" si="266"/>
        <v>141635</v>
      </c>
      <c r="X377" s="247">
        <v>137526</v>
      </c>
      <c r="Y377" s="247">
        <v>66003</v>
      </c>
      <c r="Z377" s="247">
        <v>64990</v>
      </c>
      <c r="AA377" s="247">
        <v>89907</v>
      </c>
      <c r="AB377" s="247">
        <f t="shared" si="267"/>
        <v>89907</v>
      </c>
      <c r="AC377" s="247">
        <v>86816</v>
      </c>
      <c r="AD377" s="247">
        <v>93685</v>
      </c>
      <c r="AE377" s="247">
        <v>97614</v>
      </c>
      <c r="AF377" s="84"/>
      <c r="AG377" s="84"/>
      <c r="AO377" s="84"/>
      <c r="AP377" s="84"/>
      <c r="AQ377" s="84"/>
      <c r="AR377" s="84"/>
      <c r="AS377" s="84"/>
      <c r="AT377" s="84"/>
      <c r="AU377" s="84"/>
      <c r="AV377" s="84"/>
      <c r="AW377" s="84"/>
      <c r="AX377" s="84"/>
      <c r="AY377" s="84"/>
      <c r="AZ377" s="84"/>
      <c r="BA377" s="84"/>
      <c r="BB377" s="84"/>
      <c r="BC377" s="84"/>
      <c r="BD377" s="84"/>
      <c r="BE377" s="84"/>
      <c r="BF377" s="84"/>
      <c r="BG377" s="84"/>
    </row>
    <row r="378" spans="1:59" ht="15.75" customHeight="1" x14ac:dyDescent="0.2">
      <c r="A378" s="84"/>
      <c r="B378" s="147"/>
      <c r="C378" s="189" t="s">
        <v>301</v>
      </c>
      <c r="D378" s="247">
        <v>0</v>
      </c>
      <c r="E378" s="247">
        <v>0</v>
      </c>
      <c r="F378" s="247">
        <v>0</v>
      </c>
      <c r="G378" s="247">
        <v>0</v>
      </c>
      <c r="H378" s="247">
        <v>0</v>
      </c>
      <c r="I378" s="247">
        <v>0</v>
      </c>
      <c r="J378" s="247">
        <v>0</v>
      </c>
      <c r="K378" s="247">
        <v>0</v>
      </c>
      <c r="L378" s="247">
        <v>0</v>
      </c>
      <c r="M378" s="247">
        <f t="shared" si="264"/>
        <v>0</v>
      </c>
      <c r="N378" s="247">
        <v>0</v>
      </c>
      <c r="O378" s="247">
        <v>0</v>
      </c>
      <c r="P378" s="247">
        <v>0</v>
      </c>
      <c r="Q378" s="247">
        <v>0</v>
      </c>
      <c r="R378" s="247">
        <f t="shared" si="265"/>
        <v>0</v>
      </c>
      <c r="S378" s="247">
        <v>0</v>
      </c>
      <c r="T378" s="247">
        <v>0</v>
      </c>
      <c r="U378" s="247">
        <v>0</v>
      </c>
      <c r="V378" s="247">
        <v>0</v>
      </c>
      <c r="W378" s="247">
        <f t="shared" si="266"/>
        <v>0</v>
      </c>
      <c r="X378" s="247">
        <v>0</v>
      </c>
      <c r="Y378" s="247">
        <v>83433</v>
      </c>
      <c r="Z378" s="247">
        <v>87766</v>
      </c>
      <c r="AA378" s="247">
        <v>90181</v>
      </c>
      <c r="AB378" s="247">
        <f t="shared" si="267"/>
        <v>90181</v>
      </c>
      <c r="AC378" s="247">
        <v>33030</v>
      </c>
      <c r="AD378" s="247">
        <v>33536</v>
      </c>
      <c r="AE378" s="247">
        <v>35031</v>
      </c>
      <c r="AF378" s="84"/>
      <c r="AG378" s="84"/>
      <c r="AI378" s="147"/>
      <c r="AJ378" s="147"/>
      <c r="AO378" s="84"/>
      <c r="AP378" s="84"/>
      <c r="AQ378" s="84"/>
      <c r="AR378" s="84"/>
      <c r="AS378" s="84"/>
      <c r="AT378" s="84"/>
      <c r="AU378" s="84"/>
      <c r="AV378" s="84"/>
      <c r="AW378" s="84"/>
      <c r="AX378" s="84"/>
      <c r="AY378" s="84"/>
      <c r="AZ378" s="84"/>
      <c r="BA378" s="84"/>
      <c r="BB378" s="84"/>
      <c r="BC378" s="84"/>
      <c r="BD378" s="84"/>
      <c r="BE378" s="84"/>
      <c r="BF378" s="84"/>
      <c r="BG378" s="84"/>
    </row>
    <row r="379" spans="1:59" ht="15.75" customHeight="1" x14ac:dyDescent="0.2">
      <c r="A379" s="84"/>
      <c r="B379" s="147"/>
      <c r="C379" s="189" t="s">
        <v>259</v>
      </c>
      <c r="D379" s="247">
        <v>188064</v>
      </c>
      <c r="E379" s="247">
        <v>195570</v>
      </c>
      <c r="F379" s="247">
        <v>261166</v>
      </c>
      <c r="G379" s="247">
        <v>223291</v>
      </c>
      <c r="H379" s="247">
        <f t="shared" ref="H379:H380" si="268">G379</f>
        <v>223291</v>
      </c>
      <c r="I379" s="247">
        <v>211123</v>
      </c>
      <c r="J379" s="247">
        <v>204594</v>
      </c>
      <c r="K379" s="247">
        <v>261166</v>
      </c>
      <c r="L379" s="247">
        <v>190064</v>
      </c>
      <c r="M379" s="247">
        <f t="shared" si="264"/>
        <v>190064</v>
      </c>
      <c r="N379" s="247">
        <v>194829</v>
      </c>
      <c r="O379" s="247">
        <v>219334</v>
      </c>
      <c r="P379" s="247">
        <v>214204</v>
      </c>
      <c r="Q379" s="247">
        <v>201461</v>
      </c>
      <c r="R379" s="247">
        <f t="shared" si="265"/>
        <v>201461</v>
      </c>
      <c r="S379" s="247">
        <v>295148</v>
      </c>
      <c r="T379" s="247">
        <v>0</v>
      </c>
      <c r="U379" s="247">
        <v>0</v>
      </c>
      <c r="V379" s="247">
        <v>0</v>
      </c>
      <c r="W379" s="247">
        <f t="shared" si="266"/>
        <v>0</v>
      </c>
      <c r="X379" s="247">
        <v>0</v>
      </c>
      <c r="Y379" s="247">
        <v>0</v>
      </c>
      <c r="Z379" s="247">
        <v>0</v>
      </c>
      <c r="AA379" s="247">
        <v>0</v>
      </c>
      <c r="AB379" s="247">
        <f t="shared" si="267"/>
        <v>0</v>
      </c>
      <c r="AC379" s="247">
        <v>0</v>
      </c>
      <c r="AD379" s="247">
        <v>0</v>
      </c>
      <c r="AE379" s="247">
        <v>0</v>
      </c>
      <c r="AF379" s="84"/>
      <c r="AG379" s="84"/>
      <c r="AI379" s="147"/>
      <c r="AJ379" s="147"/>
      <c r="AO379" s="84"/>
      <c r="AP379" s="84"/>
      <c r="AQ379" s="84"/>
      <c r="AR379" s="84"/>
      <c r="AS379" s="84"/>
      <c r="AT379" s="84"/>
      <c r="AU379" s="84"/>
      <c r="AV379" s="84"/>
      <c r="AW379" s="84"/>
      <c r="AX379" s="84"/>
      <c r="AY379" s="84"/>
      <c r="AZ379" s="84"/>
      <c r="BA379" s="84"/>
      <c r="BB379" s="84"/>
      <c r="BC379" s="84"/>
      <c r="BD379" s="84"/>
      <c r="BE379" s="84"/>
      <c r="BF379" s="84"/>
      <c r="BG379" s="84"/>
    </row>
    <row r="380" spans="1:59" ht="15.75" customHeight="1" x14ac:dyDescent="0.2">
      <c r="A380" s="84"/>
      <c r="B380" s="147"/>
      <c r="C380" s="189" t="s">
        <v>302</v>
      </c>
      <c r="D380" s="247">
        <v>0</v>
      </c>
      <c r="E380" s="247">
        <v>0</v>
      </c>
      <c r="F380" s="247">
        <v>0</v>
      </c>
      <c r="G380" s="247">
        <v>0</v>
      </c>
      <c r="H380" s="247">
        <f t="shared" si="268"/>
        <v>0</v>
      </c>
      <c r="I380" s="247">
        <v>0</v>
      </c>
      <c r="J380" s="247">
        <v>0</v>
      </c>
      <c r="K380" s="247">
        <v>0</v>
      </c>
      <c r="L380" s="247">
        <v>0</v>
      </c>
      <c r="M380" s="247">
        <f t="shared" si="264"/>
        <v>0</v>
      </c>
      <c r="N380" s="247">
        <v>0</v>
      </c>
      <c r="O380" s="247">
        <v>0</v>
      </c>
      <c r="P380" s="247">
        <v>0</v>
      </c>
      <c r="Q380" s="247">
        <v>0</v>
      </c>
      <c r="R380" s="247">
        <f t="shared" si="265"/>
        <v>0</v>
      </c>
      <c r="S380" s="247">
        <v>0</v>
      </c>
      <c r="T380" s="247">
        <v>46245</v>
      </c>
      <c r="U380" s="247">
        <v>60512</v>
      </c>
      <c r="V380" s="247">
        <v>57098</v>
      </c>
      <c r="W380" s="247">
        <f t="shared" si="266"/>
        <v>57098</v>
      </c>
      <c r="X380" s="247">
        <v>62559</v>
      </c>
      <c r="Y380" s="247">
        <v>79646</v>
      </c>
      <c r="Z380" s="247">
        <v>58272</v>
      </c>
      <c r="AA380" s="247">
        <v>54324</v>
      </c>
      <c r="AB380" s="247">
        <f t="shared" si="267"/>
        <v>54324</v>
      </c>
      <c r="AC380" s="247">
        <v>97747</v>
      </c>
      <c r="AD380" s="247">
        <v>99149</v>
      </c>
      <c r="AE380" s="247">
        <v>80811</v>
      </c>
      <c r="AF380" s="84"/>
      <c r="AG380" s="84"/>
      <c r="AI380" s="157"/>
      <c r="AJ380" s="157"/>
      <c r="AO380" s="84"/>
      <c r="AP380" s="84"/>
      <c r="AQ380" s="84"/>
      <c r="AR380" s="84"/>
      <c r="AS380" s="84"/>
      <c r="AT380" s="84"/>
      <c r="AU380" s="84"/>
      <c r="AV380" s="84"/>
      <c r="AW380" s="84"/>
      <c r="AX380" s="84"/>
      <c r="AY380" s="84"/>
      <c r="AZ380" s="84"/>
      <c r="BA380" s="84"/>
      <c r="BB380" s="84"/>
      <c r="BC380" s="84"/>
      <c r="BD380" s="84"/>
      <c r="BE380" s="84"/>
      <c r="BF380" s="84"/>
      <c r="BG380" s="84"/>
    </row>
    <row r="381" spans="1:59" ht="15.75" customHeight="1" x14ac:dyDescent="0.2">
      <c r="A381" s="84"/>
      <c r="B381" s="147"/>
      <c r="C381" s="147"/>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84"/>
      <c r="AG381" s="84"/>
      <c r="AI381" s="161"/>
      <c r="AJ381" s="161"/>
      <c r="AO381" s="84"/>
      <c r="AP381" s="84"/>
      <c r="AQ381" s="84"/>
      <c r="AR381" s="84"/>
      <c r="AS381" s="84"/>
      <c r="AT381" s="84"/>
      <c r="AU381" s="84"/>
      <c r="AV381" s="84"/>
      <c r="AW381" s="84"/>
      <c r="AX381" s="84"/>
      <c r="AY381" s="84"/>
      <c r="AZ381" s="84"/>
      <c r="BA381" s="84"/>
      <c r="BB381" s="84"/>
      <c r="BC381" s="84"/>
      <c r="BD381" s="84"/>
      <c r="BE381" s="84"/>
      <c r="BF381" s="84"/>
      <c r="BG381" s="84"/>
    </row>
    <row r="382" spans="1:59" ht="15.75" customHeight="1" x14ac:dyDescent="0.2">
      <c r="A382" s="84"/>
      <c r="B382" s="84"/>
      <c r="C382" s="97" t="s">
        <v>303</v>
      </c>
      <c r="D382" s="246">
        <f t="shared" ref="D382:G382" si="269">SUM(D392:D393)</f>
        <v>100472</v>
      </c>
      <c r="E382" s="246">
        <f t="shared" si="269"/>
        <v>106401</v>
      </c>
      <c r="F382" s="246">
        <f t="shared" si="269"/>
        <v>227056</v>
      </c>
      <c r="G382" s="246">
        <f t="shared" si="269"/>
        <v>222100</v>
      </c>
      <c r="H382" s="246">
        <f t="shared" ref="H382:AE382" si="270">SUM(H383:H393)</f>
        <v>2997240</v>
      </c>
      <c r="I382" s="246">
        <f t="shared" si="270"/>
        <v>3750705</v>
      </c>
      <c r="J382" s="246">
        <f t="shared" si="270"/>
        <v>3767703</v>
      </c>
      <c r="K382" s="246">
        <f t="shared" si="270"/>
        <v>3033027</v>
      </c>
      <c r="L382" s="246">
        <f t="shared" si="270"/>
        <v>3954374</v>
      </c>
      <c r="M382" s="246">
        <f t="shared" si="270"/>
        <v>3954374</v>
      </c>
      <c r="N382" s="246">
        <f t="shared" si="270"/>
        <v>4496766</v>
      </c>
      <c r="O382" s="246">
        <f t="shared" si="270"/>
        <v>4687728</v>
      </c>
      <c r="P382" s="246">
        <f t="shared" si="270"/>
        <v>4689979</v>
      </c>
      <c r="Q382" s="246">
        <f t="shared" si="270"/>
        <v>4475575</v>
      </c>
      <c r="R382" s="246">
        <f t="shared" si="270"/>
        <v>4475575</v>
      </c>
      <c r="S382" s="246">
        <f t="shared" si="270"/>
        <v>4809417</v>
      </c>
      <c r="T382" s="246">
        <f t="shared" si="270"/>
        <v>4394943</v>
      </c>
      <c r="U382" s="246">
        <f t="shared" si="270"/>
        <v>4552916</v>
      </c>
      <c r="V382" s="246">
        <f t="shared" si="270"/>
        <v>4809417</v>
      </c>
      <c r="W382" s="246">
        <f t="shared" si="270"/>
        <v>4809417</v>
      </c>
      <c r="X382" s="246">
        <f t="shared" si="270"/>
        <v>4453683</v>
      </c>
      <c r="Y382" s="246">
        <f t="shared" si="270"/>
        <v>4797768</v>
      </c>
      <c r="Z382" s="246">
        <f t="shared" si="270"/>
        <v>4911320</v>
      </c>
      <c r="AA382" s="246">
        <f t="shared" si="270"/>
        <v>4859021</v>
      </c>
      <c r="AB382" s="246">
        <f t="shared" si="270"/>
        <v>4859021</v>
      </c>
      <c r="AC382" s="246">
        <f t="shared" si="270"/>
        <v>4903104</v>
      </c>
      <c r="AD382" s="246">
        <f t="shared" si="270"/>
        <v>4767252</v>
      </c>
      <c r="AE382" s="246">
        <f t="shared" si="270"/>
        <v>4951561</v>
      </c>
      <c r="AF382" s="84"/>
      <c r="AG382" s="84"/>
      <c r="AI382" s="161"/>
      <c r="AJ382" s="161"/>
      <c r="AO382" s="84"/>
      <c r="AP382" s="84"/>
      <c r="AQ382" s="84"/>
      <c r="AR382" s="84"/>
      <c r="AS382" s="84"/>
      <c r="AT382" s="84"/>
      <c r="AU382" s="84"/>
      <c r="AV382" s="84"/>
      <c r="AW382" s="84"/>
      <c r="AX382" s="84"/>
      <c r="AY382" s="84"/>
      <c r="AZ382" s="84"/>
      <c r="BA382" s="84"/>
      <c r="BB382" s="84"/>
      <c r="BC382" s="84"/>
      <c r="BD382" s="84"/>
      <c r="BE382" s="84"/>
      <c r="BF382" s="84"/>
      <c r="BG382" s="84"/>
    </row>
    <row r="383" spans="1:59" ht="15.75" customHeight="1" x14ac:dyDescent="0.2">
      <c r="A383" s="84"/>
      <c r="B383" s="147"/>
      <c r="C383" s="189" t="s">
        <v>304</v>
      </c>
      <c r="D383" s="247">
        <v>0</v>
      </c>
      <c r="E383" s="247">
        <v>0</v>
      </c>
      <c r="F383" s="247">
        <v>31024</v>
      </c>
      <c r="G383" s="247">
        <v>28852</v>
      </c>
      <c r="H383" s="247">
        <f t="shared" ref="H383:H393" si="271">G383</f>
        <v>28852</v>
      </c>
      <c r="I383" s="247">
        <v>29906</v>
      </c>
      <c r="J383" s="247">
        <v>29090</v>
      </c>
      <c r="K383" s="247">
        <v>31024</v>
      </c>
      <c r="L383" s="247">
        <v>37917</v>
      </c>
      <c r="M383" s="247">
        <f t="shared" ref="M383:M393" si="272">L383</f>
        <v>37917</v>
      </c>
      <c r="N383" s="247">
        <v>35091</v>
      </c>
      <c r="O383" s="247">
        <v>31311</v>
      </c>
      <c r="P383" s="247">
        <v>26934</v>
      </c>
      <c r="Q383" s="247">
        <v>25489</v>
      </c>
      <c r="R383" s="247">
        <f t="shared" ref="R383:R393" si="273">Q383</f>
        <v>25489</v>
      </c>
      <c r="S383" s="247">
        <v>19990</v>
      </c>
      <c r="T383" s="247">
        <v>23755</v>
      </c>
      <c r="U383" s="247">
        <v>24509</v>
      </c>
      <c r="V383" s="247">
        <v>19990</v>
      </c>
      <c r="W383" s="247">
        <f t="shared" ref="W383:W393" si="274">V383</f>
        <v>19990</v>
      </c>
      <c r="X383" s="247">
        <v>20116</v>
      </c>
      <c r="Y383" s="247">
        <v>20139</v>
      </c>
      <c r="Z383" s="247">
        <v>18629</v>
      </c>
      <c r="AA383" s="247">
        <v>18293</v>
      </c>
      <c r="AB383" s="247">
        <f t="shared" ref="AB383:AB393" si="275">AA383</f>
        <v>18293</v>
      </c>
      <c r="AC383" s="247">
        <v>17682</v>
      </c>
      <c r="AD383" s="247">
        <v>16865</v>
      </c>
      <c r="AE383" s="247">
        <v>15772</v>
      </c>
      <c r="AF383" s="84"/>
      <c r="AG383" s="84"/>
      <c r="AI383" s="161"/>
      <c r="AJ383" s="161"/>
      <c r="AO383" s="84"/>
      <c r="AP383" s="84"/>
      <c r="AQ383" s="84"/>
      <c r="AR383" s="84"/>
      <c r="AS383" s="84"/>
      <c r="AT383" s="84"/>
      <c r="AU383" s="84"/>
      <c r="AV383" s="84"/>
      <c r="AW383" s="84"/>
      <c r="AX383" s="84"/>
      <c r="AY383" s="84"/>
      <c r="AZ383" s="84"/>
      <c r="BA383" s="84"/>
      <c r="BB383" s="84"/>
      <c r="BC383" s="84"/>
      <c r="BD383" s="84"/>
      <c r="BE383" s="84"/>
      <c r="BF383" s="84"/>
      <c r="BG383" s="84"/>
    </row>
    <row r="384" spans="1:59" ht="15.75" customHeight="1" x14ac:dyDescent="0.2">
      <c r="A384" s="84"/>
      <c r="B384" s="147"/>
      <c r="C384" s="189" t="s">
        <v>305</v>
      </c>
      <c r="D384" s="247">
        <v>0</v>
      </c>
      <c r="E384" s="247">
        <v>0</v>
      </c>
      <c r="F384" s="247">
        <v>0</v>
      </c>
      <c r="G384" s="247">
        <v>0</v>
      </c>
      <c r="H384" s="247">
        <f t="shared" si="271"/>
        <v>0</v>
      </c>
      <c r="I384" s="247">
        <v>0</v>
      </c>
      <c r="J384" s="247">
        <v>0</v>
      </c>
      <c r="K384" s="247">
        <v>0</v>
      </c>
      <c r="L384" s="247">
        <v>0</v>
      </c>
      <c r="M384" s="247">
        <f t="shared" si="272"/>
        <v>0</v>
      </c>
      <c r="N384" s="247">
        <v>0</v>
      </c>
      <c r="O384" s="247">
        <v>0</v>
      </c>
      <c r="P384" s="247">
        <v>0</v>
      </c>
      <c r="Q384" s="247">
        <v>0</v>
      </c>
      <c r="R384" s="247">
        <f t="shared" si="273"/>
        <v>0</v>
      </c>
      <c r="S384" s="247">
        <v>60188</v>
      </c>
      <c r="T384" s="247">
        <v>105007</v>
      </c>
      <c r="U384" s="247">
        <v>136594</v>
      </c>
      <c r="V384" s="247">
        <v>60188</v>
      </c>
      <c r="W384" s="247">
        <f t="shared" si="274"/>
        <v>60188</v>
      </c>
      <c r="X384" s="247">
        <v>51991</v>
      </c>
      <c r="Y384" s="247">
        <v>70399</v>
      </c>
      <c r="Z384" s="247">
        <v>72679</v>
      </c>
      <c r="AA384" s="247">
        <v>58339</v>
      </c>
      <c r="AB384" s="247">
        <f t="shared" si="275"/>
        <v>58339</v>
      </c>
      <c r="AC384" s="247">
        <v>80433</v>
      </c>
      <c r="AD384" s="247">
        <v>66702</v>
      </c>
      <c r="AE384" s="247">
        <v>57463</v>
      </c>
      <c r="AF384" s="84"/>
      <c r="AG384" s="84"/>
      <c r="AI384" s="169"/>
      <c r="AJ384" s="169"/>
      <c r="AO384" s="84"/>
      <c r="AP384" s="84"/>
      <c r="AQ384" s="84"/>
      <c r="AR384" s="84"/>
      <c r="AS384" s="84"/>
      <c r="AT384" s="84"/>
      <c r="AU384" s="84"/>
      <c r="AV384" s="84"/>
      <c r="AW384" s="84"/>
      <c r="AX384" s="84"/>
      <c r="AY384" s="84"/>
      <c r="AZ384" s="84"/>
      <c r="BA384" s="84"/>
      <c r="BB384" s="84"/>
      <c r="BC384" s="84"/>
      <c r="BD384" s="84"/>
      <c r="BE384" s="84"/>
      <c r="BF384" s="84"/>
      <c r="BG384" s="84"/>
    </row>
    <row r="385" spans="1:59" ht="15.75" customHeight="1" x14ac:dyDescent="0.2">
      <c r="A385" s="84"/>
      <c r="B385" s="147"/>
      <c r="C385" s="189" t="s">
        <v>306</v>
      </c>
      <c r="D385" s="247">
        <v>0</v>
      </c>
      <c r="E385" s="247">
        <v>0</v>
      </c>
      <c r="F385" s="247">
        <v>96003</v>
      </c>
      <c r="G385" s="247">
        <v>99207</v>
      </c>
      <c r="H385" s="247">
        <f t="shared" si="271"/>
        <v>99207</v>
      </c>
      <c r="I385" s="247">
        <v>110348</v>
      </c>
      <c r="J385" s="247">
        <v>110434</v>
      </c>
      <c r="K385" s="247">
        <v>96003</v>
      </c>
      <c r="L385" s="247">
        <v>106817</v>
      </c>
      <c r="M385" s="247">
        <f t="shared" si="272"/>
        <v>106817</v>
      </c>
      <c r="N385" s="247">
        <v>105970</v>
      </c>
      <c r="O385" s="247">
        <v>106569</v>
      </c>
      <c r="P385" s="247">
        <v>88885</v>
      </c>
      <c r="Q385" s="247">
        <v>57195</v>
      </c>
      <c r="R385" s="247">
        <f t="shared" si="273"/>
        <v>57195</v>
      </c>
      <c r="S385" s="247">
        <v>71521</v>
      </c>
      <c r="T385" s="247">
        <v>30862</v>
      </c>
      <c r="U385" s="247">
        <v>33657</v>
      </c>
      <c r="V385" s="247">
        <v>71521</v>
      </c>
      <c r="W385" s="247">
        <f t="shared" si="274"/>
        <v>71521</v>
      </c>
      <c r="X385" s="247">
        <v>70937</v>
      </c>
      <c r="Y385" s="247">
        <v>73507</v>
      </c>
      <c r="Z385" s="247">
        <v>73634</v>
      </c>
      <c r="AA385" s="247">
        <v>79012</v>
      </c>
      <c r="AB385" s="247">
        <f t="shared" si="275"/>
        <v>79012</v>
      </c>
      <c r="AC385" s="247">
        <v>130283</v>
      </c>
      <c r="AD385" s="247">
        <v>117152</v>
      </c>
      <c r="AE385" s="247">
        <v>113568</v>
      </c>
      <c r="AF385" s="84"/>
      <c r="AG385" s="84"/>
      <c r="AI385" s="169"/>
      <c r="AJ385" s="169"/>
      <c r="AO385" s="84"/>
      <c r="AP385" s="84"/>
      <c r="AQ385" s="84"/>
      <c r="AR385" s="84"/>
      <c r="AS385" s="84"/>
      <c r="AT385" s="84"/>
      <c r="AU385" s="84"/>
      <c r="AV385" s="84"/>
      <c r="AW385" s="84"/>
      <c r="AX385" s="84"/>
      <c r="AY385" s="84"/>
      <c r="AZ385" s="84"/>
      <c r="BA385" s="84"/>
      <c r="BB385" s="84"/>
      <c r="BC385" s="84"/>
      <c r="BD385" s="84"/>
      <c r="BE385" s="84"/>
      <c r="BF385" s="84"/>
      <c r="BG385" s="84"/>
    </row>
    <row r="386" spans="1:59" ht="15.75" customHeight="1" x14ac:dyDescent="0.2">
      <c r="A386" s="84"/>
      <c r="B386" s="147"/>
      <c r="C386" s="189" t="s">
        <v>307</v>
      </c>
      <c r="D386" s="247">
        <v>89995</v>
      </c>
      <c r="E386" s="247">
        <v>116179</v>
      </c>
      <c r="F386" s="247">
        <v>114367</v>
      </c>
      <c r="G386" s="247">
        <v>109358</v>
      </c>
      <c r="H386" s="247">
        <f t="shared" si="271"/>
        <v>109358</v>
      </c>
      <c r="I386" s="247">
        <v>110027</v>
      </c>
      <c r="J386" s="247">
        <v>105474</v>
      </c>
      <c r="K386" s="247">
        <v>114367</v>
      </c>
      <c r="L386" s="247">
        <v>128473</v>
      </c>
      <c r="M386" s="247">
        <f t="shared" si="272"/>
        <v>128473</v>
      </c>
      <c r="N386" s="247">
        <v>148379</v>
      </c>
      <c r="O386" s="247">
        <v>152868</v>
      </c>
      <c r="P386" s="247">
        <v>155790</v>
      </c>
      <c r="Q386" s="247">
        <v>154425</v>
      </c>
      <c r="R386" s="247">
        <f t="shared" si="273"/>
        <v>154425</v>
      </c>
      <c r="S386" s="247">
        <v>124623</v>
      </c>
      <c r="T386" s="247">
        <v>116881</v>
      </c>
      <c r="U386" s="247">
        <v>121964</v>
      </c>
      <c r="V386" s="247">
        <v>124623</v>
      </c>
      <c r="W386" s="247">
        <f t="shared" si="274"/>
        <v>124623</v>
      </c>
      <c r="X386" s="247">
        <v>118913</v>
      </c>
      <c r="Y386" s="247">
        <v>125636</v>
      </c>
      <c r="Z386" s="247">
        <v>121032</v>
      </c>
      <c r="AA386" s="247">
        <v>114626</v>
      </c>
      <c r="AB386" s="247">
        <f t="shared" si="275"/>
        <v>114626</v>
      </c>
      <c r="AC386" s="247">
        <v>113988</v>
      </c>
      <c r="AD386" s="247">
        <v>108434</v>
      </c>
      <c r="AE386" s="247">
        <v>114364</v>
      </c>
      <c r="AF386" s="84"/>
      <c r="AG386" s="84"/>
      <c r="AI386" s="169"/>
      <c r="AJ386" s="169"/>
      <c r="AO386" s="84"/>
      <c r="AP386" s="84"/>
      <c r="AQ386" s="84"/>
      <c r="AR386" s="84"/>
      <c r="AS386" s="84"/>
      <c r="AT386" s="84"/>
      <c r="AU386" s="84"/>
      <c r="AV386" s="84"/>
      <c r="AW386" s="84"/>
      <c r="AX386" s="84"/>
      <c r="AY386" s="84"/>
      <c r="AZ386" s="84"/>
      <c r="BA386" s="84"/>
      <c r="BB386" s="84"/>
      <c r="BC386" s="84"/>
      <c r="BD386" s="84"/>
      <c r="BE386" s="84"/>
      <c r="BF386" s="84"/>
      <c r="BG386" s="84"/>
    </row>
    <row r="387" spans="1:59" ht="15.75" customHeight="1" x14ac:dyDescent="0.2">
      <c r="A387" s="84"/>
      <c r="B387" s="147"/>
      <c r="C387" s="189" t="s">
        <v>308</v>
      </c>
      <c r="D387" s="247">
        <v>87396</v>
      </c>
      <c r="E387" s="247">
        <v>113943</v>
      </c>
      <c r="F387" s="247">
        <v>116249</v>
      </c>
      <c r="G387" s="247">
        <v>102791</v>
      </c>
      <c r="H387" s="247">
        <f t="shared" si="271"/>
        <v>102791</v>
      </c>
      <c r="I387" s="247">
        <v>97908</v>
      </c>
      <c r="J387" s="247">
        <v>112050</v>
      </c>
      <c r="K387" s="247">
        <v>116249</v>
      </c>
      <c r="L387" s="247">
        <v>122267</v>
      </c>
      <c r="M387" s="247">
        <f t="shared" si="272"/>
        <v>122267</v>
      </c>
      <c r="N387" s="247">
        <v>135265</v>
      </c>
      <c r="O387" s="247">
        <v>136429</v>
      </c>
      <c r="P387" s="247">
        <v>140905</v>
      </c>
      <c r="Q387" s="247">
        <v>136076</v>
      </c>
      <c r="R387" s="247">
        <f t="shared" si="273"/>
        <v>136076</v>
      </c>
      <c r="S387" s="247">
        <v>343494</v>
      </c>
      <c r="T387" s="247">
        <v>103022</v>
      </c>
      <c r="U387" s="247">
        <v>127621</v>
      </c>
      <c r="V387" s="247">
        <v>343494</v>
      </c>
      <c r="W387" s="247">
        <f t="shared" si="274"/>
        <v>343494</v>
      </c>
      <c r="X387" s="247">
        <v>336671</v>
      </c>
      <c r="Y387" s="247">
        <v>351922</v>
      </c>
      <c r="Z387" s="247">
        <v>375882</v>
      </c>
      <c r="AA387" s="247">
        <v>427135</v>
      </c>
      <c r="AB387" s="247">
        <f t="shared" si="275"/>
        <v>427135</v>
      </c>
      <c r="AC387" s="247">
        <v>451784</v>
      </c>
      <c r="AD387" s="247">
        <v>447013</v>
      </c>
      <c r="AE387" s="247">
        <v>478845</v>
      </c>
      <c r="AF387" s="84"/>
      <c r="AG387" s="84"/>
      <c r="AI387" s="157"/>
      <c r="AJ387" s="157"/>
      <c r="AO387" s="84"/>
      <c r="AP387" s="84"/>
      <c r="AQ387" s="84"/>
      <c r="AR387" s="84"/>
      <c r="AS387" s="84"/>
      <c r="AT387" s="84"/>
      <c r="AU387" s="84"/>
      <c r="AV387" s="84"/>
      <c r="AW387" s="84"/>
      <c r="AX387" s="84"/>
      <c r="AY387" s="84"/>
      <c r="AZ387" s="84"/>
      <c r="BA387" s="84"/>
      <c r="BB387" s="84"/>
      <c r="BC387" s="84"/>
      <c r="BD387" s="84"/>
      <c r="BE387" s="84"/>
      <c r="BF387" s="84"/>
      <c r="BG387" s="84"/>
    </row>
    <row r="388" spans="1:59" ht="15.75" customHeight="1" x14ac:dyDescent="0.2">
      <c r="A388" s="84"/>
      <c r="B388" s="147"/>
      <c r="C388" s="189" t="s">
        <v>309</v>
      </c>
      <c r="D388" s="247">
        <v>2110281</v>
      </c>
      <c r="E388" s="247">
        <v>2289019</v>
      </c>
      <c r="F388" s="247">
        <v>2346426</v>
      </c>
      <c r="G388" s="247">
        <v>2334377</v>
      </c>
      <c r="H388" s="247">
        <f t="shared" si="271"/>
        <v>2334377</v>
      </c>
      <c r="I388" s="247">
        <v>2368909</v>
      </c>
      <c r="J388" s="247">
        <v>2386426</v>
      </c>
      <c r="K388" s="247">
        <v>2346426</v>
      </c>
      <c r="L388" s="247">
        <v>2527446</v>
      </c>
      <c r="M388" s="247">
        <f t="shared" si="272"/>
        <v>2527446</v>
      </c>
      <c r="N388" s="247">
        <v>2959625</v>
      </c>
      <c r="O388" s="247">
        <v>3139292</v>
      </c>
      <c r="P388" s="247">
        <v>3163147</v>
      </c>
      <c r="Q388" s="247">
        <v>3009606</v>
      </c>
      <c r="R388" s="247">
        <f t="shared" si="273"/>
        <v>3009606</v>
      </c>
      <c r="S388" s="247">
        <v>3142129</v>
      </c>
      <c r="T388" s="247">
        <v>2897419</v>
      </c>
      <c r="U388" s="247">
        <v>3056360</v>
      </c>
      <c r="V388" s="247">
        <v>3142129</v>
      </c>
      <c r="W388" s="247">
        <f t="shared" si="274"/>
        <v>3142129</v>
      </c>
      <c r="X388" s="247">
        <v>2826138</v>
      </c>
      <c r="Y388" s="247">
        <v>3030031</v>
      </c>
      <c r="Z388" s="247">
        <v>3134233</v>
      </c>
      <c r="AA388" s="247">
        <v>3076505</v>
      </c>
      <c r="AB388" s="247">
        <f t="shared" si="275"/>
        <v>3076505</v>
      </c>
      <c r="AC388" s="247">
        <v>3035424</v>
      </c>
      <c r="AD388" s="247">
        <v>2937318</v>
      </c>
      <c r="AE388" s="247">
        <v>3043951</v>
      </c>
      <c r="AF388" s="84"/>
      <c r="AG388" s="84"/>
      <c r="AI388" s="157"/>
      <c r="AJ388" s="157"/>
      <c r="AO388" s="84"/>
      <c r="AP388" s="84"/>
      <c r="AQ388" s="84"/>
      <c r="AR388" s="84"/>
      <c r="AS388" s="84"/>
      <c r="AT388" s="84"/>
      <c r="AU388" s="84"/>
      <c r="AV388" s="84"/>
      <c r="AW388" s="84"/>
      <c r="AX388" s="84"/>
      <c r="AY388" s="84"/>
      <c r="AZ388" s="84"/>
      <c r="BA388" s="84"/>
      <c r="BB388" s="84"/>
      <c r="BC388" s="84"/>
      <c r="BD388" s="84"/>
      <c r="BE388" s="84"/>
      <c r="BF388" s="84"/>
      <c r="BG388" s="84"/>
    </row>
    <row r="389" spans="1:59" ht="15.75" customHeight="1" x14ac:dyDescent="0.2">
      <c r="A389" s="84"/>
      <c r="B389" s="147"/>
      <c r="C389" s="189" t="s">
        <v>310</v>
      </c>
      <c r="D389" s="247">
        <v>0</v>
      </c>
      <c r="E389" s="247">
        <v>0</v>
      </c>
      <c r="F389" s="247">
        <v>0</v>
      </c>
      <c r="G389" s="247">
        <v>0</v>
      </c>
      <c r="H389" s="247">
        <f t="shared" si="271"/>
        <v>0</v>
      </c>
      <c r="I389" s="247">
        <v>700066</v>
      </c>
      <c r="J389" s="247">
        <v>708880</v>
      </c>
      <c r="K389" s="247">
        <v>0</v>
      </c>
      <c r="L389" s="247">
        <v>761847</v>
      </c>
      <c r="M389" s="247">
        <f t="shared" si="272"/>
        <v>761847</v>
      </c>
      <c r="N389" s="247">
        <v>791694</v>
      </c>
      <c r="O389" s="247">
        <v>789710</v>
      </c>
      <c r="P389" s="247">
        <v>778355</v>
      </c>
      <c r="Q389" s="247">
        <v>775753</v>
      </c>
      <c r="R389" s="247">
        <f t="shared" si="273"/>
        <v>775753</v>
      </c>
      <c r="S389" s="247">
        <v>880990</v>
      </c>
      <c r="T389" s="247">
        <v>965034</v>
      </c>
      <c r="U389" s="247">
        <v>886963</v>
      </c>
      <c r="V389" s="247">
        <v>880990</v>
      </c>
      <c r="W389" s="247">
        <f t="shared" si="274"/>
        <v>880990</v>
      </c>
      <c r="X389" s="247">
        <v>882409</v>
      </c>
      <c r="Y389" s="247">
        <v>970521</v>
      </c>
      <c r="Z389" s="247">
        <v>958485</v>
      </c>
      <c r="AA389" s="247">
        <v>932396</v>
      </c>
      <c r="AB389" s="247">
        <f t="shared" si="275"/>
        <v>932396</v>
      </c>
      <c r="AC389" s="247">
        <v>925420</v>
      </c>
      <c r="AD389" s="247">
        <v>932933</v>
      </c>
      <c r="AE389" s="247">
        <v>984310</v>
      </c>
      <c r="AF389" s="84"/>
      <c r="AG389" s="84"/>
      <c r="AI389" s="157"/>
      <c r="AJ389" s="157"/>
      <c r="AO389" s="84"/>
      <c r="AP389" s="84"/>
      <c r="AQ389" s="84"/>
      <c r="AR389" s="84"/>
      <c r="AS389" s="84"/>
      <c r="AT389" s="84"/>
      <c r="AU389" s="84"/>
      <c r="AV389" s="84"/>
      <c r="AW389" s="84"/>
      <c r="AX389" s="84"/>
      <c r="AY389" s="84"/>
      <c r="AZ389" s="84"/>
      <c r="BA389" s="84"/>
      <c r="BB389" s="84"/>
      <c r="BC389" s="84"/>
      <c r="BD389" s="84"/>
      <c r="BE389" s="84"/>
      <c r="BF389" s="84"/>
      <c r="BG389" s="84"/>
    </row>
    <row r="390" spans="1:59" ht="15.75" customHeight="1" x14ac:dyDescent="0.2">
      <c r="A390" s="84"/>
      <c r="B390" s="147"/>
      <c r="C390" s="189" t="s">
        <v>311</v>
      </c>
      <c r="D390" s="247">
        <v>100173</v>
      </c>
      <c r="E390" s="247">
        <v>100833</v>
      </c>
      <c r="F390" s="247">
        <v>99948</v>
      </c>
      <c r="G390" s="247">
        <v>98683</v>
      </c>
      <c r="H390" s="247">
        <f t="shared" si="271"/>
        <v>98683</v>
      </c>
      <c r="I390" s="247">
        <v>94924</v>
      </c>
      <c r="J390" s="247">
        <v>92448</v>
      </c>
      <c r="K390" s="247">
        <v>99948</v>
      </c>
      <c r="L390" s="247">
        <v>89935</v>
      </c>
      <c r="M390" s="247">
        <f t="shared" si="272"/>
        <v>89935</v>
      </c>
      <c r="N390" s="247">
        <v>92487</v>
      </c>
      <c r="O390" s="247">
        <v>91345</v>
      </c>
      <c r="P390" s="247">
        <v>89777</v>
      </c>
      <c r="Q390" s="247">
        <v>88172</v>
      </c>
      <c r="R390" s="247">
        <f t="shared" si="273"/>
        <v>88172</v>
      </c>
      <c r="S390" s="247">
        <v>157666</v>
      </c>
      <c r="T390" s="247">
        <v>148606</v>
      </c>
      <c r="U390" s="247">
        <v>156375</v>
      </c>
      <c r="V390" s="247">
        <v>157666</v>
      </c>
      <c r="W390" s="247">
        <f t="shared" si="274"/>
        <v>157666</v>
      </c>
      <c r="X390" s="247">
        <v>138372</v>
      </c>
      <c r="Y390" s="247">
        <v>147557</v>
      </c>
      <c r="Z390" s="247">
        <v>148782</v>
      </c>
      <c r="AA390" s="247">
        <v>145116</v>
      </c>
      <c r="AB390" s="247">
        <f t="shared" si="275"/>
        <v>145116</v>
      </c>
      <c r="AC390" s="247">
        <v>140255</v>
      </c>
      <c r="AD390" s="247">
        <v>132980</v>
      </c>
      <c r="AE390" s="247">
        <v>135545</v>
      </c>
      <c r="AF390" s="84"/>
      <c r="AG390" s="84"/>
      <c r="AH390" s="147"/>
      <c r="AI390" s="175"/>
      <c r="AJ390" s="175"/>
      <c r="AO390" s="84"/>
      <c r="AP390" s="84"/>
      <c r="AQ390" s="84"/>
      <c r="AR390" s="84"/>
      <c r="AS390" s="84"/>
      <c r="AT390" s="84"/>
      <c r="AU390" s="84"/>
      <c r="AV390" s="84"/>
      <c r="AW390" s="84"/>
      <c r="AX390" s="84"/>
      <c r="AY390" s="84"/>
      <c r="AZ390" s="84"/>
      <c r="BA390" s="84"/>
      <c r="BB390" s="84"/>
      <c r="BC390" s="84"/>
      <c r="BD390" s="84"/>
      <c r="BE390" s="84"/>
      <c r="BF390" s="84"/>
      <c r="BG390" s="84"/>
    </row>
    <row r="391" spans="1:59" ht="15.75" customHeight="1" x14ac:dyDescent="0.2">
      <c r="A391" s="84"/>
      <c r="B391" s="147"/>
      <c r="C391" s="189" t="s">
        <v>312</v>
      </c>
      <c r="D391" s="247">
        <v>228140</v>
      </c>
      <c r="E391" s="247">
        <v>246525</v>
      </c>
      <c r="F391" s="247">
        <v>1954</v>
      </c>
      <c r="G391" s="247">
        <v>1872</v>
      </c>
      <c r="H391" s="247">
        <f t="shared" si="271"/>
        <v>1872</v>
      </c>
      <c r="I391" s="247">
        <v>1873</v>
      </c>
      <c r="J391" s="247">
        <v>1874</v>
      </c>
      <c r="K391" s="247">
        <v>1954</v>
      </c>
      <c r="L391" s="247">
        <v>1427</v>
      </c>
      <c r="M391" s="247">
        <f t="shared" si="272"/>
        <v>1427</v>
      </c>
      <c r="N391" s="247">
        <v>1348</v>
      </c>
      <c r="O391" s="247">
        <v>1355</v>
      </c>
      <c r="P391" s="247">
        <v>11</v>
      </c>
      <c r="Q391" s="247">
        <v>784</v>
      </c>
      <c r="R391" s="247">
        <f t="shared" si="273"/>
        <v>784</v>
      </c>
      <c r="S391" s="247">
        <v>8816</v>
      </c>
      <c r="T391" s="247">
        <v>4357</v>
      </c>
      <c r="U391" s="247">
        <v>8873</v>
      </c>
      <c r="V391" s="247">
        <v>8816</v>
      </c>
      <c r="W391" s="247">
        <f t="shared" si="274"/>
        <v>8816</v>
      </c>
      <c r="X391" s="247">
        <v>8136</v>
      </c>
      <c r="Y391" s="247">
        <v>8056</v>
      </c>
      <c r="Z391" s="247">
        <v>7964</v>
      </c>
      <c r="AA391" s="247">
        <v>7599</v>
      </c>
      <c r="AB391" s="247">
        <f t="shared" si="275"/>
        <v>7599</v>
      </c>
      <c r="AC391" s="247">
        <v>7835</v>
      </c>
      <c r="AD391" s="247">
        <v>7855</v>
      </c>
      <c r="AE391" s="247">
        <v>7743</v>
      </c>
      <c r="AF391" s="84"/>
      <c r="AG391" s="84"/>
      <c r="AH391" s="147"/>
      <c r="AI391" s="157"/>
      <c r="AJ391" s="161"/>
      <c r="AO391" s="84"/>
      <c r="AP391" s="84"/>
      <c r="AQ391" s="84"/>
      <c r="AR391" s="84"/>
      <c r="AS391" s="84"/>
      <c r="AT391" s="84"/>
      <c r="AU391" s="84"/>
      <c r="AV391" s="84"/>
      <c r="AW391" s="84"/>
      <c r="AX391" s="84"/>
      <c r="AY391" s="84"/>
      <c r="AZ391" s="84"/>
      <c r="BA391" s="84"/>
      <c r="BB391" s="84"/>
      <c r="BC391" s="84"/>
      <c r="BD391" s="84"/>
      <c r="BE391" s="84"/>
      <c r="BF391" s="84"/>
      <c r="BG391" s="84"/>
    </row>
    <row r="392" spans="1:59" ht="15.75" customHeight="1" x14ac:dyDescent="0.2">
      <c r="A392" s="84"/>
      <c r="B392" s="147"/>
      <c r="C392" s="189" t="s">
        <v>313</v>
      </c>
      <c r="D392" s="247">
        <v>100472</v>
      </c>
      <c r="E392" s="247">
        <v>106401</v>
      </c>
      <c r="F392" s="247">
        <v>108053</v>
      </c>
      <c r="G392" s="247">
        <v>106615</v>
      </c>
      <c r="H392" s="247">
        <f t="shared" si="271"/>
        <v>106615</v>
      </c>
      <c r="I392" s="247">
        <v>106859</v>
      </c>
      <c r="J392" s="247">
        <v>106140</v>
      </c>
      <c r="K392" s="247">
        <v>108053</v>
      </c>
      <c r="L392" s="247">
        <v>56792</v>
      </c>
      <c r="M392" s="247">
        <f t="shared" si="272"/>
        <v>56792</v>
      </c>
      <c r="N392" s="247">
        <v>69811</v>
      </c>
      <c r="O392" s="247">
        <v>72902</v>
      </c>
      <c r="P392" s="247">
        <v>74739</v>
      </c>
      <c r="Q392" s="247">
        <v>69786</v>
      </c>
      <c r="R392" s="247">
        <f t="shared" si="273"/>
        <v>69786</v>
      </c>
      <c r="S392" s="247">
        <v>0</v>
      </c>
      <c r="T392" s="247">
        <v>0</v>
      </c>
      <c r="U392" s="247">
        <v>0</v>
      </c>
      <c r="V392" s="247">
        <v>0</v>
      </c>
      <c r="W392" s="247">
        <f t="shared" si="274"/>
        <v>0</v>
      </c>
      <c r="X392" s="247">
        <v>0</v>
      </c>
      <c r="Y392" s="247">
        <v>0</v>
      </c>
      <c r="Z392" s="247">
        <v>0</v>
      </c>
      <c r="AA392" s="247">
        <v>0</v>
      </c>
      <c r="AB392" s="247">
        <f t="shared" si="275"/>
        <v>0</v>
      </c>
      <c r="AC392" s="247">
        <v>0</v>
      </c>
      <c r="AD392" s="247">
        <v>0</v>
      </c>
      <c r="AE392" s="247">
        <v>0</v>
      </c>
      <c r="AF392" s="84"/>
      <c r="AG392" s="84"/>
      <c r="AH392" s="157"/>
      <c r="AI392" s="157"/>
      <c r="AJ392" s="161"/>
      <c r="AO392" s="84"/>
      <c r="AP392" s="84"/>
      <c r="AQ392" s="84"/>
      <c r="AR392" s="84"/>
      <c r="AS392" s="84"/>
      <c r="AT392" s="84"/>
      <c r="AU392" s="84"/>
      <c r="AV392" s="84"/>
      <c r="AW392" s="84"/>
      <c r="AX392" s="84"/>
      <c r="AY392" s="84"/>
      <c r="AZ392" s="84"/>
      <c r="BA392" s="84"/>
      <c r="BB392" s="84"/>
      <c r="BC392" s="84"/>
      <c r="BD392" s="84"/>
      <c r="BE392" s="84"/>
      <c r="BF392" s="84"/>
      <c r="BG392" s="84"/>
    </row>
    <row r="393" spans="1:59" ht="15.75" customHeight="1" x14ac:dyDescent="0.2">
      <c r="A393" s="84"/>
      <c r="B393" s="147"/>
      <c r="C393" s="189" t="s">
        <v>314</v>
      </c>
      <c r="D393" s="247">
        <v>0</v>
      </c>
      <c r="E393" s="247">
        <v>0</v>
      </c>
      <c r="F393" s="247">
        <v>119003</v>
      </c>
      <c r="G393" s="247">
        <v>115485</v>
      </c>
      <c r="H393" s="247">
        <f t="shared" si="271"/>
        <v>115485</v>
      </c>
      <c r="I393" s="247">
        <v>129885</v>
      </c>
      <c r="J393" s="247">
        <v>114887</v>
      </c>
      <c r="K393" s="247">
        <v>119003</v>
      </c>
      <c r="L393" s="247">
        <v>121453</v>
      </c>
      <c r="M393" s="247">
        <f t="shared" si="272"/>
        <v>121453</v>
      </c>
      <c r="N393" s="247">
        <v>157096</v>
      </c>
      <c r="O393" s="247">
        <v>165947</v>
      </c>
      <c r="P393" s="247">
        <v>171436</v>
      </c>
      <c r="Q393" s="247">
        <v>158289</v>
      </c>
      <c r="R393" s="247">
        <f t="shared" si="273"/>
        <v>158289</v>
      </c>
      <c r="S393" s="247">
        <v>0</v>
      </c>
      <c r="T393" s="247">
        <v>0</v>
      </c>
      <c r="U393" s="247">
        <v>0</v>
      </c>
      <c r="V393" s="247">
        <v>0</v>
      </c>
      <c r="W393" s="247">
        <f t="shared" si="274"/>
        <v>0</v>
      </c>
      <c r="X393" s="247">
        <v>0</v>
      </c>
      <c r="Y393" s="247">
        <v>0</v>
      </c>
      <c r="Z393" s="247">
        <v>0</v>
      </c>
      <c r="AA393" s="247">
        <v>0</v>
      </c>
      <c r="AB393" s="247">
        <f t="shared" si="275"/>
        <v>0</v>
      </c>
      <c r="AC393" s="247">
        <v>0</v>
      </c>
      <c r="AD393" s="247">
        <v>0</v>
      </c>
      <c r="AE393" s="247">
        <v>0</v>
      </c>
      <c r="AF393" s="84"/>
      <c r="AG393" s="84"/>
      <c r="AH393" s="161"/>
      <c r="AI393" s="157"/>
      <c r="AJ393" s="161"/>
      <c r="AO393" s="84"/>
      <c r="AP393" s="84"/>
      <c r="AQ393" s="84"/>
      <c r="AR393" s="84"/>
      <c r="AS393" s="84"/>
      <c r="AT393" s="84"/>
      <c r="AU393" s="84"/>
      <c r="AV393" s="84"/>
      <c r="AW393" s="84"/>
      <c r="AX393" s="84"/>
      <c r="AY393" s="84"/>
      <c r="AZ393" s="84"/>
      <c r="BA393" s="84"/>
      <c r="BB393" s="84"/>
      <c r="BC393" s="84"/>
      <c r="BD393" s="84"/>
      <c r="BE393" s="84"/>
      <c r="BF393" s="84"/>
      <c r="BG393" s="84"/>
    </row>
    <row r="394" spans="1:59" ht="15.75" customHeight="1" x14ac:dyDescent="0.2">
      <c r="A394" s="84"/>
      <c r="B394" s="147"/>
      <c r="C394" s="147"/>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84"/>
      <c r="AG394" s="84"/>
      <c r="AH394" s="161"/>
      <c r="AI394" s="157"/>
      <c r="AJ394" s="161"/>
      <c r="AO394" s="84"/>
      <c r="AP394" s="84"/>
      <c r="AQ394" s="84"/>
      <c r="AR394" s="84"/>
      <c r="AS394" s="84"/>
      <c r="AT394" s="84"/>
      <c r="AU394" s="84"/>
      <c r="AV394" s="84"/>
      <c r="AW394" s="84"/>
      <c r="AX394" s="84"/>
      <c r="AY394" s="84"/>
      <c r="AZ394" s="84"/>
      <c r="BA394" s="84"/>
      <c r="BB394" s="84"/>
      <c r="BC394" s="84"/>
      <c r="BD394" s="84"/>
      <c r="BE394" s="84"/>
      <c r="BF394" s="84"/>
      <c r="BG394" s="84"/>
    </row>
    <row r="395" spans="1:59" ht="15.75" customHeight="1" x14ac:dyDescent="0.2">
      <c r="A395" s="84"/>
      <c r="B395" s="84"/>
      <c r="C395" s="97" t="s">
        <v>315</v>
      </c>
      <c r="D395" s="246">
        <f t="shared" ref="D395:AE395" si="276">D372+D382</f>
        <v>845665</v>
      </c>
      <c r="E395" s="246">
        <f t="shared" si="276"/>
        <v>730230</v>
      </c>
      <c r="F395" s="246">
        <f t="shared" si="276"/>
        <v>938815</v>
      </c>
      <c r="G395" s="246">
        <f t="shared" si="276"/>
        <v>906947</v>
      </c>
      <c r="H395" s="246">
        <f t="shared" si="276"/>
        <v>3682087</v>
      </c>
      <c r="I395" s="246">
        <f t="shared" si="276"/>
        <v>4415493</v>
      </c>
      <c r="J395" s="246">
        <f t="shared" si="276"/>
        <v>4356556</v>
      </c>
      <c r="K395" s="246">
        <f t="shared" si="276"/>
        <v>3744786</v>
      </c>
      <c r="L395" s="246">
        <f t="shared" si="276"/>
        <v>4639629</v>
      </c>
      <c r="M395" s="246">
        <f t="shared" si="276"/>
        <v>4639629</v>
      </c>
      <c r="N395" s="246">
        <f t="shared" si="276"/>
        <v>5378231</v>
      </c>
      <c r="O395" s="246">
        <f t="shared" si="276"/>
        <v>5628625</v>
      </c>
      <c r="P395" s="246">
        <f t="shared" si="276"/>
        <v>5754961</v>
      </c>
      <c r="Q395" s="246">
        <f t="shared" si="276"/>
        <v>5401310</v>
      </c>
      <c r="R395" s="246">
        <f t="shared" si="276"/>
        <v>5401310</v>
      </c>
      <c r="S395" s="246">
        <f t="shared" si="276"/>
        <v>6058192</v>
      </c>
      <c r="T395" s="246">
        <f t="shared" si="276"/>
        <v>5089770</v>
      </c>
      <c r="U395" s="246">
        <f t="shared" si="276"/>
        <v>5311532</v>
      </c>
      <c r="V395" s="246">
        <f t="shared" si="276"/>
        <v>5724443</v>
      </c>
      <c r="W395" s="246">
        <f t="shared" si="276"/>
        <v>5724443</v>
      </c>
      <c r="X395" s="246">
        <f t="shared" si="276"/>
        <v>5309115</v>
      </c>
      <c r="Y395" s="246">
        <f t="shared" si="276"/>
        <v>5514598</v>
      </c>
      <c r="Z395" s="246">
        <f t="shared" si="276"/>
        <v>5838865</v>
      </c>
      <c r="AA395" s="246">
        <f t="shared" si="276"/>
        <v>5731104</v>
      </c>
      <c r="AB395" s="246">
        <f t="shared" si="276"/>
        <v>5731104</v>
      </c>
      <c r="AC395" s="246">
        <f t="shared" si="276"/>
        <v>5736125</v>
      </c>
      <c r="AD395" s="246">
        <f t="shared" si="276"/>
        <v>5507460.0367000001</v>
      </c>
      <c r="AE395" s="246">
        <f t="shared" si="276"/>
        <v>5764979</v>
      </c>
      <c r="AF395" s="84"/>
      <c r="AG395" s="84"/>
      <c r="AH395" s="169"/>
      <c r="AI395" s="157"/>
      <c r="AJ395" s="161"/>
      <c r="AO395" s="84"/>
      <c r="AP395" s="84"/>
      <c r="AQ395" s="84"/>
      <c r="AR395" s="84"/>
      <c r="AS395" s="84"/>
      <c r="AT395" s="84"/>
      <c r="AU395" s="84"/>
      <c r="AV395" s="84"/>
      <c r="AW395" s="84"/>
      <c r="AX395" s="84"/>
      <c r="AY395" s="84"/>
      <c r="AZ395" s="84"/>
      <c r="BA395" s="84"/>
      <c r="BB395" s="84"/>
      <c r="BC395" s="84"/>
      <c r="BD395" s="84"/>
      <c r="BE395" s="84"/>
      <c r="BF395" s="84"/>
      <c r="BG395" s="84"/>
    </row>
    <row r="396" spans="1:59" ht="15.75" customHeight="1" x14ac:dyDescent="0.2">
      <c r="A396" s="84"/>
      <c r="B396" s="84"/>
      <c r="C396" s="84"/>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84"/>
      <c r="AG396" s="84"/>
      <c r="AH396" s="169"/>
      <c r="AI396" s="157"/>
      <c r="AJ396" s="161"/>
      <c r="AO396" s="84"/>
      <c r="AP396" s="84"/>
      <c r="AQ396" s="84"/>
      <c r="AR396" s="84"/>
      <c r="AS396" s="84"/>
      <c r="AT396" s="84"/>
      <c r="AU396" s="84"/>
      <c r="AV396" s="84"/>
      <c r="AW396" s="84"/>
      <c r="AX396" s="84"/>
      <c r="AY396" s="84"/>
      <c r="AZ396" s="84"/>
      <c r="BA396" s="84"/>
      <c r="BB396" s="84"/>
      <c r="BC396" s="84"/>
      <c r="BD396" s="84"/>
      <c r="BE396" s="84"/>
      <c r="BF396" s="84"/>
      <c r="BG396" s="84"/>
    </row>
    <row r="397" spans="1:59" ht="15.75" customHeight="1" x14ac:dyDescent="0.2">
      <c r="A397" s="84"/>
      <c r="B397" s="84"/>
      <c r="C397" s="97" t="s">
        <v>316</v>
      </c>
      <c r="D397" s="246">
        <f t="shared" ref="D397:G397" si="277">SUM(D398:D406)</f>
        <v>395955</v>
      </c>
      <c r="E397" s="246">
        <f t="shared" si="277"/>
        <v>408370</v>
      </c>
      <c r="F397" s="246">
        <f t="shared" si="277"/>
        <v>444056</v>
      </c>
      <c r="G397" s="246">
        <f t="shared" si="277"/>
        <v>458957</v>
      </c>
      <c r="H397" s="246">
        <f t="shared" ref="H397:H406" si="278">G397</f>
        <v>458957</v>
      </c>
      <c r="I397" s="246">
        <f t="shared" ref="I397:R397" si="279">SUM(I398:I406)</f>
        <v>506740</v>
      </c>
      <c r="J397" s="246">
        <f t="shared" si="279"/>
        <v>466467</v>
      </c>
      <c r="K397" s="246">
        <f t="shared" si="279"/>
        <v>444056</v>
      </c>
      <c r="L397" s="246">
        <f t="shared" si="279"/>
        <v>459383</v>
      </c>
      <c r="M397" s="246">
        <f t="shared" si="279"/>
        <v>459383</v>
      </c>
      <c r="N397" s="246">
        <f t="shared" si="279"/>
        <v>570523</v>
      </c>
      <c r="O397" s="246">
        <f t="shared" si="279"/>
        <v>668490</v>
      </c>
      <c r="P397" s="246">
        <f t="shared" si="279"/>
        <v>661316</v>
      </c>
      <c r="Q397" s="246">
        <f t="shared" si="279"/>
        <v>640366</v>
      </c>
      <c r="R397" s="246">
        <f t="shared" si="279"/>
        <v>640366</v>
      </c>
      <c r="S397" s="246">
        <v>772165</v>
      </c>
      <c r="T397" s="246">
        <v>596413</v>
      </c>
      <c r="U397" s="246">
        <v>639197</v>
      </c>
      <c r="V397" s="246">
        <f t="shared" ref="V397:AE397" si="280">SUM(V398:V406)</f>
        <v>772165</v>
      </c>
      <c r="W397" s="246">
        <f t="shared" si="280"/>
        <v>772165</v>
      </c>
      <c r="X397" s="246">
        <f t="shared" si="280"/>
        <v>710210</v>
      </c>
      <c r="Y397" s="246">
        <f t="shared" si="280"/>
        <v>716563</v>
      </c>
      <c r="Z397" s="246">
        <f t="shared" si="280"/>
        <v>778864</v>
      </c>
      <c r="AA397" s="246">
        <f t="shared" si="280"/>
        <v>805409</v>
      </c>
      <c r="AB397" s="246">
        <f t="shared" si="280"/>
        <v>805409</v>
      </c>
      <c r="AC397" s="246">
        <f t="shared" si="280"/>
        <v>963004</v>
      </c>
      <c r="AD397" s="246">
        <f t="shared" si="280"/>
        <v>727121</v>
      </c>
      <c r="AE397" s="246">
        <f t="shared" si="280"/>
        <v>957092</v>
      </c>
      <c r="AF397" s="84"/>
      <c r="AG397" s="84"/>
      <c r="AH397" s="169"/>
      <c r="AI397" s="157"/>
      <c r="AJ397" s="161"/>
      <c r="AO397" s="84"/>
      <c r="AP397" s="84"/>
      <c r="AQ397" s="84"/>
      <c r="AR397" s="84"/>
      <c r="AS397" s="84"/>
      <c r="AT397" s="84"/>
      <c r="AU397" s="84"/>
      <c r="AV397" s="84"/>
      <c r="AW397" s="84"/>
      <c r="AX397" s="84"/>
      <c r="AY397" s="84"/>
      <c r="AZ397" s="84"/>
      <c r="BA397" s="84"/>
      <c r="BB397" s="84"/>
      <c r="BC397" s="84"/>
      <c r="BD397" s="84"/>
      <c r="BE397" s="84"/>
      <c r="BF397" s="84"/>
      <c r="BG397" s="84"/>
    </row>
    <row r="398" spans="1:59" ht="15.75" customHeight="1" x14ac:dyDescent="0.2">
      <c r="A398" s="84"/>
      <c r="B398" s="147"/>
      <c r="C398" s="189" t="s">
        <v>263</v>
      </c>
      <c r="D398" s="247">
        <v>152547</v>
      </c>
      <c r="E398" s="247">
        <v>134647</v>
      </c>
      <c r="F398" s="247">
        <v>81875</v>
      </c>
      <c r="G398" s="247">
        <v>82485</v>
      </c>
      <c r="H398" s="247">
        <f t="shared" si="278"/>
        <v>82485</v>
      </c>
      <c r="I398" s="247">
        <v>77775</v>
      </c>
      <c r="J398" s="247">
        <v>74893</v>
      </c>
      <c r="K398" s="247">
        <v>81875</v>
      </c>
      <c r="L398" s="247">
        <v>78506</v>
      </c>
      <c r="M398" s="247">
        <f t="shared" ref="M398:M406" si="281">L398</f>
        <v>78506</v>
      </c>
      <c r="N398" s="247">
        <v>77226</v>
      </c>
      <c r="O398" s="247">
        <v>142757</v>
      </c>
      <c r="P398" s="247">
        <v>106406</v>
      </c>
      <c r="Q398" s="247">
        <v>87460</v>
      </c>
      <c r="R398" s="247">
        <f t="shared" ref="R398:R406" si="282">Q398</f>
        <v>87460</v>
      </c>
      <c r="S398" s="247">
        <v>159846</v>
      </c>
      <c r="T398" s="247">
        <v>97128</v>
      </c>
      <c r="U398" s="247">
        <v>97608</v>
      </c>
      <c r="V398" s="247">
        <v>159846</v>
      </c>
      <c r="W398" s="247">
        <f t="shared" ref="W398:W406" si="283">V398</f>
        <v>159846</v>
      </c>
      <c r="X398" s="247">
        <v>99334</v>
      </c>
      <c r="Y398" s="247">
        <v>104719</v>
      </c>
      <c r="Z398" s="247">
        <v>117565</v>
      </c>
      <c r="AA398" s="247">
        <v>143142</v>
      </c>
      <c r="AB398" s="247">
        <f t="shared" ref="AB398:AB406" si="284">AA398</f>
        <v>143142</v>
      </c>
      <c r="AC398" s="247">
        <v>155726</v>
      </c>
      <c r="AD398" s="247">
        <v>154896</v>
      </c>
      <c r="AE398" s="247">
        <v>134537</v>
      </c>
      <c r="AF398" s="84"/>
      <c r="AG398" s="84"/>
      <c r="AH398" s="157"/>
      <c r="AI398" s="157"/>
      <c r="AJ398" s="161"/>
      <c r="AO398" s="84"/>
      <c r="AP398" s="84"/>
      <c r="AQ398" s="84"/>
      <c r="AR398" s="84"/>
      <c r="AS398" s="84"/>
      <c r="AT398" s="84"/>
      <c r="AU398" s="84"/>
      <c r="AV398" s="84"/>
      <c r="AW398" s="84"/>
      <c r="AX398" s="84"/>
      <c r="AY398" s="84"/>
      <c r="AZ398" s="84"/>
      <c r="BA398" s="84"/>
      <c r="BB398" s="84"/>
      <c r="BC398" s="84"/>
      <c r="BD398" s="84"/>
      <c r="BE398" s="84"/>
      <c r="BF398" s="84"/>
      <c r="BG398" s="84"/>
    </row>
    <row r="399" spans="1:59" ht="15.75" customHeight="1" x14ac:dyDescent="0.2">
      <c r="A399" s="84"/>
      <c r="B399" s="147"/>
      <c r="C399" s="189" t="s">
        <v>317</v>
      </c>
      <c r="D399" s="247">
        <v>179090</v>
      </c>
      <c r="E399" s="247">
        <v>204828</v>
      </c>
      <c r="F399" s="247">
        <v>210994</v>
      </c>
      <c r="G399" s="247">
        <v>233298</v>
      </c>
      <c r="H399" s="247">
        <f t="shared" si="278"/>
        <v>233298</v>
      </c>
      <c r="I399" s="247">
        <v>194523</v>
      </c>
      <c r="J399" s="247">
        <v>169514</v>
      </c>
      <c r="K399" s="247">
        <v>210994</v>
      </c>
      <c r="L399" s="247">
        <v>147669</v>
      </c>
      <c r="M399" s="247">
        <f t="shared" si="281"/>
        <v>147669</v>
      </c>
      <c r="N399" s="247">
        <v>250775</v>
      </c>
      <c r="O399" s="247">
        <v>268247</v>
      </c>
      <c r="P399" s="247">
        <v>283767</v>
      </c>
      <c r="Q399" s="247">
        <v>304901</v>
      </c>
      <c r="R399" s="247">
        <f t="shared" si="282"/>
        <v>304901</v>
      </c>
      <c r="S399" s="247">
        <v>252723</v>
      </c>
      <c r="T399" s="247">
        <v>222668</v>
      </c>
      <c r="U399" s="247">
        <v>237183</v>
      </c>
      <c r="V399" s="247">
        <v>252723</v>
      </c>
      <c r="W399" s="247">
        <f t="shared" si="283"/>
        <v>252723</v>
      </c>
      <c r="X399" s="247">
        <v>237104</v>
      </c>
      <c r="Y399" s="247">
        <v>303068</v>
      </c>
      <c r="Z399" s="247">
        <v>327956</v>
      </c>
      <c r="AA399" s="247">
        <v>312439</v>
      </c>
      <c r="AB399" s="247">
        <f t="shared" si="284"/>
        <v>312439</v>
      </c>
      <c r="AC399" s="247">
        <v>318097</v>
      </c>
      <c r="AD399" s="247">
        <v>248793</v>
      </c>
      <c r="AE399" s="247">
        <v>313783</v>
      </c>
      <c r="AF399" s="84"/>
      <c r="AG399" s="84"/>
      <c r="AH399" s="157"/>
      <c r="AI399" s="161"/>
      <c r="AJ399" s="161"/>
      <c r="AO399" s="84"/>
      <c r="AP399" s="84"/>
      <c r="AQ399" s="84"/>
      <c r="AR399" s="84"/>
      <c r="AS399" s="84"/>
      <c r="AT399" s="84"/>
      <c r="AU399" s="84"/>
      <c r="AV399" s="84"/>
      <c r="AW399" s="84"/>
      <c r="AX399" s="84"/>
      <c r="AY399" s="84"/>
      <c r="AZ399" s="84"/>
      <c r="BA399" s="84"/>
      <c r="BB399" s="84"/>
      <c r="BC399" s="84"/>
      <c r="BD399" s="84"/>
      <c r="BE399" s="84"/>
      <c r="BF399" s="84"/>
      <c r="BG399" s="84"/>
    </row>
    <row r="400" spans="1:59" ht="15.75" customHeight="1" x14ac:dyDescent="0.2">
      <c r="A400" s="84"/>
      <c r="B400" s="147"/>
      <c r="C400" s="189" t="s">
        <v>318</v>
      </c>
      <c r="D400" s="247">
        <v>1373</v>
      </c>
      <c r="E400" s="247">
        <v>355</v>
      </c>
      <c r="F400" s="247">
        <v>172</v>
      </c>
      <c r="G400" s="247">
        <v>178</v>
      </c>
      <c r="H400" s="247">
        <f t="shared" si="278"/>
        <v>178</v>
      </c>
      <c r="I400" s="247">
        <v>79797</v>
      </c>
      <c r="J400" s="247">
        <v>80066</v>
      </c>
      <c r="K400" s="247">
        <v>172</v>
      </c>
      <c r="L400" s="247">
        <v>88426</v>
      </c>
      <c r="M400" s="247">
        <f t="shared" si="281"/>
        <v>88426</v>
      </c>
      <c r="N400" s="247">
        <v>89132</v>
      </c>
      <c r="O400" s="247">
        <v>92813</v>
      </c>
      <c r="P400" s="247">
        <v>92248</v>
      </c>
      <c r="Q400" s="247">
        <v>94538</v>
      </c>
      <c r="R400" s="247">
        <f t="shared" si="282"/>
        <v>94538</v>
      </c>
      <c r="S400" s="247">
        <v>108538</v>
      </c>
      <c r="T400" s="247">
        <v>118677</v>
      </c>
      <c r="U400" s="247">
        <v>110497</v>
      </c>
      <c r="V400" s="247">
        <v>108538</v>
      </c>
      <c r="W400" s="247">
        <f t="shared" si="283"/>
        <v>108538</v>
      </c>
      <c r="X400" s="247">
        <v>108821</v>
      </c>
      <c r="Y400" s="247">
        <v>128005</v>
      </c>
      <c r="Z400" s="247">
        <v>129852</v>
      </c>
      <c r="AA400" s="247">
        <v>129021</v>
      </c>
      <c r="AB400" s="247">
        <f t="shared" si="284"/>
        <v>129021</v>
      </c>
      <c r="AC400" s="247">
        <v>130368</v>
      </c>
      <c r="AD400" s="247">
        <v>129439</v>
      </c>
      <c r="AE400" s="247">
        <v>140574</v>
      </c>
      <c r="AF400" s="84"/>
      <c r="AG400" s="84"/>
      <c r="AH400" s="157"/>
      <c r="AI400" s="161"/>
      <c r="AJ400" s="161"/>
      <c r="AO400" s="84"/>
      <c r="AP400" s="84"/>
      <c r="AQ400" s="84"/>
      <c r="AR400" s="84"/>
      <c r="AS400" s="84"/>
      <c r="AT400" s="84"/>
      <c r="AU400" s="84"/>
      <c r="AV400" s="84"/>
      <c r="AW400" s="84"/>
      <c r="AX400" s="84"/>
      <c r="AY400" s="84"/>
      <c r="AZ400" s="84"/>
      <c r="BA400" s="84"/>
      <c r="BB400" s="84"/>
      <c r="BC400" s="84"/>
      <c r="BD400" s="84"/>
      <c r="BE400" s="84"/>
      <c r="BF400" s="84"/>
      <c r="BG400" s="84"/>
    </row>
    <row r="401" spans="1:59" ht="15.75" customHeight="1" x14ac:dyDescent="0.2">
      <c r="A401" s="84"/>
      <c r="B401" s="147"/>
      <c r="C401" s="189" t="s">
        <v>319</v>
      </c>
      <c r="D401" s="247">
        <v>0</v>
      </c>
      <c r="E401" s="247">
        <v>0</v>
      </c>
      <c r="F401" s="247">
        <v>76579</v>
      </c>
      <c r="G401" s="247">
        <v>64262</v>
      </c>
      <c r="H401" s="247">
        <f t="shared" si="278"/>
        <v>64262</v>
      </c>
      <c r="I401" s="247">
        <v>77864</v>
      </c>
      <c r="J401" s="247">
        <v>68624</v>
      </c>
      <c r="K401" s="247">
        <v>76579</v>
      </c>
      <c r="L401" s="247">
        <v>74744</v>
      </c>
      <c r="M401" s="247">
        <f t="shared" si="281"/>
        <v>74744</v>
      </c>
      <c r="N401" s="247">
        <v>88248</v>
      </c>
      <c r="O401" s="247">
        <v>76732</v>
      </c>
      <c r="P401" s="247">
        <v>98394</v>
      </c>
      <c r="Q401" s="247">
        <v>85829</v>
      </c>
      <c r="R401" s="247">
        <f t="shared" si="282"/>
        <v>85829</v>
      </c>
      <c r="S401" s="247">
        <v>109083</v>
      </c>
      <c r="T401" s="247">
        <v>78164</v>
      </c>
      <c r="U401" s="247">
        <v>98244</v>
      </c>
      <c r="V401" s="247">
        <v>109083</v>
      </c>
      <c r="W401" s="247">
        <f t="shared" si="283"/>
        <v>109083</v>
      </c>
      <c r="X401" s="247">
        <v>129559</v>
      </c>
      <c r="Y401" s="247">
        <v>93901</v>
      </c>
      <c r="Z401" s="247">
        <v>113413</v>
      </c>
      <c r="AA401" s="247">
        <v>110505</v>
      </c>
      <c r="AB401" s="247">
        <f t="shared" si="284"/>
        <v>110505</v>
      </c>
      <c r="AC401" s="247">
        <v>128173</v>
      </c>
      <c r="AD401" s="247">
        <v>97161</v>
      </c>
      <c r="AE401" s="247">
        <v>123616</v>
      </c>
      <c r="AF401" s="84"/>
      <c r="AG401" s="84"/>
      <c r="AH401" s="175"/>
      <c r="AI401" s="161"/>
      <c r="AJ401" s="161"/>
      <c r="AO401" s="84"/>
      <c r="AP401" s="84"/>
      <c r="AQ401" s="84"/>
      <c r="AR401" s="84"/>
      <c r="AS401" s="84"/>
      <c r="AT401" s="84"/>
      <c r="AU401" s="84"/>
      <c r="AV401" s="84"/>
      <c r="AW401" s="84"/>
      <c r="AX401" s="84"/>
      <c r="AY401" s="84"/>
      <c r="AZ401" s="84"/>
      <c r="BA401" s="84"/>
      <c r="BB401" s="84"/>
      <c r="BC401" s="84"/>
      <c r="BD401" s="84"/>
      <c r="BE401" s="84"/>
      <c r="BF401" s="84"/>
      <c r="BG401" s="84"/>
    </row>
    <row r="402" spans="1:59" ht="15.75" customHeight="1" x14ac:dyDescent="0.2">
      <c r="A402" s="84"/>
      <c r="B402" s="147"/>
      <c r="C402" s="189" t="s">
        <v>320</v>
      </c>
      <c r="D402" s="247">
        <v>0</v>
      </c>
      <c r="E402" s="247">
        <v>0</v>
      </c>
      <c r="F402" s="247">
        <v>36136</v>
      </c>
      <c r="G402" s="247">
        <v>43455</v>
      </c>
      <c r="H402" s="247">
        <f t="shared" si="278"/>
        <v>43455</v>
      </c>
      <c r="I402" s="247">
        <v>42009</v>
      </c>
      <c r="J402" s="247">
        <v>34869</v>
      </c>
      <c r="K402" s="247">
        <v>36136</v>
      </c>
      <c r="L402" s="247">
        <v>39693</v>
      </c>
      <c r="M402" s="247">
        <f t="shared" si="281"/>
        <v>39693</v>
      </c>
      <c r="N402" s="247">
        <v>33680</v>
      </c>
      <c r="O402" s="247">
        <v>57380</v>
      </c>
      <c r="P402" s="247">
        <v>46758</v>
      </c>
      <c r="Q402" s="247">
        <v>32386</v>
      </c>
      <c r="R402" s="247">
        <f t="shared" si="282"/>
        <v>32386</v>
      </c>
      <c r="S402" s="247">
        <v>44961</v>
      </c>
      <c r="T402" s="247">
        <v>38344</v>
      </c>
      <c r="U402" s="247">
        <v>37721</v>
      </c>
      <c r="V402" s="247">
        <v>44961</v>
      </c>
      <c r="W402" s="247">
        <f t="shared" si="283"/>
        <v>44961</v>
      </c>
      <c r="X402" s="247">
        <v>42734</v>
      </c>
      <c r="Y402" s="247">
        <v>40304</v>
      </c>
      <c r="Z402" s="247">
        <v>44906</v>
      </c>
      <c r="AA402" s="247">
        <v>53689</v>
      </c>
      <c r="AB402" s="247">
        <f t="shared" si="284"/>
        <v>53689</v>
      </c>
      <c r="AC402" s="247">
        <v>45958</v>
      </c>
      <c r="AD402" s="247">
        <v>46358</v>
      </c>
      <c r="AE402" s="247">
        <v>46288</v>
      </c>
      <c r="AF402" s="84"/>
      <c r="AG402" s="84"/>
      <c r="AH402" s="157"/>
      <c r="AI402" s="161"/>
      <c r="AJ402" s="161"/>
      <c r="AO402" s="84"/>
      <c r="AP402" s="84"/>
      <c r="AQ402" s="84"/>
      <c r="AR402" s="84"/>
      <c r="AS402" s="84"/>
      <c r="AT402" s="84"/>
      <c r="AU402" s="84"/>
      <c r="AV402" s="84"/>
      <c r="AW402" s="84"/>
      <c r="AX402" s="84"/>
      <c r="AY402" s="84"/>
      <c r="AZ402" s="84"/>
      <c r="BA402" s="84"/>
      <c r="BB402" s="84"/>
      <c r="BC402" s="84"/>
      <c r="BD402" s="84"/>
      <c r="BE402" s="84"/>
      <c r="BF402" s="84"/>
      <c r="BG402" s="84"/>
    </row>
    <row r="403" spans="1:59" ht="15.75" customHeight="1" x14ac:dyDescent="0.2">
      <c r="A403" s="84"/>
      <c r="B403" s="147"/>
      <c r="C403" s="189" t="s">
        <v>321</v>
      </c>
      <c r="D403" s="247">
        <v>0</v>
      </c>
      <c r="E403" s="247">
        <v>0</v>
      </c>
      <c r="F403" s="247">
        <v>0</v>
      </c>
      <c r="G403" s="247">
        <v>0</v>
      </c>
      <c r="H403" s="247">
        <f t="shared" si="278"/>
        <v>0</v>
      </c>
      <c r="I403" s="247">
        <v>0</v>
      </c>
      <c r="J403" s="247">
        <v>0</v>
      </c>
      <c r="K403" s="247">
        <v>0</v>
      </c>
      <c r="L403" s="247">
        <v>0</v>
      </c>
      <c r="M403" s="247">
        <f t="shared" si="281"/>
        <v>0</v>
      </c>
      <c r="N403" s="247">
        <v>0</v>
      </c>
      <c r="O403" s="247">
        <v>0</v>
      </c>
      <c r="P403" s="247">
        <v>0</v>
      </c>
      <c r="Q403" s="247">
        <v>0</v>
      </c>
      <c r="R403" s="247">
        <f t="shared" si="282"/>
        <v>0</v>
      </c>
      <c r="S403" s="247">
        <v>53104</v>
      </c>
      <c r="T403" s="247">
        <v>0</v>
      </c>
      <c r="U403" s="247">
        <v>0</v>
      </c>
      <c r="V403" s="247">
        <v>53104</v>
      </c>
      <c r="W403" s="247">
        <f t="shared" si="283"/>
        <v>53104</v>
      </c>
      <c r="X403" s="247">
        <v>53104</v>
      </c>
      <c r="Y403" s="247" t="s">
        <v>146</v>
      </c>
      <c r="Z403" s="247" t="s">
        <v>146</v>
      </c>
      <c r="AA403" s="247">
        <v>10160</v>
      </c>
      <c r="AB403" s="247">
        <f t="shared" si="284"/>
        <v>10160</v>
      </c>
      <c r="AC403" s="247">
        <v>136970</v>
      </c>
      <c r="AD403" s="247">
        <v>0</v>
      </c>
      <c r="AE403" s="247">
        <v>141330</v>
      </c>
      <c r="AF403" s="84"/>
      <c r="AG403" s="84"/>
      <c r="AH403" s="157"/>
      <c r="AI403" s="161"/>
      <c r="AJ403" s="161"/>
      <c r="AO403" s="84"/>
      <c r="AP403" s="84"/>
      <c r="AQ403" s="84"/>
      <c r="AR403" s="84"/>
      <c r="AS403" s="84"/>
      <c r="AT403" s="84"/>
      <c r="AU403" s="84"/>
      <c r="AV403" s="84"/>
      <c r="AW403" s="84"/>
      <c r="AX403" s="84"/>
      <c r="AY403" s="84"/>
      <c r="AZ403" s="84"/>
      <c r="BA403" s="84"/>
      <c r="BB403" s="84"/>
      <c r="BC403" s="84"/>
      <c r="BD403" s="84"/>
      <c r="BE403" s="84"/>
      <c r="BF403" s="84"/>
      <c r="BG403" s="84"/>
    </row>
    <row r="404" spans="1:59" ht="15.75" customHeight="1" x14ac:dyDescent="0.2">
      <c r="A404" s="84"/>
      <c r="B404" s="147"/>
      <c r="C404" s="189" t="s">
        <v>322</v>
      </c>
      <c r="D404" s="247">
        <v>56152</v>
      </c>
      <c r="E404" s="247">
        <v>62388</v>
      </c>
      <c r="F404" s="247">
        <v>32792</v>
      </c>
      <c r="G404" s="247">
        <v>30859</v>
      </c>
      <c r="H404" s="247">
        <f t="shared" si="278"/>
        <v>30859</v>
      </c>
      <c r="I404" s="247">
        <v>33588</v>
      </c>
      <c r="J404" s="247">
        <v>35912</v>
      </c>
      <c r="K404" s="247">
        <v>32792</v>
      </c>
      <c r="L404" s="247">
        <v>28174</v>
      </c>
      <c r="M404" s="247">
        <f t="shared" si="281"/>
        <v>28174</v>
      </c>
      <c r="N404" s="247">
        <v>27864</v>
      </c>
      <c r="O404" s="247">
        <v>27208</v>
      </c>
      <c r="P404" s="247">
        <v>30127</v>
      </c>
      <c r="Q404" s="247">
        <v>34658</v>
      </c>
      <c r="R404" s="247">
        <f t="shared" si="282"/>
        <v>34658</v>
      </c>
      <c r="S404" s="247">
        <v>43910</v>
      </c>
      <c r="T404" s="247">
        <v>41432</v>
      </c>
      <c r="U404" s="247">
        <v>57944</v>
      </c>
      <c r="V404" s="247">
        <v>43910</v>
      </c>
      <c r="W404" s="247">
        <f t="shared" si="283"/>
        <v>43910</v>
      </c>
      <c r="X404" s="247">
        <v>39554</v>
      </c>
      <c r="Y404" s="247">
        <v>46566</v>
      </c>
      <c r="Z404" s="247">
        <v>45172</v>
      </c>
      <c r="AA404" s="247">
        <v>46453</v>
      </c>
      <c r="AB404" s="247">
        <f t="shared" si="284"/>
        <v>46453</v>
      </c>
      <c r="AC404" s="247">
        <v>47712</v>
      </c>
      <c r="AD404" s="247">
        <v>50474</v>
      </c>
      <c r="AE404" s="247">
        <v>56964</v>
      </c>
      <c r="AF404" s="84"/>
      <c r="AG404" s="84"/>
      <c r="AH404" s="157"/>
      <c r="AI404" s="182"/>
      <c r="AJ404" s="182"/>
      <c r="AO404" s="84"/>
      <c r="AP404" s="84"/>
      <c r="AQ404" s="84"/>
      <c r="AR404" s="84"/>
      <c r="AS404" s="84"/>
      <c r="AT404" s="84"/>
      <c r="AU404" s="84"/>
      <c r="AV404" s="84"/>
      <c r="AW404" s="84"/>
      <c r="AX404" s="84"/>
      <c r="AY404" s="84"/>
      <c r="AZ404" s="84"/>
      <c r="BA404" s="84"/>
      <c r="BB404" s="84"/>
      <c r="BC404" s="84"/>
      <c r="BD404" s="84"/>
      <c r="BE404" s="84"/>
      <c r="BF404" s="84"/>
      <c r="BG404" s="84"/>
    </row>
    <row r="405" spans="1:59" ht="15.75" customHeight="1" x14ac:dyDescent="0.2">
      <c r="A405" s="84"/>
      <c r="B405" s="147"/>
      <c r="C405" s="189" t="s">
        <v>323</v>
      </c>
      <c r="D405" s="247">
        <v>985</v>
      </c>
      <c r="E405" s="247">
        <v>2325</v>
      </c>
      <c r="F405" s="247">
        <v>1080</v>
      </c>
      <c r="G405" s="247">
        <v>1635</v>
      </c>
      <c r="H405" s="247">
        <f t="shared" si="278"/>
        <v>1635</v>
      </c>
      <c r="I405" s="247">
        <v>0</v>
      </c>
      <c r="J405" s="247">
        <v>0</v>
      </c>
      <c r="K405" s="247">
        <v>1080</v>
      </c>
      <c r="L405" s="247">
        <v>0</v>
      </c>
      <c r="M405" s="247">
        <f t="shared" si="281"/>
        <v>0</v>
      </c>
      <c r="N405" s="247">
        <v>0</v>
      </c>
      <c r="O405" s="247">
        <v>0</v>
      </c>
      <c r="P405" s="247">
        <v>0</v>
      </c>
      <c r="Q405" s="247">
        <v>0</v>
      </c>
      <c r="R405" s="247">
        <f t="shared" si="282"/>
        <v>0</v>
      </c>
      <c r="S405" s="247">
        <v>0</v>
      </c>
      <c r="T405" s="247">
        <v>0</v>
      </c>
      <c r="U405" s="247">
        <v>0</v>
      </c>
      <c r="V405" s="247">
        <v>0</v>
      </c>
      <c r="W405" s="247">
        <f t="shared" si="283"/>
        <v>0</v>
      </c>
      <c r="X405" s="247">
        <v>0</v>
      </c>
      <c r="Y405" s="247">
        <v>0</v>
      </c>
      <c r="Z405" s="247">
        <v>0</v>
      </c>
      <c r="AA405" s="247">
        <v>0</v>
      </c>
      <c r="AB405" s="247">
        <f t="shared" si="284"/>
        <v>0</v>
      </c>
      <c r="AC405" s="247">
        <v>0</v>
      </c>
      <c r="AD405" s="247">
        <v>0</v>
      </c>
      <c r="AE405" s="247">
        <v>0</v>
      </c>
      <c r="AF405" s="84"/>
      <c r="AG405" s="84"/>
      <c r="AH405" s="157"/>
      <c r="AI405" s="161"/>
      <c r="AJ405" s="161"/>
      <c r="AO405" s="84"/>
      <c r="AP405" s="84"/>
      <c r="AQ405" s="84"/>
      <c r="AR405" s="84"/>
      <c r="AS405" s="84"/>
      <c r="AT405" s="84"/>
      <c r="AU405" s="84"/>
      <c r="AV405" s="84"/>
      <c r="AW405" s="84"/>
      <c r="AX405" s="84"/>
      <c r="AY405" s="84"/>
      <c r="AZ405" s="84"/>
      <c r="BA405" s="84"/>
      <c r="BB405" s="84"/>
      <c r="BC405" s="84"/>
      <c r="BD405" s="84"/>
      <c r="BE405" s="84"/>
      <c r="BF405" s="84"/>
      <c r="BG405" s="84"/>
    </row>
    <row r="406" spans="1:59" ht="15.75" customHeight="1" x14ac:dyDescent="0.2">
      <c r="A406" s="84"/>
      <c r="B406" s="147"/>
      <c r="C406" s="189" t="s">
        <v>324</v>
      </c>
      <c r="D406" s="247">
        <v>5808</v>
      </c>
      <c r="E406" s="247">
        <v>3827</v>
      </c>
      <c r="F406" s="247">
        <v>4428</v>
      </c>
      <c r="G406" s="247">
        <v>2785</v>
      </c>
      <c r="H406" s="247">
        <f t="shared" si="278"/>
        <v>2785</v>
      </c>
      <c r="I406" s="247">
        <v>1184</v>
      </c>
      <c r="J406" s="247">
        <v>2589</v>
      </c>
      <c r="K406" s="247">
        <v>4428</v>
      </c>
      <c r="L406" s="247">
        <v>2171</v>
      </c>
      <c r="M406" s="247">
        <f t="shared" si="281"/>
        <v>2171</v>
      </c>
      <c r="N406" s="247">
        <v>3598</v>
      </c>
      <c r="O406" s="247">
        <v>3353</v>
      </c>
      <c r="P406" s="247">
        <v>3616</v>
      </c>
      <c r="Q406" s="247">
        <v>594</v>
      </c>
      <c r="R406" s="247">
        <f t="shared" si="282"/>
        <v>594</v>
      </c>
      <c r="S406" s="247">
        <v>0</v>
      </c>
      <c r="T406" s="247">
        <v>0</v>
      </c>
      <c r="U406" s="247">
        <v>0</v>
      </c>
      <c r="V406" s="247">
        <v>0</v>
      </c>
      <c r="W406" s="247">
        <f t="shared" si="283"/>
        <v>0</v>
      </c>
      <c r="X406" s="247">
        <v>0</v>
      </c>
      <c r="Y406" s="247">
        <v>0</v>
      </c>
      <c r="Z406" s="247">
        <v>0</v>
      </c>
      <c r="AA406" s="247">
        <v>0</v>
      </c>
      <c r="AB406" s="247">
        <f t="shared" si="284"/>
        <v>0</v>
      </c>
      <c r="AC406" s="247">
        <v>0</v>
      </c>
      <c r="AD406" s="247">
        <v>0</v>
      </c>
      <c r="AE406" s="247">
        <v>0</v>
      </c>
      <c r="AF406" s="84"/>
      <c r="AG406" s="84"/>
      <c r="AH406" s="157"/>
      <c r="AI406" s="161"/>
      <c r="AJ406" s="161"/>
      <c r="AO406" s="84"/>
      <c r="AP406" s="84"/>
      <c r="AQ406" s="84"/>
      <c r="AR406" s="84"/>
      <c r="AS406" s="84"/>
      <c r="AT406" s="84"/>
      <c r="AU406" s="84"/>
      <c r="AV406" s="84"/>
      <c r="AW406" s="84"/>
      <c r="AX406" s="84"/>
      <c r="AY406" s="84"/>
      <c r="AZ406" s="84"/>
      <c r="BA406" s="84"/>
      <c r="BB406" s="84"/>
      <c r="BC406" s="84"/>
      <c r="BD406" s="84"/>
      <c r="BE406" s="84"/>
      <c r="BF406" s="84"/>
      <c r="BG406" s="84"/>
    </row>
    <row r="407" spans="1:59" ht="15.75" customHeight="1" x14ac:dyDescent="0.2">
      <c r="A407" s="84"/>
      <c r="B407" s="147"/>
      <c r="C407" s="147"/>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84"/>
      <c r="AG407" s="84"/>
      <c r="AH407" s="157"/>
      <c r="AI407" s="161"/>
      <c r="AJ407" s="161"/>
      <c r="AO407" s="84"/>
      <c r="AP407" s="84"/>
      <c r="AQ407" s="84"/>
      <c r="AR407" s="84"/>
      <c r="AS407" s="84"/>
      <c r="AT407" s="84"/>
      <c r="AU407" s="84"/>
      <c r="AV407" s="84"/>
      <c r="AW407" s="84"/>
      <c r="AX407" s="84"/>
      <c r="AY407" s="84"/>
      <c r="AZ407" s="84"/>
      <c r="BA407" s="84"/>
      <c r="BB407" s="84"/>
      <c r="BC407" s="84"/>
      <c r="BD407" s="84"/>
      <c r="BE407" s="84"/>
      <c r="BF407" s="84"/>
      <c r="BG407" s="84"/>
    </row>
    <row r="408" spans="1:59" ht="15.75" customHeight="1" x14ac:dyDescent="0.2">
      <c r="A408" s="84"/>
      <c r="B408" s="84"/>
      <c r="C408" s="97" t="s">
        <v>325</v>
      </c>
      <c r="D408" s="246">
        <f t="shared" ref="D408:G408" si="285">SUM(D409:D415)</f>
        <v>1195922</v>
      </c>
      <c r="E408" s="246">
        <f t="shared" si="285"/>
        <v>1313176</v>
      </c>
      <c r="F408" s="246">
        <f t="shared" si="285"/>
        <v>1326280</v>
      </c>
      <c r="G408" s="246">
        <f t="shared" si="285"/>
        <v>1223289</v>
      </c>
      <c r="H408" s="246">
        <f t="shared" ref="H408:H415" si="286">G408</f>
        <v>1223289</v>
      </c>
      <c r="I408" s="246">
        <f t="shared" ref="I408:R408" si="287">SUM(I409:I415)</f>
        <v>1876623</v>
      </c>
      <c r="J408" s="246">
        <f t="shared" si="287"/>
        <v>1999120</v>
      </c>
      <c r="K408" s="246">
        <f t="shared" si="287"/>
        <v>1326280</v>
      </c>
      <c r="L408" s="246">
        <f t="shared" si="287"/>
        <v>2174964</v>
      </c>
      <c r="M408" s="246">
        <f t="shared" si="287"/>
        <v>2174964</v>
      </c>
      <c r="N408" s="246">
        <f t="shared" si="287"/>
        <v>2514165</v>
      </c>
      <c r="O408" s="246">
        <f t="shared" si="287"/>
        <v>2643177</v>
      </c>
      <c r="P408" s="246">
        <f t="shared" si="287"/>
        <v>2677967</v>
      </c>
      <c r="Q408" s="246">
        <f t="shared" si="287"/>
        <v>2524965</v>
      </c>
      <c r="R408" s="246">
        <f t="shared" si="287"/>
        <v>2524965</v>
      </c>
      <c r="S408" s="246">
        <v>2597002</v>
      </c>
      <c r="T408" s="246">
        <v>2534877</v>
      </c>
      <c r="U408" s="246">
        <v>2559388</v>
      </c>
      <c r="V408" s="246">
        <f t="shared" ref="V408:AE408" si="288">SUM(V409:V415)</f>
        <v>2597002</v>
      </c>
      <c r="W408" s="246">
        <f t="shared" si="288"/>
        <v>2597002</v>
      </c>
      <c r="X408" s="246">
        <f t="shared" si="288"/>
        <v>2369328</v>
      </c>
      <c r="Y408" s="246">
        <f t="shared" si="288"/>
        <v>2533554</v>
      </c>
      <c r="Z408" s="246">
        <f t="shared" si="288"/>
        <v>2680017</v>
      </c>
      <c r="AA408" s="246">
        <f t="shared" si="288"/>
        <v>2577183</v>
      </c>
      <c r="AB408" s="246">
        <f t="shared" si="288"/>
        <v>2577183</v>
      </c>
      <c r="AC408" s="246">
        <f t="shared" si="288"/>
        <v>2521921</v>
      </c>
      <c r="AD408" s="246">
        <f t="shared" si="288"/>
        <v>2501484</v>
      </c>
      <c r="AE408" s="246">
        <f t="shared" si="288"/>
        <v>2507242</v>
      </c>
      <c r="AF408" s="84"/>
      <c r="AG408" s="84"/>
      <c r="AH408" s="157"/>
      <c r="AI408" s="147"/>
      <c r="AJ408" s="147"/>
      <c r="AO408" s="84"/>
      <c r="AP408" s="84"/>
      <c r="AQ408" s="84"/>
      <c r="AR408" s="84"/>
      <c r="AS408" s="84"/>
      <c r="AT408" s="84"/>
      <c r="AU408" s="84"/>
      <c r="AV408" s="84"/>
      <c r="AW408" s="84"/>
      <c r="AX408" s="84"/>
      <c r="AY408" s="84"/>
      <c r="AZ408" s="84"/>
      <c r="BA408" s="84"/>
      <c r="BB408" s="84"/>
      <c r="BC408" s="84"/>
      <c r="BD408" s="84"/>
      <c r="BE408" s="84"/>
      <c r="BF408" s="84"/>
      <c r="BG408" s="84"/>
    </row>
    <row r="409" spans="1:59" ht="15.75" customHeight="1" x14ac:dyDescent="0.2">
      <c r="A409" s="84"/>
      <c r="B409" s="147"/>
      <c r="C409" s="189" t="s">
        <v>326</v>
      </c>
      <c r="D409" s="247">
        <v>0</v>
      </c>
      <c r="E409" s="247">
        <v>0</v>
      </c>
      <c r="F409" s="247">
        <v>0</v>
      </c>
      <c r="G409" s="247">
        <v>0</v>
      </c>
      <c r="H409" s="247">
        <f t="shared" si="286"/>
        <v>0</v>
      </c>
      <c r="I409" s="247">
        <v>0</v>
      </c>
      <c r="J409" s="247">
        <v>0</v>
      </c>
      <c r="K409" s="247">
        <v>0</v>
      </c>
      <c r="L409" s="247">
        <v>0</v>
      </c>
      <c r="M409" s="247">
        <f t="shared" ref="M409:M415" si="289">L409</f>
        <v>0</v>
      </c>
      <c r="N409" s="247">
        <v>0</v>
      </c>
      <c r="O409" s="247">
        <v>0</v>
      </c>
      <c r="P409" s="247">
        <v>0</v>
      </c>
      <c r="Q409" s="247">
        <v>0</v>
      </c>
      <c r="R409" s="247">
        <f t="shared" ref="R409:R415" si="290">Q409</f>
        <v>0</v>
      </c>
      <c r="S409" s="247">
        <v>13</v>
      </c>
      <c r="T409" s="247">
        <v>1688</v>
      </c>
      <c r="U409" s="247">
        <v>252</v>
      </c>
      <c r="V409" s="247">
        <v>13</v>
      </c>
      <c r="W409" s="247">
        <f t="shared" ref="W409:W415" si="291">V409</f>
        <v>13</v>
      </c>
      <c r="X409" s="247">
        <v>11</v>
      </c>
      <c r="Y409" s="247">
        <v>11</v>
      </c>
      <c r="Z409" s="247">
        <v>11</v>
      </c>
      <c r="AA409" s="247">
        <v>25</v>
      </c>
      <c r="AB409" s="247">
        <f t="shared" ref="AB409:AB415" si="292">AA409</f>
        <v>25</v>
      </c>
      <c r="AC409" s="247">
        <v>29</v>
      </c>
      <c r="AD409" s="247">
        <v>18</v>
      </c>
      <c r="AE409" s="247">
        <v>23</v>
      </c>
      <c r="AF409" s="84"/>
      <c r="AG409" s="84"/>
      <c r="AH409" s="157"/>
      <c r="AI409" s="157"/>
      <c r="AJ409" s="157"/>
      <c r="AO409" s="84"/>
      <c r="AP409" s="84"/>
      <c r="AQ409" s="84"/>
      <c r="AR409" s="84"/>
      <c r="AS409" s="84"/>
      <c r="AT409" s="84"/>
      <c r="AU409" s="84"/>
      <c r="AV409" s="84"/>
      <c r="AW409" s="84"/>
      <c r="AX409" s="84"/>
      <c r="AY409" s="84"/>
      <c r="AZ409" s="84"/>
      <c r="BA409" s="84"/>
      <c r="BB409" s="84"/>
      <c r="BC409" s="84"/>
      <c r="BD409" s="84"/>
      <c r="BE409" s="84"/>
      <c r="BF409" s="84"/>
      <c r="BG409" s="84"/>
    </row>
    <row r="410" spans="1:59" ht="15.75" customHeight="1" x14ac:dyDescent="0.2">
      <c r="A410" s="84"/>
      <c r="B410" s="147"/>
      <c r="C410" s="189" t="s">
        <v>317</v>
      </c>
      <c r="D410" s="247">
        <v>955347</v>
      </c>
      <c r="E410" s="247">
        <v>1041089</v>
      </c>
      <c r="F410" s="247">
        <v>1044782</v>
      </c>
      <c r="G410" s="247">
        <v>957451</v>
      </c>
      <c r="H410" s="247">
        <f t="shared" si="286"/>
        <v>957451</v>
      </c>
      <c r="I410" s="247">
        <v>984719</v>
      </c>
      <c r="J410" s="247">
        <v>1095059</v>
      </c>
      <c r="K410" s="247">
        <v>1044782</v>
      </c>
      <c r="L410" s="247">
        <v>1202527</v>
      </c>
      <c r="M410" s="247">
        <f t="shared" si="289"/>
        <v>1202527</v>
      </c>
      <c r="N410" s="247">
        <v>1435262</v>
      </c>
      <c r="O410" s="247">
        <v>1550343</v>
      </c>
      <c r="P410" s="247">
        <v>1586814</v>
      </c>
      <c r="Q410" s="247">
        <v>1475806</v>
      </c>
      <c r="R410" s="247">
        <f t="shared" si="290"/>
        <v>1475806</v>
      </c>
      <c r="S410" s="247">
        <v>1430347</v>
      </c>
      <c r="T410" s="247">
        <v>1347528</v>
      </c>
      <c r="U410" s="247">
        <v>1393189</v>
      </c>
      <c r="V410" s="247">
        <v>1430347</v>
      </c>
      <c r="W410" s="247">
        <f t="shared" si="291"/>
        <v>1430347</v>
      </c>
      <c r="X410" s="247">
        <v>1261762</v>
      </c>
      <c r="Y410" s="247">
        <v>1302708</v>
      </c>
      <c r="Z410" s="247">
        <v>1436242</v>
      </c>
      <c r="AA410" s="247">
        <v>1367092</v>
      </c>
      <c r="AB410" s="247">
        <f t="shared" si="292"/>
        <v>1367092</v>
      </c>
      <c r="AC410" s="247">
        <v>1333257</v>
      </c>
      <c r="AD410" s="247">
        <v>1314031</v>
      </c>
      <c r="AE410" s="247">
        <v>1262146</v>
      </c>
      <c r="AF410" s="84"/>
      <c r="AG410" s="84"/>
      <c r="AH410" s="157"/>
      <c r="AI410" s="161"/>
      <c r="AJ410" s="161"/>
      <c r="AO410" s="84"/>
      <c r="AP410" s="84"/>
      <c r="AQ410" s="84"/>
      <c r="AR410" s="84"/>
      <c r="AS410" s="84"/>
      <c r="AT410" s="84"/>
      <c r="AU410" s="84"/>
      <c r="AV410" s="84"/>
      <c r="AW410" s="84"/>
      <c r="AX410" s="84"/>
      <c r="AY410" s="84"/>
      <c r="AZ410" s="84"/>
      <c r="BA410" s="84"/>
      <c r="BB410" s="84"/>
      <c r="BC410" s="84"/>
      <c r="BD410" s="84"/>
      <c r="BE410" s="84"/>
      <c r="BF410" s="84"/>
      <c r="BG410" s="84"/>
    </row>
    <row r="411" spans="1:59" ht="15.75" customHeight="1" x14ac:dyDescent="0.2">
      <c r="A411" s="84"/>
      <c r="B411" s="147"/>
      <c r="C411" s="189" t="s">
        <v>318</v>
      </c>
      <c r="D411" s="247">
        <v>442</v>
      </c>
      <c r="E411" s="247">
        <v>389</v>
      </c>
      <c r="F411" s="247">
        <v>272</v>
      </c>
      <c r="G411" s="247">
        <v>229</v>
      </c>
      <c r="H411" s="247">
        <f t="shared" si="286"/>
        <v>229</v>
      </c>
      <c r="I411" s="247">
        <v>619665</v>
      </c>
      <c r="J411" s="247">
        <v>635743</v>
      </c>
      <c r="K411" s="247">
        <v>272</v>
      </c>
      <c r="L411" s="247">
        <v>694126</v>
      </c>
      <c r="M411" s="247">
        <f t="shared" si="289"/>
        <v>694126</v>
      </c>
      <c r="N411" s="247">
        <v>722073</v>
      </c>
      <c r="O411" s="247">
        <v>724420</v>
      </c>
      <c r="P411" s="247">
        <v>720425</v>
      </c>
      <c r="Q411" s="247">
        <v>725989</v>
      </c>
      <c r="R411" s="247">
        <f t="shared" si="290"/>
        <v>725989</v>
      </c>
      <c r="S411" s="247">
        <v>828110</v>
      </c>
      <c r="T411" s="247">
        <v>906149</v>
      </c>
      <c r="U411" s="247">
        <v>831030</v>
      </c>
      <c r="V411" s="247">
        <v>828110</v>
      </c>
      <c r="W411" s="247">
        <f t="shared" si="291"/>
        <v>828110</v>
      </c>
      <c r="X411" s="247">
        <v>846372</v>
      </c>
      <c r="Y411" s="247">
        <v>914401</v>
      </c>
      <c r="Z411" s="247">
        <v>906332</v>
      </c>
      <c r="AA411" s="247">
        <v>894565</v>
      </c>
      <c r="AB411" s="247">
        <f t="shared" si="292"/>
        <v>894565</v>
      </c>
      <c r="AC411" s="247">
        <v>895237</v>
      </c>
      <c r="AD411" s="247">
        <v>913708</v>
      </c>
      <c r="AE411" s="247">
        <v>957952</v>
      </c>
      <c r="AF411" s="84"/>
      <c r="AG411" s="84"/>
      <c r="AH411" s="161"/>
      <c r="AI411" s="192"/>
      <c r="AJ411" s="192"/>
      <c r="AO411" s="84"/>
      <c r="AP411" s="84"/>
      <c r="AQ411" s="84"/>
      <c r="AR411" s="84"/>
      <c r="AS411" s="84"/>
      <c r="AT411" s="84"/>
      <c r="AU411" s="84"/>
      <c r="AV411" s="84"/>
      <c r="AW411" s="84"/>
      <c r="AX411" s="84"/>
      <c r="AY411" s="84"/>
      <c r="AZ411" s="84"/>
      <c r="BA411" s="84"/>
      <c r="BB411" s="84"/>
      <c r="BC411" s="84"/>
      <c r="BD411" s="84"/>
      <c r="BE411" s="84"/>
      <c r="BF411" s="84"/>
      <c r="BG411" s="84"/>
    </row>
    <row r="412" spans="1:59" ht="15.75" customHeight="1" x14ac:dyDescent="0.2">
      <c r="A412" s="84"/>
      <c r="B412" s="147"/>
      <c r="C412" s="189" t="s">
        <v>327</v>
      </c>
      <c r="D412" s="247">
        <v>172552</v>
      </c>
      <c r="E412" s="247">
        <v>203262</v>
      </c>
      <c r="F412" s="247">
        <v>210301</v>
      </c>
      <c r="G412" s="247">
        <v>193829</v>
      </c>
      <c r="H412" s="247">
        <f t="shared" si="286"/>
        <v>193829</v>
      </c>
      <c r="I412" s="247">
        <v>200594</v>
      </c>
      <c r="J412" s="247">
        <v>201838</v>
      </c>
      <c r="K412" s="247">
        <v>210301</v>
      </c>
      <c r="L412" s="247">
        <v>209742</v>
      </c>
      <c r="M412" s="247">
        <f t="shared" si="289"/>
        <v>209742</v>
      </c>
      <c r="N412" s="247">
        <v>288606</v>
      </c>
      <c r="O412" s="247">
        <v>300851</v>
      </c>
      <c r="P412" s="247">
        <v>304660</v>
      </c>
      <c r="Q412" s="247">
        <v>264964</v>
      </c>
      <c r="R412" s="247">
        <f t="shared" si="290"/>
        <v>264964</v>
      </c>
      <c r="S412" s="247">
        <v>280108</v>
      </c>
      <c r="T412" s="247">
        <v>218901</v>
      </c>
      <c r="U412" s="247">
        <v>272937</v>
      </c>
      <c r="V412" s="247">
        <v>280108</v>
      </c>
      <c r="W412" s="247">
        <f t="shared" si="291"/>
        <v>280108</v>
      </c>
      <c r="X412" s="247">
        <v>205965</v>
      </c>
      <c r="Y412" s="247">
        <v>258047</v>
      </c>
      <c r="Z412" s="247">
        <v>278941</v>
      </c>
      <c r="AA412" s="247">
        <v>259494</v>
      </c>
      <c r="AB412" s="247">
        <f t="shared" si="292"/>
        <v>259494</v>
      </c>
      <c r="AC412" s="247">
        <v>241803</v>
      </c>
      <c r="AD412" s="247">
        <v>223832</v>
      </c>
      <c r="AE412" s="247">
        <v>239443</v>
      </c>
      <c r="AF412" s="84"/>
      <c r="AG412" s="84"/>
      <c r="AH412" s="161"/>
      <c r="AI412" s="192"/>
      <c r="AJ412" s="192"/>
      <c r="AO412" s="84"/>
      <c r="AP412" s="84"/>
      <c r="AQ412" s="84"/>
      <c r="AR412" s="84"/>
      <c r="AS412" s="84"/>
      <c r="AT412" s="84"/>
      <c r="AU412" s="84"/>
      <c r="AV412" s="84"/>
      <c r="AW412" s="84"/>
      <c r="AX412" s="84"/>
      <c r="AY412" s="84"/>
      <c r="AZ412" s="84"/>
      <c r="BA412" s="84"/>
      <c r="BB412" s="84"/>
      <c r="BC412" s="84"/>
      <c r="BD412" s="84"/>
      <c r="BE412" s="84"/>
      <c r="BF412" s="84"/>
      <c r="BG412" s="84"/>
    </row>
    <row r="413" spans="1:59" ht="15.75" customHeight="1" x14ac:dyDescent="0.2">
      <c r="A413" s="84"/>
      <c r="B413" s="147"/>
      <c r="C413" s="189" t="s">
        <v>328</v>
      </c>
      <c r="D413" s="247">
        <v>62856</v>
      </c>
      <c r="E413" s="247">
        <v>64154</v>
      </c>
      <c r="F413" s="247">
        <v>66918</v>
      </c>
      <c r="G413" s="247">
        <v>67168</v>
      </c>
      <c r="H413" s="247">
        <f t="shared" si="286"/>
        <v>67168</v>
      </c>
      <c r="I413" s="247">
        <v>66930</v>
      </c>
      <c r="J413" s="247">
        <v>61652</v>
      </c>
      <c r="K413" s="247">
        <v>66918</v>
      </c>
      <c r="L413" s="247">
        <v>59022</v>
      </c>
      <c r="M413" s="247">
        <f t="shared" si="289"/>
        <v>59022</v>
      </c>
      <c r="N413" s="247">
        <v>58506</v>
      </c>
      <c r="O413" s="247">
        <v>57673</v>
      </c>
      <c r="P413" s="247">
        <v>56007</v>
      </c>
      <c r="Q413" s="247">
        <v>49680</v>
      </c>
      <c r="R413" s="247">
        <f t="shared" si="290"/>
        <v>49680</v>
      </c>
      <c r="S413" s="247">
        <v>49708</v>
      </c>
      <c r="T413" s="247">
        <v>51915</v>
      </c>
      <c r="U413" s="247">
        <v>53199</v>
      </c>
      <c r="V413" s="247">
        <v>49708</v>
      </c>
      <c r="W413" s="247">
        <f t="shared" si="291"/>
        <v>49708</v>
      </c>
      <c r="X413" s="247">
        <v>46301</v>
      </c>
      <c r="Y413" s="247">
        <v>49268</v>
      </c>
      <c r="Z413" s="247">
        <v>49171</v>
      </c>
      <c r="AA413" s="247">
        <v>46942</v>
      </c>
      <c r="AB413" s="247">
        <f t="shared" si="292"/>
        <v>46942</v>
      </c>
      <c r="AC413" s="247">
        <v>42310</v>
      </c>
      <c r="AD413" s="247">
        <v>40389</v>
      </c>
      <c r="AE413" s="247">
        <v>37951</v>
      </c>
      <c r="AF413" s="84"/>
      <c r="AG413" s="84"/>
      <c r="AH413" s="161"/>
      <c r="AI413" s="192"/>
      <c r="AJ413" s="192"/>
      <c r="AO413" s="84"/>
      <c r="AP413" s="84"/>
      <c r="AQ413" s="84"/>
      <c r="AR413" s="84"/>
      <c r="AS413" s="84"/>
      <c r="AT413" s="84"/>
      <c r="AU413" s="84"/>
      <c r="AV413" s="84"/>
      <c r="AW413" s="84"/>
      <c r="AX413" s="84"/>
      <c r="AY413" s="84"/>
      <c r="AZ413" s="84"/>
      <c r="BA413" s="84"/>
      <c r="BB413" s="84"/>
      <c r="BC413" s="84"/>
      <c r="BD413" s="84"/>
      <c r="BE413" s="84"/>
      <c r="BF413" s="84"/>
      <c r="BG413" s="84"/>
    </row>
    <row r="414" spans="1:59" ht="15.75" customHeight="1" x14ac:dyDescent="0.2">
      <c r="A414" s="84"/>
      <c r="B414" s="147"/>
      <c r="C414" s="189" t="s">
        <v>329</v>
      </c>
      <c r="D414" s="247">
        <v>3678</v>
      </c>
      <c r="E414" s="247">
        <v>3770</v>
      </c>
      <c r="F414" s="247">
        <v>3861</v>
      </c>
      <c r="G414" s="247">
        <v>4612</v>
      </c>
      <c r="H414" s="247">
        <f t="shared" si="286"/>
        <v>4612</v>
      </c>
      <c r="I414" s="247">
        <v>4715</v>
      </c>
      <c r="J414" s="247">
        <v>4828</v>
      </c>
      <c r="K414" s="247">
        <v>3861</v>
      </c>
      <c r="L414" s="247">
        <v>9547</v>
      </c>
      <c r="M414" s="247">
        <f t="shared" si="289"/>
        <v>9547</v>
      </c>
      <c r="N414" s="247">
        <v>9718</v>
      </c>
      <c r="O414" s="247">
        <v>9890</v>
      </c>
      <c r="P414" s="247">
        <v>10061</v>
      </c>
      <c r="Q414" s="247">
        <v>8526</v>
      </c>
      <c r="R414" s="247">
        <f t="shared" si="290"/>
        <v>8526</v>
      </c>
      <c r="S414" s="247">
        <v>8716</v>
      </c>
      <c r="T414" s="247">
        <v>8696</v>
      </c>
      <c r="U414" s="247">
        <v>8781</v>
      </c>
      <c r="V414" s="247">
        <v>8716</v>
      </c>
      <c r="W414" s="247">
        <f t="shared" si="291"/>
        <v>8716</v>
      </c>
      <c r="X414" s="247">
        <v>8917</v>
      </c>
      <c r="Y414" s="247">
        <v>9119</v>
      </c>
      <c r="Z414" s="247">
        <v>9320</v>
      </c>
      <c r="AA414" s="247">
        <v>9065</v>
      </c>
      <c r="AB414" s="247">
        <f t="shared" si="292"/>
        <v>9065</v>
      </c>
      <c r="AC414" s="247">
        <v>9285</v>
      </c>
      <c r="AD414" s="247">
        <v>9506</v>
      </c>
      <c r="AE414" s="247">
        <v>9727</v>
      </c>
      <c r="AF414" s="84"/>
      <c r="AG414" s="84"/>
      <c r="AH414" s="161"/>
      <c r="AI414" s="192"/>
      <c r="AJ414" s="192"/>
      <c r="AO414" s="84"/>
      <c r="AP414" s="84"/>
      <c r="AQ414" s="84"/>
      <c r="AR414" s="84"/>
      <c r="AS414" s="84"/>
      <c r="AT414" s="84"/>
      <c r="AU414" s="84"/>
      <c r="AV414" s="84"/>
      <c r="AW414" s="84"/>
      <c r="AX414" s="84"/>
      <c r="AY414" s="84"/>
      <c r="AZ414" s="84"/>
      <c r="BA414" s="84"/>
      <c r="BB414" s="84"/>
      <c r="BC414" s="84"/>
      <c r="BD414" s="84"/>
      <c r="BE414" s="84"/>
      <c r="BF414" s="84"/>
      <c r="BG414" s="84"/>
    </row>
    <row r="415" spans="1:59" ht="15.75" customHeight="1" x14ac:dyDescent="0.2">
      <c r="A415" s="84"/>
      <c r="B415" s="147"/>
      <c r="C415" s="189" t="s">
        <v>323</v>
      </c>
      <c r="D415" s="247">
        <v>1047</v>
      </c>
      <c r="E415" s="247">
        <v>512</v>
      </c>
      <c r="F415" s="247">
        <v>146</v>
      </c>
      <c r="G415" s="247">
        <v>0</v>
      </c>
      <c r="H415" s="247">
        <f t="shared" si="286"/>
        <v>0</v>
      </c>
      <c r="I415" s="247">
        <v>0</v>
      </c>
      <c r="J415" s="247">
        <v>0</v>
      </c>
      <c r="K415" s="247">
        <v>146</v>
      </c>
      <c r="L415" s="247">
        <v>0</v>
      </c>
      <c r="M415" s="247">
        <f t="shared" si="289"/>
        <v>0</v>
      </c>
      <c r="N415" s="247">
        <v>0</v>
      </c>
      <c r="O415" s="247">
        <v>0</v>
      </c>
      <c r="P415" s="247">
        <v>0</v>
      </c>
      <c r="Q415" s="247">
        <v>0</v>
      </c>
      <c r="R415" s="247">
        <f t="shared" si="290"/>
        <v>0</v>
      </c>
      <c r="S415" s="247">
        <v>0</v>
      </c>
      <c r="T415" s="247">
        <v>0</v>
      </c>
      <c r="U415" s="247">
        <v>0</v>
      </c>
      <c r="V415" s="247">
        <v>0</v>
      </c>
      <c r="W415" s="247">
        <f t="shared" si="291"/>
        <v>0</v>
      </c>
      <c r="X415" s="247">
        <v>0</v>
      </c>
      <c r="Y415" s="247">
        <v>0</v>
      </c>
      <c r="Z415" s="247">
        <v>0</v>
      </c>
      <c r="AA415" s="247">
        <v>0</v>
      </c>
      <c r="AB415" s="247">
        <f t="shared" si="292"/>
        <v>0</v>
      </c>
      <c r="AC415" s="247">
        <v>0</v>
      </c>
      <c r="AD415" s="247">
        <v>0</v>
      </c>
      <c r="AE415" s="247">
        <v>0</v>
      </c>
      <c r="AF415" s="84"/>
      <c r="AG415" s="84"/>
      <c r="AH415" s="161"/>
      <c r="AI415" s="192"/>
      <c r="AJ415" s="192"/>
      <c r="AO415" s="84"/>
      <c r="AP415" s="84"/>
      <c r="AQ415" s="84"/>
      <c r="AR415" s="84"/>
      <c r="AS415" s="84"/>
      <c r="AT415" s="84"/>
      <c r="AU415" s="84"/>
      <c r="AV415" s="84"/>
      <c r="AW415" s="84"/>
      <c r="AX415" s="84"/>
      <c r="AY415" s="84"/>
      <c r="AZ415" s="84"/>
      <c r="BA415" s="84"/>
      <c r="BB415" s="84"/>
      <c r="BC415" s="84"/>
      <c r="BD415" s="84"/>
      <c r="BE415" s="84"/>
      <c r="BF415" s="84"/>
      <c r="BG415" s="84"/>
    </row>
    <row r="416" spans="1:59" ht="15.75" customHeight="1" x14ac:dyDescent="0.2">
      <c r="A416" s="84"/>
      <c r="B416" s="147"/>
      <c r="C416" s="84"/>
      <c r="D416" s="249"/>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249"/>
      <c r="AA416" s="249"/>
      <c r="AB416" s="249"/>
      <c r="AC416" s="249"/>
      <c r="AD416" s="249"/>
      <c r="AE416" s="249"/>
      <c r="AF416" s="84"/>
      <c r="AG416" s="84"/>
      <c r="AH416" s="182"/>
      <c r="AI416" s="192"/>
      <c r="AJ416" s="192"/>
      <c r="AO416" s="84"/>
      <c r="AP416" s="84"/>
      <c r="AQ416" s="84"/>
      <c r="AR416" s="84"/>
      <c r="AS416" s="84"/>
      <c r="AT416" s="84"/>
      <c r="AU416" s="84"/>
      <c r="AV416" s="84"/>
      <c r="AW416" s="84"/>
      <c r="AX416" s="84"/>
      <c r="AY416" s="84"/>
      <c r="AZ416" s="84"/>
      <c r="BA416" s="84"/>
      <c r="BB416" s="84"/>
      <c r="BC416" s="84"/>
      <c r="BD416" s="84"/>
      <c r="BE416" s="84"/>
      <c r="BF416" s="84"/>
      <c r="BG416" s="84"/>
    </row>
    <row r="417" spans="1:59" ht="15.75" customHeight="1" x14ac:dyDescent="0.2">
      <c r="A417" s="84"/>
      <c r="B417" s="84"/>
      <c r="C417" s="250" t="s">
        <v>330</v>
      </c>
      <c r="D417" s="246">
        <f t="shared" ref="D417:G417" si="293">SUM(D408+D397)</f>
        <v>1591877</v>
      </c>
      <c r="E417" s="246">
        <f t="shared" si="293"/>
        <v>1721546</v>
      </c>
      <c r="F417" s="246">
        <f t="shared" si="293"/>
        <v>1770336</v>
      </c>
      <c r="G417" s="246">
        <f t="shared" si="293"/>
        <v>1682246</v>
      </c>
      <c r="H417" s="246">
        <f>G417</f>
        <v>1682246</v>
      </c>
      <c r="I417" s="246">
        <f t="shared" ref="I417:R417" si="294">SUM(I408+I397)</f>
        <v>2383363</v>
      </c>
      <c r="J417" s="246">
        <f t="shared" si="294"/>
        <v>2465587</v>
      </c>
      <c r="K417" s="246">
        <f t="shared" si="294"/>
        <v>1770336</v>
      </c>
      <c r="L417" s="246">
        <f t="shared" si="294"/>
        <v>2634347</v>
      </c>
      <c r="M417" s="246">
        <f t="shared" si="294"/>
        <v>2634347</v>
      </c>
      <c r="N417" s="246">
        <f t="shared" si="294"/>
        <v>3084688</v>
      </c>
      <c r="O417" s="246">
        <f t="shared" si="294"/>
        <v>3311667</v>
      </c>
      <c r="P417" s="246">
        <f t="shared" si="294"/>
        <v>3339283</v>
      </c>
      <c r="Q417" s="246">
        <f t="shared" si="294"/>
        <v>3165331</v>
      </c>
      <c r="R417" s="246">
        <f t="shared" si="294"/>
        <v>3165331</v>
      </c>
      <c r="S417" s="246">
        <v>3369167</v>
      </c>
      <c r="T417" s="246">
        <v>3131290</v>
      </c>
      <c r="U417" s="246">
        <v>3198585</v>
      </c>
      <c r="V417" s="246">
        <f t="shared" ref="V417:AE417" si="295">SUM(V408+V397)</f>
        <v>3369167</v>
      </c>
      <c r="W417" s="246">
        <f t="shared" si="295"/>
        <v>3369167</v>
      </c>
      <c r="X417" s="246">
        <f t="shared" si="295"/>
        <v>3079538</v>
      </c>
      <c r="Y417" s="246">
        <f t="shared" si="295"/>
        <v>3250117</v>
      </c>
      <c r="Z417" s="246">
        <f t="shared" si="295"/>
        <v>3458881</v>
      </c>
      <c r="AA417" s="246">
        <f t="shared" si="295"/>
        <v>3382592</v>
      </c>
      <c r="AB417" s="246">
        <f t="shared" si="295"/>
        <v>3382592</v>
      </c>
      <c r="AC417" s="246">
        <f t="shared" si="295"/>
        <v>3484925</v>
      </c>
      <c r="AD417" s="246">
        <f t="shared" si="295"/>
        <v>3228605</v>
      </c>
      <c r="AE417" s="246">
        <f t="shared" si="295"/>
        <v>3464334</v>
      </c>
      <c r="AF417" s="84"/>
      <c r="AG417" s="84"/>
      <c r="AH417" s="161"/>
      <c r="AI417" s="192"/>
      <c r="AJ417" s="192"/>
      <c r="AO417" s="84"/>
      <c r="AP417" s="84"/>
      <c r="AQ417" s="84"/>
      <c r="AR417" s="84"/>
      <c r="AS417" s="84"/>
      <c r="AT417" s="84"/>
      <c r="AU417" s="84"/>
      <c r="AV417" s="84"/>
      <c r="AW417" s="84"/>
      <c r="AX417" s="84"/>
      <c r="AY417" s="84"/>
      <c r="AZ417" s="84"/>
      <c r="BA417" s="84"/>
      <c r="BB417" s="84"/>
      <c r="BC417" s="84"/>
      <c r="BD417" s="84"/>
      <c r="BE417" s="84"/>
      <c r="BF417" s="84"/>
      <c r="BG417" s="84"/>
    </row>
    <row r="418" spans="1:59" ht="15.75" customHeight="1" x14ac:dyDescent="0.2">
      <c r="A418" s="84"/>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84"/>
      <c r="AG418" s="84"/>
      <c r="AH418" s="161"/>
      <c r="AI418" s="161"/>
      <c r="AJ418" s="161"/>
      <c r="AO418" s="84"/>
      <c r="AP418" s="84"/>
      <c r="AQ418" s="84"/>
      <c r="AR418" s="84"/>
      <c r="AS418" s="84"/>
      <c r="AT418" s="84"/>
      <c r="AU418" s="84"/>
      <c r="AV418" s="84"/>
      <c r="AW418" s="84"/>
      <c r="AX418" s="84"/>
      <c r="AY418" s="84"/>
      <c r="AZ418" s="84"/>
      <c r="BA418" s="84"/>
      <c r="BB418" s="84"/>
      <c r="BC418" s="84"/>
      <c r="BD418" s="84"/>
      <c r="BE418" s="84"/>
      <c r="BF418" s="84"/>
      <c r="BG418" s="84"/>
    </row>
    <row r="419" spans="1:59" ht="15.75" customHeight="1" x14ac:dyDescent="0.2">
      <c r="A419" s="84"/>
      <c r="B419" s="84"/>
      <c r="C419" s="97" t="s">
        <v>331</v>
      </c>
      <c r="D419" s="246">
        <f t="shared" ref="D419:G419" si="296">SUM(D420:D429)</f>
        <v>1869773</v>
      </c>
      <c r="E419" s="246">
        <f t="shared" si="296"/>
        <v>1875183</v>
      </c>
      <c r="F419" s="246">
        <f t="shared" si="296"/>
        <v>1974450</v>
      </c>
      <c r="G419" s="246">
        <f t="shared" si="296"/>
        <v>1999841</v>
      </c>
      <c r="H419" s="246">
        <f t="shared" ref="H419:H423" si="297">G419</f>
        <v>1999841</v>
      </c>
      <c r="I419" s="246">
        <f t="shared" ref="I419:R419" si="298">SUM(I420:I429)</f>
        <v>2032130</v>
      </c>
      <c r="J419" s="246">
        <f t="shared" si="298"/>
        <v>1890969</v>
      </c>
      <c r="K419" s="246">
        <f t="shared" si="298"/>
        <v>1974450</v>
      </c>
      <c r="L419" s="246">
        <f t="shared" si="298"/>
        <v>2005282</v>
      </c>
      <c r="M419" s="246">
        <f t="shared" si="298"/>
        <v>2005282</v>
      </c>
      <c r="N419" s="246">
        <f t="shared" si="298"/>
        <v>2293543</v>
      </c>
      <c r="O419" s="246">
        <f t="shared" si="298"/>
        <v>2316958</v>
      </c>
      <c r="P419" s="246">
        <f t="shared" si="298"/>
        <v>2415678</v>
      </c>
      <c r="Q419" s="246">
        <f t="shared" si="298"/>
        <v>2235979</v>
      </c>
      <c r="R419" s="246">
        <f t="shared" si="298"/>
        <v>2235979</v>
      </c>
      <c r="S419" s="246">
        <v>2355276</v>
      </c>
      <c r="T419" s="246">
        <v>1958480</v>
      </c>
      <c r="U419" s="246">
        <v>2112947</v>
      </c>
      <c r="V419" s="246">
        <f t="shared" ref="V419:AE419" si="299">SUM(V420:V429)</f>
        <v>2355276</v>
      </c>
      <c r="W419" s="246">
        <f t="shared" si="299"/>
        <v>2355276</v>
      </c>
      <c r="X419" s="246">
        <f t="shared" si="299"/>
        <v>2229577</v>
      </c>
      <c r="Y419" s="246">
        <f t="shared" si="299"/>
        <v>2264481</v>
      </c>
      <c r="Z419" s="246">
        <f t="shared" si="299"/>
        <v>2379984</v>
      </c>
      <c r="AA419" s="246">
        <f t="shared" si="299"/>
        <v>2423574</v>
      </c>
      <c r="AB419" s="246">
        <f t="shared" si="299"/>
        <v>2348512</v>
      </c>
      <c r="AC419" s="246">
        <f t="shared" si="299"/>
        <v>2251200</v>
      </c>
      <c r="AD419" s="246">
        <f t="shared" si="299"/>
        <v>2278855</v>
      </c>
      <c r="AE419" s="246">
        <f t="shared" si="299"/>
        <v>2300645</v>
      </c>
      <c r="AF419" s="84"/>
      <c r="AG419" s="84"/>
      <c r="AH419" s="161"/>
      <c r="AI419" s="161"/>
      <c r="AJ419" s="161"/>
      <c r="AO419" s="84"/>
      <c r="AP419" s="84"/>
      <c r="AQ419" s="84"/>
      <c r="AR419" s="84"/>
      <c r="AS419" s="84"/>
      <c r="AT419" s="84"/>
      <c r="AU419" s="84"/>
      <c r="AV419" s="84"/>
      <c r="AW419" s="84"/>
      <c r="AX419" s="84"/>
      <c r="AY419" s="84"/>
      <c r="AZ419" s="84"/>
      <c r="BA419" s="84"/>
      <c r="BB419" s="84"/>
      <c r="BC419" s="84"/>
      <c r="BD419" s="84"/>
      <c r="BE419" s="84"/>
      <c r="BF419" s="84"/>
      <c r="BG419" s="84"/>
    </row>
    <row r="420" spans="1:59" ht="15.75" customHeight="1" x14ac:dyDescent="0.2">
      <c r="A420" s="84"/>
      <c r="B420" s="147"/>
      <c r="C420" s="189" t="s">
        <v>332</v>
      </c>
      <c r="D420" s="247">
        <v>26842</v>
      </c>
      <c r="E420" s="247">
        <v>26842</v>
      </c>
      <c r="F420" s="247">
        <v>26852</v>
      </c>
      <c r="G420" s="247">
        <v>26852</v>
      </c>
      <c r="H420" s="247">
        <f t="shared" si="297"/>
        <v>26852</v>
      </c>
      <c r="I420" s="247">
        <v>26852</v>
      </c>
      <c r="J420" s="247">
        <v>26852</v>
      </c>
      <c r="K420" s="247">
        <v>26852</v>
      </c>
      <c r="L420" s="247">
        <v>26860</v>
      </c>
      <c r="M420" s="247">
        <f t="shared" ref="M420:M429" si="300">L420</f>
        <v>26860</v>
      </c>
      <c r="N420" s="247">
        <v>26993</v>
      </c>
      <c r="O420" s="247">
        <v>26993</v>
      </c>
      <c r="P420" s="247">
        <v>27015</v>
      </c>
      <c r="Q420" s="247">
        <v>27099</v>
      </c>
      <c r="R420" s="247">
        <f t="shared" ref="R420:R429" si="301">Q420</f>
        <v>27099</v>
      </c>
      <c r="S420" s="247">
        <v>336910</v>
      </c>
      <c r="T420" s="247">
        <v>129606</v>
      </c>
      <c r="U420" s="247">
        <v>129606</v>
      </c>
      <c r="V420" s="247">
        <v>336910</v>
      </c>
      <c r="W420" s="247">
        <f t="shared" ref="W420:W423" si="302">V420</f>
        <v>336910</v>
      </c>
      <c r="X420" s="247">
        <v>342008</v>
      </c>
      <c r="Y420" s="247">
        <v>351564</v>
      </c>
      <c r="Z420" s="247">
        <v>351564</v>
      </c>
      <c r="AA420" s="251">
        <v>351564</v>
      </c>
      <c r="AB420" s="247">
        <f>AA420</f>
        <v>351564</v>
      </c>
      <c r="AC420" s="251">
        <v>351564</v>
      </c>
      <c r="AD420" s="251">
        <v>351670</v>
      </c>
      <c r="AE420" s="251">
        <v>351670</v>
      </c>
      <c r="AF420" s="84"/>
      <c r="AG420" s="84"/>
      <c r="AH420" s="147"/>
      <c r="AI420" s="161"/>
      <c r="AJ420" s="161"/>
      <c r="AO420" s="84"/>
      <c r="AP420" s="84"/>
      <c r="AQ420" s="84"/>
      <c r="AR420" s="84"/>
      <c r="AS420" s="84"/>
      <c r="AT420" s="84"/>
      <c r="AU420" s="84"/>
      <c r="AV420" s="84"/>
      <c r="AW420" s="84"/>
      <c r="AX420" s="84"/>
      <c r="AY420" s="84"/>
      <c r="AZ420" s="84"/>
      <c r="BA420" s="84"/>
      <c r="BB420" s="84"/>
      <c r="BC420" s="84"/>
      <c r="BD420" s="84"/>
      <c r="BE420" s="84"/>
      <c r="BF420" s="84"/>
      <c r="BG420" s="84"/>
    </row>
    <row r="421" spans="1:59" ht="15.75" customHeight="1" x14ac:dyDescent="0.2">
      <c r="A421" s="84"/>
      <c r="B421" s="147"/>
      <c r="C421" s="189" t="s">
        <v>333</v>
      </c>
      <c r="D421" s="247">
        <v>0</v>
      </c>
      <c r="E421" s="247">
        <v>0</v>
      </c>
      <c r="F421" s="247">
        <v>0</v>
      </c>
      <c r="G421" s="247">
        <v>0</v>
      </c>
      <c r="H421" s="247">
        <f t="shared" si="297"/>
        <v>0</v>
      </c>
      <c r="I421" s="247">
        <v>0</v>
      </c>
      <c r="J421" s="247">
        <v>0</v>
      </c>
      <c r="K421" s="247">
        <v>0</v>
      </c>
      <c r="L421" s="247">
        <v>0</v>
      </c>
      <c r="M421" s="247">
        <f t="shared" si="300"/>
        <v>0</v>
      </c>
      <c r="N421" s="247">
        <v>0</v>
      </c>
      <c r="O421" s="247">
        <v>0</v>
      </c>
      <c r="P421" s="247">
        <v>0</v>
      </c>
      <c r="Q421" s="247">
        <v>0</v>
      </c>
      <c r="R421" s="247">
        <f t="shared" si="301"/>
        <v>0</v>
      </c>
      <c r="S421" s="247">
        <v>58627</v>
      </c>
      <c r="T421" s="247">
        <v>47447</v>
      </c>
      <c r="U421" s="247">
        <v>47447</v>
      </c>
      <c r="V421" s="247">
        <v>58627</v>
      </c>
      <c r="W421" s="247">
        <f t="shared" si="302"/>
        <v>58627</v>
      </c>
      <c r="X421" s="247">
        <v>58627</v>
      </c>
      <c r="Y421" s="247">
        <v>58627</v>
      </c>
      <c r="Z421" s="247">
        <v>58627</v>
      </c>
      <c r="AA421" s="251">
        <v>75062</v>
      </c>
      <c r="AB421" s="247">
        <v>0</v>
      </c>
      <c r="AC421" s="251">
        <v>0</v>
      </c>
      <c r="AD421" s="251">
        <v>0</v>
      </c>
      <c r="AE421" s="251">
        <v>0</v>
      </c>
      <c r="AF421" s="84"/>
      <c r="AG421" s="84"/>
      <c r="AH421" s="157"/>
      <c r="AI421" s="161"/>
      <c r="AJ421" s="161"/>
      <c r="AO421" s="84"/>
      <c r="AP421" s="84"/>
      <c r="AQ421" s="84"/>
      <c r="AR421" s="84"/>
      <c r="AS421" s="84"/>
      <c r="AT421" s="84"/>
      <c r="AU421" s="84"/>
      <c r="AV421" s="84"/>
      <c r="AW421" s="84"/>
      <c r="AX421" s="84"/>
      <c r="AY421" s="84"/>
      <c r="AZ421" s="84"/>
      <c r="BA421" s="84"/>
      <c r="BB421" s="84"/>
      <c r="BC421" s="84"/>
      <c r="BD421" s="84"/>
      <c r="BE421" s="84"/>
      <c r="BF421" s="84"/>
      <c r="BG421" s="84"/>
    </row>
    <row r="422" spans="1:59" ht="15.75" customHeight="1" x14ac:dyDescent="0.2">
      <c r="A422" s="84"/>
      <c r="B422" s="147"/>
      <c r="C422" s="189" t="s">
        <v>334</v>
      </c>
      <c r="D422" s="247">
        <v>190191</v>
      </c>
      <c r="E422" s="247">
        <v>190191</v>
      </c>
      <c r="F422" s="247">
        <v>190923</v>
      </c>
      <c r="G422" s="247">
        <v>190923</v>
      </c>
      <c r="H422" s="247">
        <f t="shared" si="297"/>
        <v>190923</v>
      </c>
      <c r="I422" s="247">
        <v>190923</v>
      </c>
      <c r="J422" s="247">
        <v>190923</v>
      </c>
      <c r="K422" s="247">
        <v>190923</v>
      </c>
      <c r="L422" s="247">
        <v>193055</v>
      </c>
      <c r="M422" s="247">
        <f t="shared" si="300"/>
        <v>193055</v>
      </c>
      <c r="N422" s="247">
        <v>202291</v>
      </c>
      <c r="O422" s="247">
        <v>202291</v>
      </c>
      <c r="P422" s="247">
        <v>203365</v>
      </c>
      <c r="Q422" s="247">
        <v>207681</v>
      </c>
      <c r="R422" s="247">
        <f t="shared" si="301"/>
        <v>207681</v>
      </c>
      <c r="S422" s="247">
        <v>24</v>
      </c>
      <c r="T422" s="247">
        <v>24</v>
      </c>
      <c r="U422" s="247">
        <v>24</v>
      </c>
      <c r="V422" s="247">
        <v>24</v>
      </c>
      <c r="W422" s="247">
        <f t="shared" si="302"/>
        <v>24</v>
      </c>
      <c r="X422" s="247">
        <v>24</v>
      </c>
      <c r="Y422" s="247">
        <v>24</v>
      </c>
      <c r="Z422" s="247">
        <v>24</v>
      </c>
      <c r="AA422" s="251">
        <v>24</v>
      </c>
      <c r="AB422" s="247">
        <f t="shared" ref="AB422:AB429" si="303">AA422</f>
        <v>24</v>
      </c>
      <c r="AC422" s="251">
        <v>24</v>
      </c>
      <c r="AD422" s="251">
        <v>24</v>
      </c>
      <c r="AE422" s="251">
        <v>24</v>
      </c>
      <c r="AF422" s="84"/>
      <c r="AG422" s="84"/>
      <c r="AH422" s="161"/>
      <c r="AI422" s="161"/>
      <c r="AJ422" s="161"/>
      <c r="AO422" s="84"/>
      <c r="AP422" s="84"/>
      <c r="AQ422" s="84"/>
      <c r="AR422" s="84"/>
      <c r="AS422" s="84"/>
      <c r="AT422" s="84"/>
      <c r="AU422" s="84"/>
      <c r="AV422" s="84"/>
      <c r="AW422" s="84"/>
      <c r="AX422" s="84"/>
      <c r="AY422" s="84"/>
      <c r="AZ422" s="84"/>
      <c r="BA422" s="84"/>
      <c r="BB422" s="84"/>
      <c r="BC422" s="84"/>
      <c r="BD422" s="84"/>
      <c r="BE422" s="84"/>
      <c r="BF422" s="84"/>
      <c r="BG422" s="84"/>
    </row>
    <row r="423" spans="1:59" ht="15.75" customHeight="1" x14ac:dyDescent="0.2">
      <c r="A423" s="84"/>
      <c r="B423" s="147"/>
      <c r="C423" s="189" t="s">
        <v>335</v>
      </c>
      <c r="D423" s="247">
        <v>29875</v>
      </c>
      <c r="E423" s="247">
        <v>30633</v>
      </c>
      <c r="F423" s="247">
        <v>31396</v>
      </c>
      <c r="G423" s="247">
        <v>32159</v>
      </c>
      <c r="H423" s="247">
        <f t="shared" si="297"/>
        <v>32159</v>
      </c>
      <c r="I423" s="247">
        <v>32426</v>
      </c>
      <c r="J423" s="247">
        <v>32637</v>
      </c>
      <c r="K423" s="247">
        <v>31396</v>
      </c>
      <c r="L423" s="247">
        <v>33040</v>
      </c>
      <c r="M423" s="247">
        <f t="shared" si="300"/>
        <v>33040</v>
      </c>
      <c r="N423" s="247">
        <v>33165</v>
      </c>
      <c r="O423" s="247">
        <v>33290</v>
      </c>
      <c r="P423" s="247">
        <v>33414</v>
      </c>
      <c r="Q423" s="247">
        <v>34443</v>
      </c>
      <c r="R423" s="247">
        <f t="shared" si="301"/>
        <v>34443</v>
      </c>
      <c r="S423" s="247">
        <v>36193</v>
      </c>
      <c r="T423" s="247">
        <v>34899</v>
      </c>
      <c r="U423" s="247">
        <v>35351</v>
      </c>
      <c r="V423" s="247">
        <v>36193</v>
      </c>
      <c r="W423" s="247">
        <f t="shared" si="302"/>
        <v>36193</v>
      </c>
      <c r="X423" s="247">
        <v>36626</v>
      </c>
      <c r="Y423" s="247">
        <v>37056</v>
      </c>
      <c r="Z423" s="247">
        <v>37475</v>
      </c>
      <c r="AA423" s="251">
        <v>37881</v>
      </c>
      <c r="AB423" s="247">
        <f t="shared" si="303"/>
        <v>37881</v>
      </c>
      <c r="AC423" s="251">
        <v>38276</v>
      </c>
      <c r="AD423" s="251">
        <v>38676</v>
      </c>
      <c r="AE423" s="251">
        <v>39076</v>
      </c>
      <c r="AF423" s="84"/>
      <c r="AG423" s="84"/>
      <c r="AH423" s="192"/>
      <c r="AI423" s="161"/>
      <c r="AJ423" s="161"/>
      <c r="AO423" s="84"/>
      <c r="AP423" s="84"/>
      <c r="AQ423" s="84"/>
      <c r="AR423" s="84"/>
      <c r="AS423" s="84"/>
      <c r="AT423" s="84"/>
      <c r="AU423" s="84"/>
      <c r="AV423" s="84"/>
      <c r="AW423" s="84"/>
      <c r="AX423" s="84"/>
      <c r="AY423" s="84"/>
      <c r="AZ423" s="84"/>
      <c r="BA423" s="84"/>
      <c r="BB423" s="84"/>
      <c r="BC423" s="84"/>
      <c r="BD423" s="84"/>
      <c r="BE423" s="84"/>
      <c r="BF423" s="84"/>
      <c r="BG423" s="84"/>
    </row>
    <row r="424" spans="1:59" ht="15.75" customHeight="1" x14ac:dyDescent="0.2">
      <c r="A424" s="84"/>
      <c r="B424" s="147"/>
      <c r="C424" s="189" t="s">
        <v>336</v>
      </c>
      <c r="D424" s="247">
        <v>0</v>
      </c>
      <c r="E424" s="247">
        <v>0</v>
      </c>
      <c r="F424" s="247">
        <v>0</v>
      </c>
      <c r="G424" s="247">
        <v>0</v>
      </c>
      <c r="H424" s="247">
        <v>0</v>
      </c>
      <c r="I424" s="247">
        <v>0</v>
      </c>
      <c r="J424" s="247">
        <v>0</v>
      </c>
      <c r="K424" s="247">
        <v>0</v>
      </c>
      <c r="L424" s="247">
        <v>0</v>
      </c>
      <c r="M424" s="247">
        <f t="shared" si="300"/>
        <v>0</v>
      </c>
      <c r="N424" s="247">
        <v>0</v>
      </c>
      <c r="O424" s="247">
        <v>0</v>
      </c>
      <c r="P424" s="247">
        <v>0</v>
      </c>
      <c r="Q424" s="247">
        <v>0</v>
      </c>
      <c r="R424" s="247">
        <f t="shared" si="301"/>
        <v>0</v>
      </c>
      <c r="S424" s="247">
        <v>0</v>
      </c>
      <c r="T424" s="247">
        <v>0</v>
      </c>
      <c r="U424" s="247">
        <v>0</v>
      </c>
      <c r="V424" s="247">
        <v>0</v>
      </c>
      <c r="W424" s="247">
        <v>0</v>
      </c>
      <c r="X424" s="247">
        <v>0</v>
      </c>
      <c r="Y424" s="247">
        <v>-5029</v>
      </c>
      <c r="Z424" s="247">
        <v>-5231</v>
      </c>
      <c r="AA424" s="251">
        <v>-5095</v>
      </c>
      <c r="AB424" s="247">
        <f t="shared" si="303"/>
        <v>-5095</v>
      </c>
      <c r="AC424" s="251">
        <v>-9840</v>
      </c>
      <c r="AD424" s="251">
        <v>0</v>
      </c>
      <c r="AE424" s="251">
        <v>0</v>
      </c>
      <c r="AF424" s="84"/>
      <c r="AG424" s="84"/>
      <c r="AH424" s="192"/>
      <c r="AI424" s="161"/>
      <c r="AJ424" s="161"/>
      <c r="AO424" s="84"/>
      <c r="AP424" s="84"/>
      <c r="AQ424" s="84"/>
      <c r="AR424" s="84"/>
      <c r="AS424" s="84"/>
      <c r="AT424" s="84"/>
      <c r="AU424" s="84"/>
      <c r="AV424" s="84"/>
      <c r="AW424" s="84"/>
      <c r="AX424" s="84"/>
      <c r="AY424" s="84"/>
      <c r="AZ424" s="84"/>
      <c r="BA424" s="84"/>
      <c r="BB424" s="84"/>
      <c r="BC424" s="84"/>
      <c r="BD424" s="84"/>
      <c r="BE424" s="84"/>
      <c r="BF424" s="84"/>
      <c r="BG424" s="84"/>
    </row>
    <row r="425" spans="1:59" ht="15.75" customHeight="1" x14ac:dyDescent="0.2">
      <c r="A425" s="84"/>
      <c r="B425" s="147"/>
      <c r="C425" s="189" t="s">
        <v>337</v>
      </c>
      <c r="D425" s="247">
        <v>2361</v>
      </c>
      <c r="E425" s="247">
        <v>2335</v>
      </c>
      <c r="F425" s="247">
        <v>3468</v>
      </c>
      <c r="G425" s="247">
        <v>2814</v>
      </c>
      <c r="H425" s="247">
        <f t="shared" ref="H425:H429" si="304">G425</f>
        <v>2814</v>
      </c>
      <c r="I425" s="247">
        <v>3709</v>
      </c>
      <c r="J425" s="247">
        <v>2699</v>
      </c>
      <c r="K425" s="247">
        <v>3468</v>
      </c>
      <c r="L425" s="247">
        <v>2608</v>
      </c>
      <c r="M425" s="247">
        <f t="shared" si="300"/>
        <v>2608</v>
      </c>
      <c r="N425" s="247">
        <v>1677</v>
      </c>
      <c r="O425" s="247">
        <v>130226</v>
      </c>
      <c r="P425" s="247">
        <v>130339</v>
      </c>
      <c r="Q425" s="247">
        <v>2976</v>
      </c>
      <c r="R425" s="247">
        <f t="shared" si="301"/>
        <v>2976</v>
      </c>
      <c r="S425" s="247">
        <v>1077647</v>
      </c>
      <c r="T425" s="247">
        <v>926867</v>
      </c>
      <c r="U425" s="247">
        <v>926867</v>
      </c>
      <c r="V425" s="247">
        <v>1077647</v>
      </c>
      <c r="W425" s="247">
        <f t="shared" ref="W425:W429" si="305">V425</f>
        <v>1077647</v>
      </c>
      <c r="X425" s="247">
        <v>1077647</v>
      </c>
      <c r="Y425" s="247">
        <v>934908</v>
      </c>
      <c r="Z425" s="247">
        <v>934908</v>
      </c>
      <c r="AA425" s="251">
        <v>1238006</v>
      </c>
      <c r="AB425" s="247">
        <f t="shared" si="303"/>
        <v>1238006</v>
      </c>
      <c r="AC425" s="251">
        <v>1107651</v>
      </c>
      <c r="AD425" s="251">
        <v>1102698</v>
      </c>
      <c r="AE425" s="251">
        <v>1102698</v>
      </c>
      <c r="AF425" s="84"/>
      <c r="AG425" s="84"/>
      <c r="AH425" s="192"/>
      <c r="AI425" s="161"/>
      <c r="AJ425" s="161"/>
      <c r="AO425" s="84"/>
      <c r="AP425" s="84"/>
      <c r="AQ425" s="84"/>
      <c r="AR425" s="84"/>
      <c r="AS425" s="84"/>
      <c r="AT425" s="84"/>
      <c r="AU425" s="84"/>
      <c r="AV425" s="84"/>
      <c r="AW425" s="84"/>
      <c r="AX425" s="84"/>
      <c r="AY425" s="84"/>
      <c r="AZ425" s="84"/>
      <c r="BA425" s="84"/>
      <c r="BB425" s="84"/>
      <c r="BC425" s="84"/>
      <c r="BD425" s="84"/>
      <c r="BE425" s="84"/>
      <c r="BF425" s="84"/>
      <c r="BG425" s="84"/>
    </row>
    <row r="426" spans="1:59" ht="15.75" customHeight="1" x14ac:dyDescent="0.2">
      <c r="A426" s="84"/>
      <c r="B426" s="147"/>
      <c r="C426" s="189" t="s">
        <v>338</v>
      </c>
      <c r="D426" s="247">
        <v>1221604</v>
      </c>
      <c r="E426" s="247">
        <v>1083139</v>
      </c>
      <c r="F426" s="247">
        <v>1140812</v>
      </c>
      <c r="G426" s="247">
        <v>1196861</v>
      </c>
      <c r="H426" s="247">
        <f t="shared" si="304"/>
        <v>1196861</v>
      </c>
      <c r="I426" s="247">
        <v>1218786</v>
      </c>
      <c r="J426" s="247">
        <v>1089643</v>
      </c>
      <c r="K426" s="247">
        <v>1140812</v>
      </c>
      <c r="L426" s="247">
        <v>1156140</v>
      </c>
      <c r="M426" s="247">
        <f t="shared" si="300"/>
        <v>1156140</v>
      </c>
      <c r="N426" s="247">
        <v>1120335</v>
      </c>
      <c r="O426" s="247">
        <v>940002</v>
      </c>
      <c r="P426" s="247">
        <v>993764</v>
      </c>
      <c r="Q426" s="247">
        <v>1058633</v>
      </c>
      <c r="R426" s="247">
        <f t="shared" si="301"/>
        <v>1058633</v>
      </c>
      <c r="S426" s="247">
        <v>0</v>
      </c>
      <c r="T426" s="247">
        <v>143133</v>
      </c>
      <c r="U426" s="247">
        <v>175506</v>
      </c>
      <c r="V426" s="247">
        <v>842085</v>
      </c>
      <c r="W426" s="247">
        <f t="shared" si="305"/>
        <v>842085</v>
      </c>
      <c r="X426" s="247">
        <v>139132</v>
      </c>
      <c r="Y426" s="247">
        <v>153332</v>
      </c>
      <c r="Z426" s="247">
        <v>216764</v>
      </c>
      <c r="AA426" s="251">
        <v>0</v>
      </c>
      <c r="AB426" s="247">
        <f t="shared" si="303"/>
        <v>0</v>
      </c>
      <c r="AC426" s="251">
        <v>82651</v>
      </c>
      <c r="AD426" s="251">
        <v>192661</v>
      </c>
      <c r="AE426" s="251">
        <v>145388</v>
      </c>
      <c r="AF426" s="84"/>
      <c r="AG426" s="84"/>
      <c r="AH426" s="192"/>
      <c r="AI426" s="161"/>
      <c r="AJ426" s="161"/>
      <c r="AO426" s="84"/>
      <c r="AP426" s="84"/>
      <c r="AQ426" s="84"/>
      <c r="AR426" s="84"/>
      <c r="AS426" s="84"/>
      <c r="AT426" s="84"/>
      <c r="AU426" s="84"/>
      <c r="AV426" s="84"/>
      <c r="AW426" s="84"/>
      <c r="AX426" s="84"/>
      <c r="AY426" s="84"/>
      <c r="AZ426" s="84"/>
      <c r="BA426" s="84"/>
      <c r="BB426" s="84"/>
      <c r="BC426" s="84"/>
      <c r="BD426" s="84"/>
      <c r="BE426" s="84"/>
      <c r="BF426" s="84"/>
      <c r="BG426" s="84"/>
    </row>
    <row r="427" spans="1:59" ht="15.75" customHeight="1" x14ac:dyDescent="0.2">
      <c r="A427" s="84"/>
      <c r="B427" s="147"/>
      <c r="C427" s="189" t="s">
        <v>339</v>
      </c>
      <c r="D427" s="247">
        <v>0</v>
      </c>
      <c r="E427" s="247">
        <v>0</v>
      </c>
      <c r="F427" s="247">
        <v>0</v>
      </c>
      <c r="G427" s="247">
        <v>0</v>
      </c>
      <c r="H427" s="247">
        <f t="shared" si="304"/>
        <v>0</v>
      </c>
      <c r="I427" s="247">
        <v>0</v>
      </c>
      <c r="J427" s="247">
        <v>0</v>
      </c>
      <c r="K427" s="247">
        <v>0</v>
      </c>
      <c r="L427" s="247">
        <v>0</v>
      </c>
      <c r="M427" s="247">
        <f t="shared" si="300"/>
        <v>0</v>
      </c>
      <c r="N427" s="247">
        <v>0</v>
      </c>
      <c r="O427" s="247">
        <v>0</v>
      </c>
      <c r="P427" s="247">
        <v>0</v>
      </c>
      <c r="Q427" s="247">
        <v>0</v>
      </c>
      <c r="R427" s="247">
        <f t="shared" si="301"/>
        <v>0</v>
      </c>
      <c r="S427" s="247">
        <v>842085</v>
      </c>
      <c r="T427" s="247">
        <v>675374</v>
      </c>
      <c r="U427" s="247">
        <v>796673</v>
      </c>
      <c r="V427" s="247">
        <v>0</v>
      </c>
      <c r="W427" s="247">
        <f t="shared" si="305"/>
        <v>0</v>
      </c>
      <c r="X427" s="247">
        <v>570969</v>
      </c>
      <c r="Y427" s="247">
        <v>731218</v>
      </c>
      <c r="Z427" s="247">
        <v>785449</v>
      </c>
      <c r="AA427" s="247">
        <v>723446</v>
      </c>
      <c r="AB427" s="247">
        <f t="shared" si="303"/>
        <v>723446</v>
      </c>
      <c r="AC427" s="247">
        <v>679981</v>
      </c>
      <c r="AD427" s="247">
        <v>592156</v>
      </c>
      <c r="AE427" s="247">
        <v>660036</v>
      </c>
      <c r="AF427" s="84"/>
      <c r="AG427" s="84"/>
      <c r="AH427" s="192"/>
      <c r="AI427" s="161"/>
      <c r="AJ427" s="161"/>
      <c r="AO427" s="84"/>
      <c r="AP427" s="84"/>
      <c r="AQ427" s="84"/>
      <c r="AR427" s="84"/>
      <c r="AS427" s="84"/>
      <c r="AT427" s="84"/>
      <c r="AU427" s="84"/>
      <c r="AV427" s="84"/>
      <c r="AW427" s="84"/>
      <c r="AX427" s="84"/>
      <c r="AY427" s="84"/>
      <c r="AZ427" s="84"/>
      <c r="BA427" s="84"/>
      <c r="BB427" s="84"/>
      <c r="BC427" s="84"/>
      <c r="BD427" s="84"/>
      <c r="BE427" s="84"/>
      <c r="BF427" s="84"/>
      <c r="BG427" s="84"/>
    </row>
    <row r="428" spans="1:59" ht="15.75" customHeight="1" x14ac:dyDescent="0.2">
      <c r="A428" s="84"/>
      <c r="B428" s="147"/>
      <c r="C428" s="189" t="s">
        <v>340</v>
      </c>
      <c r="D428" s="247">
        <v>395970</v>
      </c>
      <c r="E428" s="247">
        <v>536937</v>
      </c>
      <c r="F428" s="247">
        <v>576067</v>
      </c>
      <c r="G428" s="247">
        <v>548204</v>
      </c>
      <c r="H428" s="247">
        <f t="shared" si="304"/>
        <v>548204</v>
      </c>
      <c r="I428" s="247">
        <v>555587</v>
      </c>
      <c r="J428" s="247">
        <v>544905</v>
      </c>
      <c r="K428" s="247">
        <v>576067</v>
      </c>
      <c r="L428" s="247">
        <v>591100</v>
      </c>
      <c r="M428" s="247">
        <f t="shared" si="300"/>
        <v>591100</v>
      </c>
      <c r="N428" s="247">
        <v>905689</v>
      </c>
      <c r="O428" s="247">
        <v>979712</v>
      </c>
      <c r="P428" s="247">
        <v>1024157</v>
      </c>
      <c r="Q428" s="247">
        <v>903432</v>
      </c>
      <c r="R428" s="247">
        <f t="shared" si="301"/>
        <v>903432</v>
      </c>
      <c r="S428" s="247">
        <v>0</v>
      </c>
      <c r="T428" s="247">
        <v>0</v>
      </c>
      <c r="U428" s="247">
        <v>0</v>
      </c>
      <c r="V428" s="247">
        <v>0</v>
      </c>
      <c r="W428" s="247">
        <f t="shared" si="305"/>
        <v>0</v>
      </c>
      <c r="X428" s="247">
        <v>0</v>
      </c>
      <c r="Y428" s="247">
        <v>0</v>
      </c>
      <c r="Z428" s="247">
        <v>0</v>
      </c>
      <c r="AA428" s="247">
        <v>0</v>
      </c>
      <c r="AB428" s="247">
        <f t="shared" si="303"/>
        <v>0</v>
      </c>
      <c r="AC428" s="247">
        <v>0</v>
      </c>
      <c r="AD428" s="247">
        <v>0</v>
      </c>
      <c r="AE428" s="247">
        <v>0</v>
      </c>
      <c r="AF428" s="84"/>
      <c r="AG428" s="84"/>
      <c r="AH428" s="192"/>
      <c r="AI428" s="161"/>
      <c r="AJ428" s="161"/>
      <c r="AO428" s="84"/>
      <c r="AP428" s="84"/>
      <c r="AQ428" s="84"/>
      <c r="AR428" s="84"/>
      <c r="AS428" s="84"/>
      <c r="AT428" s="84"/>
      <c r="AU428" s="84"/>
      <c r="AV428" s="84"/>
      <c r="AW428" s="84"/>
      <c r="AX428" s="84"/>
      <c r="AY428" s="84"/>
      <c r="AZ428" s="84"/>
      <c r="BA428" s="84"/>
      <c r="BB428" s="84"/>
      <c r="BC428" s="84"/>
      <c r="BD428" s="84"/>
      <c r="BE428" s="84"/>
      <c r="BF428" s="84"/>
      <c r="BG428" s="84"/>
    </row>
    <row r="429" spans="1:59" ht="15.75" customHeight="1" x14ac:dyDescent="0.2">
      <c r="A429" s="84"/>
      <c r="B429" s="147"/>
      <c r="C429" s="189" t="s">
        <v>341</v>
      </c>
      <c r="D429" s="247">
        <v>2930</v>
      </c>
      <c r="E429" s="247">
        <v>5106</v>
      </c>
      <c r="F429" s="247">
        <v>4932</v>
      </c>
      <c r="G429" s="247">
        <v>2028</v>
      </c>
      <c r="H429" s="247">
        <f t="shared" si="304"/>
        <v>2028</v>
      </c>
      <c r="I429" s="247">
        <v>3847</v>
      </c>
      <c r="J429" s="247">
        <v>3310</v>
      </c>
      <c r="K429" s="247">
        <v>4932</v>
      </c>
      <c r="L429" s="247">
        <v>2479</v>
      </c>
      <c r="M429" s="247">
        <f t="shared" si="300"/>
        <v>2479</v>
      </c>
      <c r="N429" s="247">
        <v>3393</v>
      </c>
      <c r="O429" s="247">
        <v>4444</v>
      </c>
      <c r="P429" s="247">
        <v>3624</v>
      </c>
      <c r="Q429" s="247">
        <v>1715</v>
      </c>
      <c r="R429" s="247">
        <f t="shared" si="301"/>
        <v>1715</v>
      </c>
      <c r="S429" s="247">
        <v>3790</v>
      </c>
      <c r="T429" s="247">
        <v>1130</v>
      </c>
      <c r="U429" s="247">
        <v>1473</v>
      </c>
      <c r="V429" s="247">
        <v>3790</v>
      </c>
      <c r="W429" s="247">
        <f t="shared" si="305"/>
        <v>3790</v>
      </c>
      <c r="X429" s="247">
        <v>4544</v>
      </c>
      <c r="Y429" s="247">
        <v>2781</v>
      </c>
      <c r="Z429" s="247">
        <v>404</v>
      </c>
      <c r="AA429" s="247">
        <v>2686</v>
      </c>
      <c r="AB429" s="247">
        <f t="shared" si="303"/>
        <v>2686</v>
      </c>
      <c r="AC429" s="247">
        <v>893</v>
      </c>
      <c r="AD429" s="247">
        <v>970</v>
      </c>
      <c r="AE429" s="247">
        <v>1753</v>
      </c>
      <c r="AF429" s="84"/>
      <c r="AG429" s="84"/>
      <c r="AH429" s="192"/>
      <c r="AI429" s="161"/>
      <c r="AJ429" s="161"/>
      <c r="AO429" s="84"/>
      <c r="AP429" s="84"/>
      <c r="AQ429" s="84"/>
      <c r="AR429" s="84"/>
      <c r="AS429" s="84"/>
      <c r="AT429" s="84"/>
      <c r="AU429" s="84"/>
      <c r="AV429" s="84"/>
      <c r="AW429" s="84"/>
      <c r="AX429" s="84"/>
      <c r="AY429" s="84"/>
      <c r="AZ429" s="84"/>
      <c r="BA429" s="84"/>
      <c r="BB429" s="84"/>
      <c r="BC429" s="84"/>
      <c r="BD429" s="84"/>
      <c r="BE429" s="84"/>
      <c r="BF429" s="84"/>
      <c r="BG429" s="84"/>
    </row>
    <row r="430" spans="1:59" ht="15.75" customHeight="1" x14ac:dyDescent="0.2">
      <c r="A430" s="84"/>
      <c r="B430" s="147"/>
      <c r="C430" s="147"/>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84"/>
      <c r="AG430" s="84"/>
      <c r="AH430" s="182"/>
      <c r="AI430" s="161"/>
      <c r="AJ430" s="161"/>
      <c r="AO430" s="84"/>
      <c r="AP430" s="84"/>
      <c r="AQ430" s="84"/>
      <c r="AR430" s="84"/>
      <c r="AS430" s="84"/>
      <c r="AT430" s="84"/>
      <c r="AU430" s="84"/>
      <c r="AV430" s="84"/>
      <c r="AW430" s="84"/>
      <c r="AX430" s="84"/>
      <c r="AY430" s="84"/>
      <c r="AZ430" s="84"/>
      <c r="BA430" s="84"/>
      <c r="BB430" s="84"/>
      <c r="BC430" s="84"/>
      <c r="BD430" s="84"/>
      <c r="BE430" s="84"/>
      <c r="BF430" s="84"/>
      <c r="BG430" s="84"/>
    </row>
    <row r="431" spans="1:59" ht="15.75" customHeight="1" x14ac:dyDescent="0.2">
      <c r="A431" s="84"/>
      <c r="B431" s="84"/>
      <c r="C431" s="97" t="s">
        <v>342</v>
      </c>
      <c r="D431" s="246">
        <f t="shared" ref="D431:G431" si="306">D433+D419</f>
        <v>3461650</v>
      </c>
      <c r="E431" s="246">
        <f t="shared" si="306"/>
        <v>3596729</v>
      </c>
      <c r="F431" s="246">
        <f t="shared" si="306"/>
        <v>3744786</v>
      </c>
      <c r="G431" s="246">
        <f t="shared" si="306"/>
        <v>3682087</v>
      </c>
      <c r="H431" s="246">
        <f>G431</f>
        <v>3682087</v>
      </c>
      <c r="I431" s="246">
        <f t="shared" ref="I431:AE431" si="307">I433+I419</f>
        <v>4415493</v>
      </c>
      <c r="J431" s="246">
        <f t="shared" si="307"/>
        <v>4356556</v>
      </c>
      <c r="K431" s="246">
        <f t="shared" si="307"/>
        <v>3744786</v>
      </c>
      <c r="L431" s="246">
        <f t="shared" si="307"/>
        <v>4639629</v>
      </c>
      <c r="M431" s="246">
        <f t="shared" si="307"/>
        <v>4639629</v>
      </c>
      <c r="N431" s="246">
        <f t="shared" si="307"/>
        <v>5378231</v>
      </c>
      <c r="O431" s="246">
        <f t="shared" si="307"/>
        <v>5628625</v>
      </c>
      <c r="P431" s="246">
        <f t="shared" si="307"/>
        <v>5754961</v>
      </c>
      <c r="Q431" s="246">
        <f t="shared" si="307"/>
        <v>5401310</v>
      </c>
      <c r="R431" s="246">
        <f t="shared" si="307"/>
        <v>5401310</v>
      </c>
      <c r="S431" s="246">
        <f t="shared" si="307"/>
        <v>5724443</v>
      </c>
      <c r="T431" s="246">
        <f t="shared" si="307"/>
        <v>5089770</v>
      </c>
      <c r="U431" s="246">
        <f t="shared" si="307"/>
        <v>5311532</v>
      </c>
      <c r="V431" s="246">
        <f t="shared" si="307"/>
        <v>5724443</v>
      </c>
      <c r="W431" s="246">
        <f t="shared" si="307"/>
        <v>5724443</v>
      </c>
      <c r="X431" s="246">
        <f t="shared" si="307"/>
        <v>5309115</v>
      </c>
      <c r="Y431" s="246">
        <f t="shared" si="307"/>
        <v>5514598</v>
      </c>
      <c r="Z431" s="246">
        <f t="shared" si="307"/>
        <v>5838865</v>
      </c>
      <c r="AA431" s="246">
        <f t="shared" si="307"/>
        <v>5806166</v>
      </c>
      <c r="AB431" s="246">
        <f t="shared" si="307"/>
        <v>5731104</v>
      </c>
      <c r="AC431" s="246">
        <f t="shared" si="307"/>
        <v>5736125</v>
      </c>
      <c r="AD431" s="246">
        <f t="shared" si="307"/>
        <v>5507460</v>
      </c>
      <c r="AE431" s="246">
        <f t="shared" si="307"/>
        <v>5764979</v>
      </c>
      <c r="AF431" s="84"/>
      <c r="AG431" s="84"/>
      <c r="AH431" s="182"/>
      <c r="AI431" s="161"/>
      <c r="AJ431" s="161"/>
      <c r="AO431" s="84"/>
      <c r="AP431" s="84"/>
      <c r="AQ431" s="84"/>
      <c r="AR431" s="84"/>
      <c r="AS431" s="84"/>
      <c r="AT431" s="84"/>
      <c r="AU431" s="84"/>
      <c r="AV431" s="84"/>
      <c r="AW431" s="84"/>
      <c r="AX431" s="84"/>
      <c r="AY431" s="84"/>
      <c r="AZ431" s="84"/>
      <c r="BA431" s="84"/>
      <c r="BB431" s="84"/>
      <c r="BC431" s="84"/>
      <c r="BD431" s="84"/>
      <c r="BE431" s="84"/>
      <c r="BF431" s="84"/>
      <c r="BG431" s="84"/>
    </row>
    <row r="432" spans="1:59" ht="15.75" customHeight="1" x14ac:dyDescent="0.2">
      <c r="A432" s="84"/>
      <c r="B432" s="147"/>
      <c r="C432" s="147"/>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84"/>
      <c r="AG432" s="84"/>
      <c r="AH432" s="182"/>
      <c r="AI432" s="161"/>
      <c r="AJ432" s="161"/>
      <c r="AO432" s="84"/>
      <c r="AP432" s="84"/>
      <c r="AQ432" s="84"/>
      <c r="AR432" s="84"/>
      <c r="AS432" s="84"/>
      <c r="AT432" s="84"/>
      <c r="AU432" s="84"/>
      <c r="AV432" s="84"/>
      <c r="AW432" s="84"/>
      <c r="AX432" s="84"/>
      <c r="AY432" s="84"/>
      <c r="AZ432" s="84"/>
      <c r="BA432" s="84"/>
      <c r="BB432" s="84"/>
      <c r="BC432" s="84"/>
      <c r="BD432" s="84"/>
      <c r="BE432" s="84"/>
      <c r="BF432" s="84"/>
      <c r="BG432" s="84"/>
    </row>
    <row r="433" spans="1:59" ht="15.75" customHeight="1" x14ac:dyDescent="0.2">
      <c r="A433" s="84"/>
      <c r="B433" s="84"/>
      <c r="C433" s="97" t="s">
        <v>330</v>
      </c>
      <c r="D433" s="246">
        <f t="shared" ref="D433:G433" si="308">D397+D408</f>
        <v>1591877</v>
      </c>
      <c r="E433" s="246">
        <f t="shared" si="308"/>
        <v>1721546</v>
      </c>
      <c r="F433" s="246">
        <f t="shared" si="308"/>
        <v>1770336</v>
      </c>
      <c r="G433" s="246">
        <f t="shared" si="308"/>
        <v>1682246</v>
      </c>
      <c r="H433" s="246">
        <f>G433</f>
        <v>1682246</v>
      </c>
      <c r="I433" s="246">
        <f t="shared" ref="I433:R433" si="309">I397+I408</f>
        <v>2383363</v>
      </c>
      <c r="J433" s="246">
        <f t="shared" si="309"/>
        <v>2465587</v>
      </c>
      <c r="K433" s="246">
        <f t="shared" si="309"/>
        <v>1770336</v>
      </c>
      <c r="L433" s="246">
        <f t="shared" si="309"/>
        <v>2634347</v>
      </c>
      <c r="M433" s="246">
        <f t="shared" si="309"/>
        <v>2634347</v>
      </c>
      <c r="N433" s="246">
        <f t="shared" si="309"/>
        <v>3084688</v>
      </c>
      <c r="O433" s="246">
        <f t="shared" si="309"/>
        <v>3311667</v>
      </c>
      <c r="P433" s="246">
        <f t="shared" si="309"/>
        <v>3339283</v>
      </c>
      <c r="Q433" s="246">
        <f t="shared" si="309"/>
        <v>3165331</v>
      </c>
      <c r="R433" s="246">
        <f t="shared" si="309"/>
        <v>3165331</v>
      </c>
      <c r="S433" s="246">
        <v>3369167</v>
      </c>
      <c r="T433" s="246">
        <v>3131290</v>
      </c>
      <c r="U433" s="246">
        <v>3198585</v>
      </c>
      <c r="V433" s="246">
        <f t="shared" ref="V433:AE433" si="310">V397+V408</f>
        <v>3369167</v>
      </c>
      <c r="W433" s="246">
        <f t="shared" si="310"/>
        <v>3369167</v>
      </c>
      <c r="X433" s="246">
        <f t="shared" si="310"/>
        <v>3079538</v>
      </c>
      <c r="Y433" s="246">
        <f t="shared" si="310"/>
        <v>3250117</v>
      </c>
      <c r="Z433" s="246">
        <f t="shared" si="310"/>
        <v>3458881</v>
      </c>
      <c r="AA433" s="246">
        <f t="shared" si="310"/>
        <v>3382592</v>
      </c>
      <c r="AB433" s="246">
        <f t="shared" si="310"/>
        <v>3382592</v>
      </c>
      <c r="AC433" s="246">
        <f t="shared" si="310"/>
        <v>3484925</v>
      </c>
      <c r="AD433" s="246">
        <f t="shared" si="310"/>
        <v>3228605</v>
      </c>
      <c r="AE433" s="246">
        <f t="shared" si="310"/>
        <v>3464334</v>
      </c>
      <c r="AF433" s="84"/>
      <c r="AG433" s="84"/>
      <c r="AH433" s="182"/>
      <c r="AI433" s="161"/>
      <c r="AJ433" s="161"/>
      <c r="AO433" s="84"/>
      <c r="AP433" s="84"/>
      <c r="AQ433" s="84"/>
      <c r="AR433" s="84"/>
      <c r="AS433" s="84"/>
      <c r="AT433" s="84"/>
      <c r="AU433" s="84"/>
      <c r="AV433" s="84"/>
      <c r="AW433" s="84"/>
      <c r="AX433" s="84"/>
      <c r="AY433" s="84"/>
      <c r="AZ433" s="84"/>
      <c r="BA433" s="84"/>
      <c r="BB433" s="84"/>
      <c r="BC433" s="84"/>
      <c r="BD433" s="84"/>
      <c r="BE433" s="84"/>
      <c r="BF433" s="84"/>
      <c r="BG433" s="84"/>
    </row>
    <row r="434" spans="1:59" ht="15.75" customHeight="1" x14ac:dyDescent="0.2">
      <c r="A434" s="189"/>
      <c r="B434" s="189"/>
      <c r="C434" s="252"/>
      <c r="D434" s="253"/>
      <c r="E434" s="253"/>
      <c r="F434" s="253"/>
      <c r="G434" s="253"/>
      <c r="H434" s="254"/>
      <c r="I434" s="253"/>
      <c r="J434" s="253"/>
      <c r="K434" s="253"/>
      <c r="L434" s="253"/>
      <c r="M434" s="254"/>
      <c r="N434" s="253"/>
      <c r="O434" s="253"/>
      <c r="P434" s="253"/>
      <c r="Q434" s="253"/>
      <c r="R434" s="255"/>
      <c r="S434" s="253"/>
      <c r="T434" s="253"/>
      <c r="U434" s="253"/>
      <c r="V434" s="253"/>
      <c r="W434" s="254"/>
      <c r="X434" s="253"/>
      <c r="Y434" s="253"/>
      <c r="Z434" s="253"/>
      <c r="AA434" s="253"/>
      <c r="AB434" s="254"/>
      <c r="AC434" s="253"/>
      <c r="AD434" s="253"/>
      <c r="AE434" s="253"/>
      <c r="AF434" s="189"/>
      <c r="AG434" s="189"/>
      <c r="AH434" s="182"/>
      <c r="AI434" s="161"/>
      <c r="AJ434" s="161"/>
      <c r="AO434" s="189"/>
      <c r="AP434" s="189"/>
      <c r="AQ434" s="189"/>
      <c r="AR434" s="189"/>
      <c r="AS434" s="189"/>
      <c r="AT434" s="189"/>
      <c r="AU434" s="189"/>
      <c r="AV434" s="189"/>
      <c r="AW434" s="189"/>
      <c r="AX434" s="189"/>
      <c r="AY434" s="189"/>
      <c r="AZ434" s="189"/>
      <c r="BA434" s="189"/>
      <c r="BB434" s="189"/>
      <c r="BC434" s="189"/>
      <c r="BD434" s="189"/>
      <c r="BE434" s="189"/>
      <c r="BF434" s="189"/>
      <c r="BG434" s="189"/>
    </row>
    <row r="435" spans="1:59" ht="15.75" customHeight="1" x14ac:dyDescent="0.2">
      <c r="A435" s="256"/>
      <c r="B435" s="257" t="s">
        <v>343</v>
      </c>
      <c r="C435" s="257"/>
      <c r="D435" s="158" t="s">
        <v>98</v>
      </c>
      <c r="E435" s="158" t="s">
        <v>99</v>
      </c>
      <c r="F435" s="158" t="s">
        <v>100</v>
      </c>
      <c r="G435" s="158" t="s">
        <v>101</v>
      </c>
      <c r="H435" s="159">
        <v>2018</v>
      </c>
      <c r="I435" s="158" t="s">
        <v>102</v>
      </c>
      <c r="J435" s="158" t="s">
        <v>103</v>
      </c>
      <c r="K435" s="158" t="s">
        <v>104</v>
      </c>
      <c r="L435" s="158" t="s">
        <v>105</v>
      </c>
      <c r="M435" s="159">
        <v>2019</v>
      </c>
      <c r="N435" s="158" t="s">
        <v>158</v>
      </c>
      <c r="O435" s="158" t="s">
        <v>107</v>
      </c>
      <c r="P435" s="158" t="s">
        <v>108</v>
      </c>
      <c r="Q435" s="158" t="s">
        <v>109</v>
      </c>
      <c r="R435" s="159">
        <v>2020</v>
      </c>
      <c r="S435" s="158" t="s">
        <v>110</v>
      </c>
      <c r="T435" s="158" t="s">
        <v>111</v>
      </c>
      <c r="U435" s="158" t="s">
        <v>112</v>
      </c>
      <c r="V435" s="158" t="s">
        <v>113</v>
      </c>
      <c r="W435" s="159">
        <v>2021</v>
      </c>
      <c r="X435" s="158" t="s">
        <v>114</v>
      </c>
      <c r="Y435" s="158" t="s">
        <v>115</v>
      </c>
      <c r="Z435" s="158" t="str">
        <f>$Z$4</f>
        <v>3Q22</v>
      </c>
      <c r="AA435" s="158" t="str">
        <f>$AA$4</f>
        <v>4Q22</v>
      </c>
      <c r="AB435" s="160">
        <v>2022</v>
      </c>
      <c r="AC435" s="158" t="str">
        <f t="shared" ref="AC435:AE435" si="311">AC$4</f>
        <v>1Q23</v>
      </c>
      <c r="AD435" s="158" t="str">
        <f t="shared" si="311"/>
        <v>2Q23</v>
      </c>
      <c r="AE435" s="158" t="str">
        <f t="shared" si="311"/>
        <v>3Q23</v>
      </c>
      <c r="AF435" s="189"/>
      <c r="AG435" s="189"/>
      <c r="AH435" s="182"/>
      <c r="AI435" s="161"/>
      <c r="AJ435" s="161"/>
      <c r="AM435" s="189"/>
      <c r="AN435" s="84"/>
      <c r="AO435" s="189"/>
      <c r="AP435" s="189"/>
      <c r="AQ435" s="189"/>
      <c r="AR435" s="189"/>
      <c r="AS435" s="189"/>
      <c r="AT435" s="189"/>
      <c r="AU435" s="189"/>
      <c r="AV435" s="189"/>
      <c r="AW435" s="189"/>
      <c r="AX435" s="189"/>
      <c r="AY435" s="189"/>
      <c r="AZ435" s="189"/>
      <c r="BA435" s="189"/>
      <c r="BB435" s="189"/>
      <c r="BC435" s="189"/>
      <c r="BD435" s="189"/>
      <c r="BE435" s="189"/>
      <c r="BF435" s="189"/>
      <c r="BG435" s="189"/>
    </row>
    <row r="436" spans="1:59" ht="15.75" customHeight="1" x14ac:dyDescent="0.2">
      <c r="A436" s="189"/>
      <c r="B436" s="189"/>
      <c r="C436" s="190" t="s">
        <v>188</v>
      </c>
      <c r="D436" s="172">
        <f t="shared" ref="D436:AE436" si="312">SUM(D170,D188,D224,D260,D242,D206,D278)</f>
        <v>387.28230541999994</v>
      </c>
      <c r="E436" s="172">
        <f t="shared" si="312"/>
        <v>416.07024279499893</v>
      </c>
      <c r="F436" s="172">
        <f t="shared" si="312"/>
        <v>451.33237634500125</v>
      </c>
      <c r="G436" s="172">
        <f t="shared" si="312"/>
        <v>422.78488874000027</v>
      </c>
      <c r="H436" s="172">
        <f t="shared" si="312"/>
        <v>1677.4698133000004</v>
      </c>
      <c r="I436" s="172">
        <f t="shared" si="312"/>
        <v>378.84580550999999</v>
      </c>
      <c r="J436" s="172">
        <f t="shared" si="312"/>
        <v>386.96014074000004</v>
      </c>
      <c r="K436" s="172">
        <f t="shared" si="312"/>
        <v>421.34964608000001</v>
      </c>
      <c r="L436" s="172">
        <f t="shared" si="312"/>
        <v>415.07026023000003</v>
      </c>
      <c r="M436" s="172">
        <f t="shared" si="312"/>
        <v>1602.2258525599996</v>
      </c>
      <c r="N436" s="172">
        <f t="shared" si="312"/>
        <v>406.38931732486395</v>
      </c>
      <c r="O436" s="172">
        <f t="shared" si="312"/>
        <v>447.334722569272</v>
      </c>
      <c r="P436" s="172">
        <f t="shared" si="312"/>
        <v>474.10105264381411</v>
      </c>
      <c r="Q436" s="172">
        <f t="shared" si="312"/>
        <v>487.77764313216483</v>
      </c>
      <c r="R436" s="172">
        <f t="shared" si="312"/>
        <v>1815.5617487899997</v>
      </c>
      <c r="S436" s="172">
        <f t="shared" si="312"/>
        <v>507.08572290999996</v>
      </c>
      <c r="T436" s="172">
        <f t="shared" si="312"/>
        <v>509.99797374000002</v>
      </c>
      <c r="U436" s="172">
        <f t="shared" si="312"/>
        <v>543.92654571000003</v>
      </c>
      <c r="V436" s="172">
        <f t="shared" si="312"/>
        <v>577.70454937</v>
      </c>
      <c r="W436" s="172">
        <f t="shared" si="312"/>
        <v>2138.7147917300003</v>
      </c>
      <c r="X436" s="172">
        <f t="shared" si="312"/>
        <v>529.21786904999999</v>
      </c>
      <c r="Y436" s="172">
        <f t="shared" si="312"/>
        <v>539.57049874000006</v>
      </c>
      <c r="Z436" s="172">
        <f t="shared" si="312"/>
        <v>619.07765618000008</v>
      </c>
      <c r="AA436" s="172">
        <f t="shared" si="312"/>
        <v>584.02593898999999</v>
      </c>
      <c r="AB436" s="172">
        <f t="shared" si="312"/>
        <v>2271.8919629600005</v>
      </c>
      <c r="AC436" s="172">
        <f t="shared" si="312"/>
        <v>570.23890833999997</v>
      </c>
      <c r="AD436" s="172">
        <f t="shared" si="312"/>
        <v>593.53465243000016</v>
      </c>
      <c r="AE436" s="172">
        <f t="shared" si="312"/>
        <v>618.58496862000004</v>
      </c>
      <c r="AF436" s="189"/>
      <c r="AG436" s="189"/>
      <c r="AH436" s="182"/>
      <c r="AI436" s="161"/>
      <c r="AJ436" s="161"/>
      <c r="AM436" s="189"/>
      <c r="AN436" s="84"/>
      <c r="AO436" s="189"/>
      <c r="AP436" s="189"/>
      <c r="AQ436" s="189"/>
      <c r="AR436" s="189"/>
      <c r="AS436" s="189"/>
      <c r="AT436" s="189"/>
      <c r="AU436" s="189"/>
      <c r="AV436" s="189"/>
      <c r="AW436" s="189"/>
      <c r="AX436" s="189"/>
      <c r="AY436" s="189"/>
      <c r="AZ436" s="189"/>
      <c r="BA436" s="189"/>
      <c r="BB436" s="189"/>
      <c r="BC436" s="189"/>
      <c r="BD436" s="189"/>
      <c r="BE436" s="189"/>
      <c r="BF436" s="189"/>
      <c r="BG436" s="189"/>
    </row>
    <row r="437" spans="1:59" ht="15.75" customHeight="1" x14ac:dyDescent="0.2">
      <c r="A437" s="189"/>
      <c r="B437" s="189"/>
      <c r="C437" s="190" t="s">
        <v>189</v>
      </c>
      <c r="D437" s="172">
        <f t="shared" ref="D437:AE437" si="313">SUM(D174,D192,D228,D264,D246,D210,D280,D355)</f>
        <v>132.5561081244397</v>
      </c>
      <c r="E437" s="172">
        <f t="shared" si="313"/>
        <v>129.39849454007975</v>
      </c>
      <c r="F437" s="172">
        <f t="shared" si="313"/>
        <v>178.83802652627637</v>
      </c>
      <c r="G437" s="172">
        <f t="shared" si="313"/>
        <v>129.97369006688109</v>
      </c>
      <c r="H437" s="172">
        <f t="shared" si="313"/>
        <v>570.76631925767686</v>
      </c>
      <c r="I437" s="172">
        <f t="shared" si="313"/>
        <v>135.93844254999999</v>
      </c>
      <c r="J437" s="172">
        <f t="shared" si="313"/>
        <v>131.69894286000002</v>
      </c>
      <c r="K437" s="172">
        <f t="shared" si="313"/>
        <v>179.53010017</v>
      </c>
      <c r="L437" s="172">
        <f t="shared" si="313"/>
        <v>109.04990735999998</v>
      </c>
      <c r="M437" s="172">
        <f t="shared" si="313"/>
        <v>556.21739293999997</v>
      </c>
      <c r="N437" s="172">
        <f t="shared" si="313"/>
        <v>141.29383147385334</v>
      </c>
      <c r="O437" s="172">
        <f t="shared" si="313"/>
        <v>192.06892094170507</v>
      </c>
      <c r="P437" s="172">
        <f t="shared" si="313"/>
        <v>202.49012695089942</v>
      </c>
      <c r="Q437" s="172">
        <f t="shared" si="313"/>
        <v>172.64453386880015</v>
      </c>
      <c r="R437" s="172">
        <f t="shared" si="313"/>
        <v>711.16772325999989</v>
      </c>
      <c r="S437" s="172">
        <f t="shared" si="313"/>
        <v>229.44932015000006</v>
      </c>
      <c r="T437" s="172">
        <f t="shared" si="313"/>
        <v>220.56195264999997</v>
      </c>
      <c r="U437" s="172">
        <f t="shared" si="313"/>
        <v>219.05585987000001</v>
      </c>
      <c r="V437" s="172">
        <f t="shared" si="313"/>
        <v>189.60787743</v>
      </c>
      <c r="W437" s="172">
        <f t="shared" si="313"/>
        <v>858.58119285000009</v>
      </c>
      <c r="X437" s="172">
        <f t="shared" si="313"/>
        <v>239.00141331999998</v>
      </c>
      <c r="Y437" s="172">
        <f t="shared" si="313"/>
        <v>201.14504904999998</v>
      </c>
      <c r="Z437" s="172">
        <f t="shared" si="313"/>
        <v>248.00031036000001</v>
      </c>
      <c r="AA437" s="172">
        <f t="shared" si="313"/>
        <v>250.52225799999999</v>
      </c>
      <c r="AB437" s="172">
        <f t="shared" si="313"/>
        <v>938.66903072999992</v>
      </c>
      <c r="AC437" s="172">
        <f t="shared" si="313"/>
        <v>239.68201459999997</v>
      </c>
      <c r="AD437" s="172">
        <f t="shared" si="313"/>
        <v>257.19574627048826</v>
      </c>
      <c r="AE437" s="172">
        <f t="shared" si="313"/>
        <v>268.53694739000002</v>
      </c>
      <c r="AF437" s="189"/>
      <c r="AG437" s="189"/>
      <c r="AH437" s="182"/>
      <c r="AI437" s="161"/>
      <c r="AJ437" s="161"/>
      <c r="AM437" s="189"/>
      <c r="AN437" s="84"/>
      <c r="AO437" s="189"/>
      <c r="AP437" s="189"/>
      <c r="AQ437" s="189"/>
      <c r="AR437" s="189"/>
      <c r="AS437" s="189"/>
      <c r="AT437" s="189"/>
      <c r="AU437" s="189"/>
      <c r="AV437" s="189"/>
      <c r="AW437" s="189"/>
      <c r="AX437" s="189"/>
      <c r="AY437" s="189"/>
      <c r="AZ437" s="189"/>
      <c r="BA437" s="189"/>
      <c r="BB437" s="189"/>
      <c r="BC437" s="189"/>
      <c r="BD437" s="189"/>
      <c r="BE437" s="189"/>
      <c r="BF437" s="189"/>
      <c r="BG437" s="189"/>
    </row>
    <row r="438" spans="1:59" ht="15.75" customHeight="1" x14ac:dyDescent="0.2">
      <c r="A438" s="195"/>
      <c r="B438" s="195"/>
      <c r="C438" s="196" t="s">
        <v>222</v>
      </c>
      <c r="D438" s="140">
        <f t="shared" ref="D438:AE438" si="314">D437/D436</f>
        <v>0.34227256517874022</v>
      </c>
      <c r="E438" s="140">
        <f t="shared" si="314"/>
        <v>0.31100155990688189</v>
      </c>
      <c r="F438" s="140">
        <f t="shared" si="314"/>
        <v>0.39624462125795173</v>
      </c>
      <c r="G438" s="140">
        <f t="shared" si="314"/>
        <v>0.30742274269601655</v>
      </c>
      <c r="H438" s="140">
        <f t="shared" si="314"/>
        <v>0.34025430128893797</v>
      </c>
      <c r="I438" s="140">
        <f t="shared" si="314"/>
        <v>0.358822614828744</v>
      </c>
      <c r="J438" s="140">
        <f t="shared" si="314"/>
        <v>0.34034239962841295</v>
      </c>
      <c r="K438" s="140">
        <f t="shared" si="314"/>
        <v>0.42608342463378579</v>
      </c>
      <c r="L438" s="140">
        <f t="shared" si="314"/>
        <v>0.26272638106997331</v>
      </c>
      <c r="M438" s="140">
        <f t="shared" si="314"/>
        <v>0.34715292606924836</v>
      </c>
      <c r="N438" s="140">
        <f t="shared" si="314"/>
        <v>0.34768096859422198</v>
      </c>
      <c r="O438" s="140">
        <f t="shared" si="314"/>
        <v>0.42936287136074541</v>
      </c>
      <c r="P438" s="140">
        <f t="shared" si="314"/>
        <v>0.42710330597605228</v>
      </c>
      <c r="Q438" s="140">
        <f t="shared" si="314"/>
        <v>0.35394105551906485</v>
      </c>
      <c r="R438" s="140">
        <f t="shared" si="314"/>
        <v>0.39170671211484004</v>
      </c>
      <c r="S438" s="140">
        <f t="shared" si="314"/>
        <v>0.45248625584105401</v>
      </c>
      <c r="T438" s="140">
        <f t="shared" si="314"/>
        <v>0.43247613521390921</v>
      </c>
      <c r="U438" s="140">
        <f t="shared" si="314"/>
        <v>0.4027305922053524</v>
      </c>
      <c r="V438" s="140">
        <f t="shared" si="314"/>
        <v>0.3282090778699453</v>
      </c>
      <c r="W438" s="140">
        <f t="shared" si="314"/>
        <v>0.40144725990111857</v>
      </c>
      <c r="X438" s="140">
        <f t="shared" si="314"/>
        <v>0.45161251593607726</v>
      </c>
      <c r="Y438" s="140">
        <f t="shared" si="314"/>
        <v>0.37278733644576939</v>
      </c>
      <c r="Z438" s="140">
        <f t="shared" si="314"/>
        <v>0.40059644841695374</v>
      </c>
      <c r="AA438" s="140">
        <f t="shared" si="314"/>
        <v>0.42895741657168002</v>
      </c>
      <c r="AB438" s="140">
        <f t="shared" si="314"/>
        <v>0.413166227106604</v>
      </c>
      <c r="AC438" s="140">
        <f t="shared" si="314"/>
        <v>0.42031859119843096</v>
      </c>
      <c r="AD438" s="140">
        <f t="shared" si="314"/>
        <v>0.43332894754754225</v>
      </c>
      <c r="AE438" s="140">
        <f t="shared" si="314"/>
        <v>0.43411489288056671</v>
      </c>
      <c r="AF438" s="195"/>
      <c r="AG438" s="195"/>
      <c r="AH438" s="182"/>
      <c r="AI438" s="161"/>
      <c r="AJ438" s="161"/>
      <c r="AM438" s="195"/>
      <c r="AN438" s="84"/>
      <c r="AO438" s="195"/>
      <c r="AP438" s="195"/>
      <c r="AQ438" s="195"/>
      <c r="AR438" s="195"/>
      <c r="AS438" s="195"/>
      <c r="AT438" s="195"/>
      <c r="AU438" s="195"/>
      <c r="AV438" s="195"/>
      <c r="AW438" s="195"/>
      <c r="AX438" s="195"/>
      <c r="AY438" s="195"/>
      <c r="AZ438" s="195"/>
      <c r="BA438" s="195"/>
      <c r="BB438" s="195"/>
      <c r="BC438" s="195"/>
      <c r="BD438" s="195"/>
      <c r="BE438" s="195"/>
      <c r="BF438" s="195"/>
      <c r="BG438" s="195"/>
    </row>
    <row r="439" spans="1:59" ht="15.75" customHeight="1" x14ac:dyDescent="0.2">
      <c r="A439" s="189"/>
      <c r="B439" s="189"/>
      <c r="C439" s="190" t="s">
        <v>190</v>
      </c>
      <c r="D439" s="172">
        <f t="shared" ref="D439:AE439" si="315">SUM(D181,D199,D235,D271,D253,D217,D286,D355)</f>
        <v>85.674818563493019</v>
      </c>
      <c r="E439" s="172">
        <f t="shared" si="315"/>
        <v>77.986332996165245</v>
      </c>
      <c r="F439" s="172">
        <f t="shared" si="315"/>
        <v>125.78579719614255</v>
      </c>
      <c r="G439" s="172">
        <f t="shared" si="315"/>
        <v>76.475764734279068</v>
      </c>
      <c r="H439" s="172">
        <f t="shared" si="315"/>
        <v>365.9227134900799</v>
      </c>
      <c r="I439" s="172">
        <f t="shared" si="315"/>
        <v>72.85423059</v>
      </c>
      <c r="J439" s="172">
        <f t="shared" si="315"/>
        <v>67.472169009999988</v>
      </c>
      <c r="K439" s="172">
        <f t="shared" si="315"/>
        <v>113.11474519000001</v>
      </c>
      <c r="L439" s="172">
        <f t="shared" si="315"/>
        <v>42.003760110000002</v>
      </c>
      <c r="M439" s="172">
        <f t="shared" si="315"/>
        <v>295.44490489999998</v>
      </c>
      <c r="N439" s="172">
        <f t="shared" si="315"/>
        <v>68.184197076059334</v>
      </c>
      <c r="O439" s="172">
        <f t="shared" si="315"/>
        <v>109.02619057256413</v>
      </c>
      <c r="P439" s="172">
        <f t="shared" si="315"/>
        <v>120.48696588985422</v>
      </c>
      <c r="Q439" s="172">
        <f t="shared" si="315"/>
        <v>88.774403252781809</v>
      </c>
      <c r="R439" s="172">
        <f t="shared" si="315"/>
        <v>396.13844257000005</v>
      </c>
      <c r="S439" s="172">
        <f t="shared" si="315"/>
        <v>144.51746768000004</v>
      </c>
      <c r="T439" s="172">
        <f t="shared" si="315"/>
        <v>137.20383101000002</v>
      </c>
      <c r="U439" s="172">
        <f t="shared" si="315"/>
        <v>139.48205585999995</v>
      </c>
      <c r="V439" s="172">
        <f t="shared" si="315"/>
        <v>106.18004187</v>
      </c>
      <c r="W439" s="172">
        <f t="shared" si="315"/>
        <v>527.28957917000002</v>
      </c>
      <c r="X439" s="172">
        <f t="shared" si="315"/>
        <v>157.38174982000001</v>
      </c>
      <c r="Y439" s="172">
        <f t="shared" si="315"/>
        <v>122.04050188999997</v>
      </c>
      <c r="Z439" s="172">
        <f t="shared" si="315"/>
        <v>164.495791</v>
      </c>
      <c r="AA439" s="172">
        <f t="shared" si="315"/>
        <v>162.02171677000001</v>
      </c>
      <c r="AB439" s="172">
        <f t="shared" si="315"/>
        <v>605.93975947999979</v>
      </c>
      <c r="AC439" s="172">
        <f t="shared" si="315"/>
        <v>148.43559901</v>
      </c>
      <c r="AD439" s="172">
        <f t="shared" si="315"/>
        <v>167.63218113552009</v>
      </c>
      <c r="AE439" s="172">
        <f t="shared" si="315"/>
        <v>180.71618437999999</v>
      </c>
      <c r="AF439" s="189"/>
      <c r="AG439" s="189"/>
      <c r="AH439" s="182"/>
      <c r="AI439" s="161"/>
      <c r="AJ439" s="161"/>
      <c r="AM439" s="189"/>
      <c r="AN439" s="84"/>
      <c r="AO439" s="189"/>
      <c r="AP439" s="189"/>
      <c r="AQ439" s="189"/>
      <c r="AR439" s="189"/>
      <c r="AS439" s="189"/>
      <c r="AT439" s="189"/>
      <c r="AU439" s="189"/>
      <c r="AV439" s="189"/>
      <c r="AW439" s="189"/>
      <c r="AX439" s="189"/>
      <c r="AY439" s="189"/>
      <c r="AZ439" s="189"/>
      <c r="BA439" s="189"/>
      <c r="BB439" s="189"/>
      <c r="BC439" s="189"/>
      <c r="BD439" s="189"/>
      <c r="BE439" s="189"/>
      <c r="BF439" s="189"/>
      <c r="BG439" s="189"/>
    </row>
    <row r="440" spans="1:59" ht="15.75" customHeight="1" x14ac:dyDescent="0.2">
      <c r="A440" s="195"/>
      <c r="B440" s="195"/>
      <c r="C440" s="196" t="s">
        <v>244</v>
      </c>
      <c r="D440" s="140">
        <f t="shared" ref="D440:AE440" si="316">D439/D436</f>
        <v>0.22122058602853126</v>
      </c>
      <c r="E440" s="140">
        <f t="shared" si="316"/>
        <v>0.18743549760320091</v>
      </c>
      <c r="F440" s="140">
        <f t="shared" si="316"/>
        <v>0.27869881220307385</v>
      </c>
      <c r="G440" s="140">
        <f t="shared" si="316"/>
        <v>0.18088575720431985</v>
      </c>
      <c r="H440" s="140">
        <f t="shared" si="316"/>
        <v>0.21813967118145566</v>
      </c>
      <c r="I440" s="140">
        <f t="shared" si="316"/>
        <v>0.19230576010185479</v>
      </c>
      <c r="J440" s="140">
        <f t="shared" si="316"/>
        <v>0.17436464872317375</v>
      </c>
      <c r="K440" s="140">
        <f t="shared" si="316"/>
        <v>0.26845814691517111</v>
      </c>
      <c r="L440" s="140">
        <f t="shared" si="316"/>
        <v>0.10119674699585739</v>
      </c>
      <c r="M440" s="140">
        <f t="shared" si="316"/>
        <v>0.18439654086715984</v>
      </c>
      <c r="N440" s="140">
        <f t="shared" si="316"/>
        <v>0.16778048577874774</v>
      </c>
      <c r="O440" s="140">
        <f t="shared" si="316"/>
        <v>0.24372396121269321</v>
      </c>
      <c r="P440" s="140">
        <f t="shared" si="316"/>
        <v>0.25413773122409516</v>
      </c>
      <c r="Q440" s="140">
        <f t="shared" si="316"/>
        <v>0.18199768788650306</v>
      </c>
      <c r="R440" s="140">
        <f t="shared" si="316"/>
        <v>0.21819056434407186</v>
      </c>
      <c r="S440" s="140">
        <f t="shared" si="316"/>
        <v>0.28499612817071895</v>
      </c>
      <c r="T440" s="140">
        <f t="shared" si="316"/>
        <v>0.26902818849226906</v>
      </c>
      <c r="U440" s="140">
        <f t="shared" si="316"/>
        <v>0.25643546350165858</v>
      </c>
      <c r="V440" s="140">
        <f t="shared" si="316"/>
        <v>0.18379644402279982</v>
      </c>
      <c r="W440" s="140">
        <f t="shared" si="316"/>
        <v>0.24654506585400149</v>
      </c>
      <c r="X440" s="140">
        <f t="shared" si="316"/>
        <v>0.29738555522041665</v>
      </c>
      <c r="Y440" s="140">
        <f t="shared" si="316"/>
        <v>0.2261808274822063</v>
      </c>
      <c r="Z440" s="140">
        <f t="shared" si="316"/>
        <v>0.26571107737115934</v>
      </c>
      <c r="AA440" s="140">
        <f t="shared" si="316"/>
        <v>0.27742212452103815</v>
      </c>
      <c r="AB440" s="140">
        <f t="shared" si="316"/>
        <v>0.26671152033591139</v>
      </c>
      <c r="AC440" s="140">
        <f t="shared" si="316"/>
        <v>0.26030422834896522</v>
      </c>
      <c r="AD440" s="140">
        <f t="shared" si="316"/>
        <v>0.28243031885200698</v>
      </c>
      <c r="AE440" s="140">
        <f t="shared" si="316"/>
        <v>0.29214448062512632</v>
      </c>
      <c r="AF440" s="195"/>
      <c r="AG440" s="195"/>
      <c r="AH440" s="182"/>
      <c r="AI440" s="161"/>
      <c r="AJ440" s="161"/>
      <c r="AM440" s="195"/>
      <c r="AN440" s="84"/>
      <c r="AO440" s="195"/>
      <c r="AP440" s="195"/>
      <c r="AQ440" s="195"/>
      <c r="AR440" s="195"/>
      <c r="AS440" s="195"/>
      <c r="AT440" s="195"/>
      <c r="AU440" s="195"/>
      <c r="AV440" s="195"/>
      <c r="AW440" s="195"/>
      <c r="AX440" s="195"/>
      <c r="AY440" s="195"/>
      <c r="AZ440" s="195"/>
      <c r="BA440" s="195"/>
      <c r="BB440" s="195"/>
      <c r="BC440" s="195"/>
      <c r="BD440" s="195"/>
      <c r="BE440" s="195"/>
      <c r="BF440" s="195"/>
      <c r="BG440" s="195"/>
    </row>
    <row r="441" spans="1:59" ht="15.75" customHeight="1" x14ac:dyDescent="0.2">
      <c r="A441" s="189"/>
      <c r="B441" s="189"/>
      <c r="C441" s="190" t="s">
        <v>344</v>
      </c>
      <c r="D441" s="172">
        <f t="shared" ref="D441:AE441" si="317">D25</f>
        <v>49.082305419999948</v>
      </c>
      <c r="E441" s="172">
        <f t="shared" si="317"/>
        <v>-2.4297572050010903</v>
      </c>
      <c r="F441" s="172">
        <f t="shared" si="317"/>
        <v>60.032376345001282</v>
      </c>
      <c r="G441" s="172">
        <f t="shared" si="317"/>
        <v>57.184888740000261</v>
      </c>
      <c r="H441" s="172">
        <f t="shared" si="317"/>
        <v>163.86981330000046</v>
      </c>
      <c r="I441" s="172">
        <f t="shared" si="317"/>
        <v>23.045805509999987</v>
      </c>
      <c r="J441" s="172">
        <f t="shared" si="317"/>
        <v>23.860140740000027</v>
      </c>
      <c r="K441" s="172">
        <f t="shared" si="317"/>
        <v>27.449646080000026</v>
      </c>
      <c r="L441" s="172">
        <f t="shared" si="317"/>
        <v>47.670260230000025</v>
      </c>
      <c r="M441" s="172">
        <f t="shared" si="317"/>
        <v>122.02585256000003</v>
      </c>
      <c r="N441" s="172">
        <f t="shared" si="317"/>
        <v>-22.310243534587077</v>
      </c>
      <c r="O441" s="172">
        <f t="shared" si="317"/>
        <v>36.435396132625094</v>
      </c>
      <c r="P441" s="172">
        <f t="shared" si="317"/>
        <v>54.579475622065793</v>
      </c>
      <c r="Q441" s="172">
        <f t="shared" si="317"/>
        <v>52.660888195430317</v>
      </c>
      <c r="R441" s="172">
        <f t="shared" si="317"/>
        <v>118.56772325999989</v>
      </c>
      <c r="S441" s="172">
        <f t="shared" si="317"/>
        <v>26.701168899999999</v>
      </c>
      <c r="T441" s="172">
        <f t="shared" si="317"/>
        <v>120.56135365</v>
      </c>
      <c r="U441" s="172">
        <f t="shared" si="317"/>
        <v>34.635962210000002</v>
      </c>
      <c r="V441" s="172">
        <f t="shared" si="317"/>
        <v>41.854945799999996</v>
      </c>
      <c r="W441" s="172">
        <f t="shared" si="317"/>
        <v>223.91071859999983</v>
      </c>
      <c r="X441" s="172">
        <f t="shared" si="317"/>
        <v>143.48530269999998</v>
      </c>
      <c r="Y441" s="172">
        <f t="shared" si="317"/>
        <v>16.287362659999999</v>
      </c>
      <c r="Z441" s="172">
        <f t="shared" si="317"/>
        <v>66.542549170000001</v>
      </c>
      <c r="AA441" s="172">
        <f t="shared" si="317"/>
        <v>112.59282010999999</v>
      </c>
      <c r="AB441" s="172">
        <f t="shared" si="317"/>
        <v>338.90803463999993</v>
      </c>
      <c r="AC441" s="172">
        <f t="shared" si="317"/>
        <v>85.287861629999981</v>
      </c>
      <c r="AD441" s="172">
        <f t="shared" si="317"/>
        <v>111.27817516184766</v>
      </c>
      <c r="AE441" s="172">
        <f t="shared" si="317"/>
        <v>94.839839189999992</v>
      </c>
      <c r="AF441" s="189"/>
      <c r="AG441" s="189"/>
      <c r="AH441" s="182"/>
      <c r="AI441" s="161"/>
      <c r="AJ441" s="161"/>
      <c r="AM441" s="189"/>
      <c r="AN441" s="84"/>
      <c r="AO441" s="189"/>
      <c r="AP441" s="189"/>
      <c r="AQ441" s="189"/>
      <c r="AR441" s="189"/>
      <c r="AS441" s="189"/>
      <c r="AT441" s="189"/>
      <c r="AU441" s="189"/>
      <c r="AV441" s="189"/>
      <c r="AW441" s="189"/>
      <c r="AX441" s="189"/>
      <c r="AY441" s="189"/>
      <c r="AZ441" s="189"/>
      <c r="BA441" s="189"/>
      <c r="BB441" s="189"/>
      <c r="BC441" s="189"/>
      <c r="BD441" s="189"/>
      <c r="BE441" s="189"/>
      <c r="BF441" s="189"/>
      <c r="BG441" s="189"/>
    </row>
    <row r="442" spans="1:59" ht="15.75" customHeight="1" x14ac:dyDescent="0.2">
      <c r="A442" s="195"/>
      <c r="B442" s="195"/>
      <c r="C442" s="196" t="s">
        <v>345</v>
      </c>
      <c r="D442" s="140">
        <f t="shared" ref="D442:AE442" si="318">D441/D436</f>
        <v>0.12673521287467851</v>
      </c>
      <c r="E442" s="140">
        <f t="shared" si="318"/>
        <v>-5.8397764489931349E-3</v>
      </c>
      <c r="F442" s="140">
        <f t="shared" si="318"/>
        <v>0.13301145561760488</v>
      </c>
      <c r="G442" s="140">
        <f t="shared" si="318"/>
        <v>0.13525764582179098</v>
      </c>
      <c r="H442" s="140">
        <f t="shared" si="318"/>
        <v>9.7688680893534399E-2</v>
      </c>
      <c r="I442" s="140">
        <f t="shared" si="318"/>
        <v>6.0831623776263957E-2</v>
      </c>
      <c r="J442" s="140">
        <f t="shared" si="318"/>
        <v>6.166046118954599E-2</v>
      </c>
      <c r="K442" s="140">
        <f t="shared" si="318"/>
        <v>6.514695416354585E-2</v>
      </c>
      <c r="L442" s="140">
        <f t="shared" si="318"/>
        <v>0.11484865286080682</v>
      </c>
      <c r="M442" s="140">
        <f t="shared" si="318"/>
        <v>7.6160206980201914E-2</v>
      </c>
      <c r="N442" s="140">
        <f t="shared" si="318"/>
        <v>-5.48986958649616E-2</v>
      </c>
      <c r="O442" s="140">
        <f t="shared" si="318"/>
        <v>8.144996195099273E-2</v>
      </c>
      <c r="P442" s="140">
        <f t="shared" si="318"/>
        <v>0.11512203003495677</v>
      </c>
      <c r="Q442" s="140">
        <f t="shared" si="318"/>
        <v>0.10796084842527662</v>
      </c>
      <c r="R442" s="140">
        <f t="shared" si="318"/>
        <v>6.5306356745520003E-2</v>
      </c>
      <c r="S442" s="140">
        <f t="shared" si="318"/>
        <v>5.2656124386170212E-2</v>
      </c>
      <c r="T442" s="140">
        <f t="shared" si="318"/>
        <v>0.23639575029265292</v>
      </c>
      <c r="U442" s="140">
        <f t="shared" si="318"/>
        <v>6.3677646335111054E-2</v>
      </c>
      <c r="V442" s="140">
        <f t="shared" si="318"/>
        <v>7.2450434821127466E-2</v>
      </c>
      <c r="W442" s="140">
        <f t="shared" si="318"/>
        <v>0.1046940524588971</v>
      </c>
      <c r="X442" s="140">
        <f t="shared" si="318"/>
        <v>0.27112709356842146</v>
      </c>
      <c r="Y442" s="140">
        <f t="shared" si="318"/>
        <v>3.0185791658428499E-2</v>
      </c>
      <c r="Z442" s="140">
        <f t="shared" si="318"/>
        <v>0.10748659478456836</v>
      </c>
      <c r="AA442" s="140">
        <f t="shared" si="318"/>
        <v>0.19278736198723506</v>
      </c>
      <c r="AB442" s="140">
        <f t="shared" si="318"/>
        <v>0.1491743622343924</v>
      </c>
      <c r="AC442" s="140">
        <f t="shared" si="318"/>
        <v>0.14956513907175875</v>
      </c>
      <c r="AD442" s="140">
        <f t="shared" si="318"/>
        <v>0.18748387260332958</v>
      </c>
      <c r="AE442" s="140">
        <f t="shared" si="318"/>
        <v>0.15331740019738599</v>
      </c>
      <c r="AF442" s="195"/>
      <c r="AG442" s="195"/>
      <c r="AH442" s="182"/>
      <c r="AI442" s="161"/>
      <c r="AJ442" s="161"/>
      <c r="AM442" s="195"/>
      <c r="AN442" s="84"/>
      <c r="AO442" s="195"/>
      <c r="AP442" s="195"/>
      <c r="AQ442" s="195"/>
      <c r="AR442" s="195"/>
      <c r="AS442" s="195"/>
      <c r="AT442" s="195"/>
      <c r="AU442" s="195"/>
      <c r="AV442" s="195"/>
      <c r="AW442" s="195"/>
      <c r="AX442" s="195"/>
      <c r="AY442" s="195"/>
      <c r="AZ442" s="195"/>
      <c r="BA442" s="195"/>
      <c r="BB442" s="195"/>
      <c r="BC442" s="195"/>
      <c r="BD442" s="195"/>
      <c r="BE442" s="195"/>
      <c r="BF442" s="195"/>
      <c r="BG442" s="195"/>
    </row>
    <row r="443" spans="1:59" ht="15.75" customHeight="1" x14ac:dyDescent="0.2">
      <c r="A443" s="189"/>
      <c r="B443" s="189"/>
      <c r="C443" s="190" t="s">
        <v>346</v>
      </c>
      <c r="D443" s="172">
        <f t="shared" ref="D443:AE443" si="319">D299</f>
        <v>50.009441388241335</v>
      </c>
      <c r="E443" s="172">
        <f t="shared" si="319"/>
        <v>36.287424127748942</v>
      </c>
      <c r="F443" s="172">
        <f t="shared" si="319"/>
        <v>51.532226950857186</v>
      </c>
      <c r="G443" s="172">
        <f t="shared" si="319"/>
        <v>89.920173080270132</v>
      </c>
      <c r="H443" s="172">
        <f t="shared" si="319"/>
        <v>227.7492655471176</v>
      </c>
      <c r="I443" s="172">
        <f t="shared" si="319"/>
        <v>88.527394840000014</v>
      </c>
      <c r="J443" s="172">
        <f t="shared" si="319"/>
        <v>91.971033800000001</v>
      </c>
      <c r="K443" s="172">
        <f t="shared" si="319"/>
        <v>93.885297309999999</v>
      </c>
      <c r="L443" s="172">
        <f t="shared" si="319"/>
        <v>77.824454180000018</v>
      </c>
      <c r="M443" s="172">
        <f t="shared" si="319"/>
        <v>352.20818012999996</v>
      </c>
      <c r="N443" s="172">
        <f t="shared" si="319"/>
        <v>71.538076647260681</v>
      </c>
      <c r="O443" s="172">
        <f t="shared" si="319"/>
        <v>146.12734001085627</v>
      </c>
      <c r="P443" s="172">
        <f t="shared" si="319"/>
        <v>33.905232358203783</v>
      </c>
      <c r="Q443" s="172">
        <f t="shared" si="319"/>
        <v>68.829317897418321</v>
      </c>
      <c r="R443" s="172">
        <f t="shared" si="319"/>
        <v>320.39996691373898</v>
      </c>
      <c r="S443" s="172">
        <f t="shared" si="319"/>
        <v>36.61185845</v>
      </c>
      <c r="T443" s="172">
        <f t="shared" si="319"/>
        <v>54.372901030000001</v>
      </c>
      <c r="U443" s="172">
        <f t="shared" si="319"/>
        <v>62.982211529999994</v>
      </c>
      <c r="V443" s="172">
        <f t="shared" si="319"/>
        <v>115.44915522000001</v>
      </c>
      <c r="W443" s="172">
        <f t="shared" si="319"/>
        <v>269.41612623000003</v>
      </c>
      <c r="X443" s="172">
        <f t="shared" si="319"/>
        <v>72.285147010000003</v>
      </c>
      <c r="Y443" s="172">
        <f t="shared" si="319"/>
        <v>70.194073759999995</v>
      </c>
      <c r="Z443" s="172">
        <f t="shared" si="319"/>
        <v>101.15082339000001</v>
      </c>
      <c r="AA443" s="172">
        <f t="shared" si="319"/>
        <v>90.921620750000017</v>
      </c>
      <c r="AB443" s="172">
        <f t="shared" si="319"/>
        <v>334.55166491000006</v>
      </c>
      <c r="AC443" s="172">
        <f t="shared" si="319"/>
        <v>85.566275959999999</v>
      </c>
      <c r="AD443" s="172">
        <f t="shared" si="319"/>
        <v>77.449850116322096</v>
      </c>
      <c r="AE443" s="172">
        <f t="shared" si="319"/>
        <v>99.361975510000008</v>
      </c>
      <c r="AF443" s="189"/>
      <c r="AG443" s="189"/>
      <c r="AH443" s="182"/>
      <c r="AI443" s="161"/>
      <c r="AJ443" s="161"/>
      <c r="AM443" s="189"/>
      <c r="AN443" s="84"/>
      <c r="AO443" s="189"/>
      <c r="AP443" s="189"/>
      <c r="AQ443" s="189"/>
      <c r="AR443" s="189"/>
      <c r="AS443" s="189"/>
      <c r="AT443" s="189"/>
      <c r="AU443" s="189"/>
      <c r="AV443" s="189"/>
      <c r="AW443" s="189"/>
      <c r="AX443" s="189"/>
      <c r="AY443" s="189"/>
      <c r="AZ443" s="189"/>
      <c r="BA443" s="189"/>
      <c r="BB443" s="189"/>
      <c r="BC443" s="189"/>
      <c r="BD443" s="189"/>
      <c r="BE443" s="189"/>
      <c r="BF443" s="189"/>
      <c r="BG443" s="189"/>
    </row>
    <row r="444" spans="1:59" ht="15.75" customHeight="1" x14ac:dyDescent="0.2">
      <c r="A444" s="196"/>
      <c r="B444" s="196"/>
      <c r="C444" s="196" t="s">
        <v>248</v>
      </c>
      <c r="D444" s="140" t="s">
        <v>146</v>
      </c>
      <c r="E444" s="140" t="s">
        <v>146</v>
      </c>
      <c r="F444" s="140" t="s">
        <v>146</v>
      </c>
      <c r="G444" s="140" t="s">
        <v>146</v>
      </c>
      <c r="H444" s="140" t="s">
        <v>146</v>
      </c>
      <c r="I444" s="140">
        <f t="shared" ref="I444:AE444" si="320">I436/D436-1</f>
        <v>-2.1783850674124472E-2</v>
      </c>
      <c r="J444" s="140">
        <f t="shared" si="320"/>
        <v>-6.9964393174211326E-2</v>
      </c>
      <c r="K444" s="140">
        <f t="shared" si="320"/>
        <v>-6.6431596394233128E-2</v>
      </c>
      <c r="L444" s="140">
        <f t="shared" si="320"/>
        <v>-1.8247171825349962E-2</v>
      </c>
      <c r="M444" s="140">
        <f t="shared" si="320"/>
        <v>-4.4855627292617162E-2</v>
      </c>
      <c r="N444" s="140">
        <f t="shared" si="320"/>
        <v>7.2703752857406156E-2</v>
      </c>
      <c r="O444" s="140">
        <f t="shared" si="320"/>
        <v>0.15602274103429647</v>
      </c>
      <c r="P444" s="140">
        <f t="shared" si="320"/>
        <v>0.12519627595414762</v>
      </c>
      <c r="Q444" s="140">
        <f t="shared" si="320"/>
        <v>0.17516885662171022</v>
      </c>
      <c r="R444" s="140">
        <f t="shared" si="320"/>
        <v>0.13314970288935046</v>
      </c>
      <c r="S444" s="140">
        <f t="shared" si="320"/>
        <v>0.24778310179999208</v>
      </c>
      <c r="T444" s="140">
        <f t="shared" si="320"/>
        <v>0.14008134850525567</v>
      </c>
      <c r="U444" s="140">
        <f t="shared" si="320"/>
        <v>0.14727976805114773</v>
      </c>
      <c r="V444" s="140">
        <f t="shared" si="320"/>
        <v>0.18436045092265374</v>
      </c>
      <c r="W444" s="140">
        <f t="shared" si="320"/>
        <v>0.17799066495830806</v>
      </c>
      <c r="X444" s="140">
        <f t="shared" si="320"/>
        <v>4.3645768634523741E-2</v>
      </c>
      <c r="Y444" s="140">
        <f t="shared" si="320"/>
        <v>5.7985573517349565E-2</v>
      </c>
      <c r="Z444" s="140">
        <f t="shared" si="320"/>
        <v>0.13816407943815934</v>
      </c>
      <c r="AA444" s="140">
        <f t="shared" si="320"/>
        <v>1.0942253487346898E-2</v>
      </c>
      <c r="AB444" s="140">
        <f t="shared" si="320"/>
        <v>6.2269719994910266E-2</v>
      </c>
      <c r="AC444" s="140">
        <f t="shared" si="320"/>
        <v>7.7512574100411458E-2</v>
      </c>
      <c r="AD444" s="140">
        <f t="shared" si="320"/>
        <v>0.1000131656864427</v>
      </c>
      <c r="AE444" s="140">
        <f t="shared" si="320"/>
        <v>-7.9584128918519514E-4</v>
      </c>
      <c r="AF444" s="195"/>
      <c r="AG444" s="195"/>
      <c r="AH444" s="182"/>
      <c r="AI444" s="161"/>
      <c r="AJ444" s="161"/>
      <c r="AM444" s="195"/>
      <c r="AN444" s="84"/>
      <c r="AO444" s="195"/>
      <c r="AP444" s="195"/>
      <c r="AQ444" s="195"/>
      <c r="AR444" s="195"/>
      <c r="AS444" s="195"/>
      <c r="AT444" s="195"/>
      <c r="AU444" s="195"/>
      <c r="AV444" s="195"/>
      <c r="AW444" s="195"/>
      <c r="AX444" s="195"/>
      <c r="AY444" s="195"/>
      <c r="AZ444" s="195"/>
      <c r="BA444" s="195"/>
      <c r="BB444" s="195"/>
      <c r="BC444" s="195"/>
      <c r="BD444" s="195"/>
      <c r="BE444" s="195"/>
      <c r="BF444" s="195"/>
      <c r="BG444" s="195"/>
    </row>
    <row r="445" spans="1:59" ht="15.75" customHeight="1" x14ac:dyDescent="0.2">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c r="X445" s="253"/>
      <c r="Y445" s="253"/>
      <c r="Z445" s="253"/>
      <c r="AA445" s="253"/>
      <c r="AB445" s="253"/>
      <c r="AC445" s="253"/>
      <c r="AD445" s="253"/>
      <c r="AE445" s="253"/>
      <c r="AF445" s="189"/>
      <c r="AG445" s="189"/>
      <c r="AH445" s="182"/>
      <c r="AI445" s="147"/>
      <c r="AJ445" s="147"/>
      <c r="AM445" s="189"/>
      <c r="AN445" s="84"/>
      <c r="AO445" s="189"/>
      <c r="AP445" s="189"/>
      <c r="AQ445" s="189"/>
      <c r="AR445" s="189"/>
      <c r="AS445" s="189"/>
      <c r="AT445" s="189"/>
      <c r="AU445" s="189"/>
      <c r="AV445" s="189"/>
      <c r="AW445" s="189"/>
      <c r="AX445" s="189"/>
      <c r="AY445" s="189"/>
      <c r="AZ445" s="189"/>
      <c r="BA445" s="189"/>
      <c r="BB445" s="189"/>
      <c r="BC445" s="189"/>
      <c r="BD445" s="189"/>
      <c r="BE445" s="189"/>
      <c r="BF445" s="189"/>
      <c r="BG445" s="189"/>
    </row>
    <row r="446" spans="1:59" ht="15.75" customHeight="1" x14ac:dyDescent="0.2">
      <c r="A446" s="162"/>
      <c r="B446" s="162"/>
      <c r="C446" s="227" t="s">
        <v>170</v>
      </c>
      <c r="D446" s="258"/>
      <c r="E446" s="258"/>
      <c r="F446" s="258"/>
      <c r="G446" s="258"/>
      <c r="H446" s="258"/>
      <c r="I446" s="258"/>
      <c r="J446" s="258"/>
      <c r="K446" s="258"/>
      <c r="L446" s="258"/>
      <c r="M446" s="258"/>
      <c r="N446" s="258"/>
      <c r="O446" s="258"/>
      <c r="P446" s="258"/>
      <c r="Q446" s="258"/>
      <c r="R446" s="259"/>
      <c r="S446" s="260"/>
      <c r="T446" s="258"/>
      <c r="U446" s="258"/>
      <c r="V446" s="258"/>
      <c r="W446" s="258"/>
      <c r="X446" s="258"/>
      <c r="Y446" s="258"/>
      <c r="Z446" s="258"/>
      <c r="AA446" s="258"/>
      <c r="AB446" s="258"/>
      <c r="AC446" s="258"/>
      <c r="AD446" s="258"/>
      <c r="AE446" s="258"/>
      <c r="AF446" s="147"/>
      <c r="AG446" s="147"/>
      <c r="AH446" s="182"/>
      <c r="AI446" s="209"/>
      <c r="AJ446" s="209"/>
      <c r="AK446" s="147"/>
      <c r="AL446" s="147"/>
      <c r="AM446" s="147"/>
      <c r="AN446" s="84"/>
      <c r="AO446" s="147"/>
      <c r="AP446" s="147"/>
      <c r="AQ446" s="147"/>
      <c r="AR446" s="147"/>
      <c r="AS446" s="147"/>
      <c r="AT446" s="147"/>
      <c r="AU446" s="147"/>
      <c r="AV446" s="147"/>
      <c r="AW446" s="147"/>
      <c r="AX446" s="147"/>
      <c r="AY446" s="147"/>
      <c r="AZ446" s="147"/>
      <c r="BA446" s="147"/>
      <c r="BB446" s="147"/>
      <c r="BC446" s="147"/>
      <c r="BD446" s="147"/>
      <c r="BE446" s="147"/>
      <c r="BF446" s="147"/>
      <c r="BG446" s="147"/>
    </row>
    <row r="447" spans="1:59" ht="15.75" customHeight="1" x14ac:dyDescent="0.2">
      <c r="A447" s="189"/>
      <c r="B447" s="189"/>
      <c r="C447" s="190" t="s">
        <v>19</v>
      </c>
      <c r="D447" s="172">
        <f t="shared" ref="D447:AE447" si="321">D181</f>
        <v>54.614537196017523</v>
      </c>
      <c r="E447" s="172">
        <f t="shared" si="321"/>
        <v>49.11373625312261</v>
      </c>
      <c r="F447" s="172">
        <f t="shared" si="321"/>
        <v>76.757931413617399</v>
      </c>
      <c r="G447" s="172">
        <f t="shared" si="321"/>
        <v>54.118125391903803</v>
      </c>
      <c r="H447" s="172">
        <f t="shared" si="321"/>
        <v>234.60433025466131</v>
      </c>
      <c r="I447" s="172">
        <f t="shared" si="321"/>
        <v>51.389124349999996</v>
      </c>
      <c r="J447" s="172">
        <f t="shared" si="321"/>
        <v>49.519347449999998</v>
      </c>
      <c r="K447" s="172">
        <f t="shared" si="321"/>
        <v>68.12479046</v>
      </c>
      <c r="L447" s="172">
        <f t="shared" si="321"/>
        <v>70.58256603000001</v>
      </c>
      <c r="M447" s="172">
        <f t="shared" si="321"/>
        <v>239.61582829000002</v>
      </c>
      <c r="N447" s="172">
        <f t="shared" si="321"/>
        <v>65.074943730000001</v>
      </c>
      <c r="O447" s="172">
        <f t="shared" si="321"/>
        <v>56.980586039999999</v>
      </c>
      <c r="P447" s="172">
        <f t="shared" si="321"/>
        <v>66.699062359999999</v>
      </c>
      <c r="Q447" s="172">
        <f t="shared" si="321"/>
        <v>65.690786750000001</v>
      </c>
      <c r="R447" s="172">
        <f t="shared" si="321"/>
        <v>254.44537887999999</v>
      </c>
      <c r="S447" s="172">
        <f t="shared" si="321"/>
        <v>84.345831239999995</v>
      </c>
      <c r="T447" s="172">
        <f t="shared" si="321"/>
        <v>78.085622960000009</v>
      </c>
      <c r="U447" s="172">
        <f t="shared" si="321"/>
        <v>79.169216030000001</v>
      </c>
      <c r="V447" s="172">
        <f t="shared" si="321"/>
        <v>72.661764079999998</v>
      </c>
      <c r="W447" s="172">
        <f t="shared" si="321"/>
        <v>314.26243431</v>
      </c>
      <c r="X447" s="172">
        <f t="shared" si="321"/>
        <v>62.359467379999998</v>
      </c>
      <c r="Y447" s="172">
        <f t="shared" si="321"/>
        <v>59.810525759999997</v>
      </c>
      <c r="Z447" s="172">
        <f t="shared" si="321"/>
        <v>68.956531650000002</v>
      </c>
      <c r="AA447" s="172">
        <f t="shared" si="321"/>
        <v>61.836540220000003</v>
      </c>
      <c r="AB447" s="172">
        <f t="shared" si="321"/>
        <v>252.96306501000004</v>
      </c>
      <c r="AC447" s="172">
        <f t="shared" si="321"/>
        <v>58.797082779999997</v>
      </c>
      <c r="AD447" s="172">
        <f t="shared" si="321"/>
        <v>62.479889916367505</v>
      </c>
      <c r="AE447" s="172">
        <f t="shared" si="321"/>
        <v>78.941741930000006</v>
      </c>
      <c r="AF447" s="147"/>
      <c r="AG447" s="147"/>
      <c r="AH447" s="182"/>
      <c r="AI447" s="147"/>
      <c r="AJ447" s="147"/>
      <c r="AK447" s="147"/>
      <c r="AL447" s="147"/>
      <c r="AM447" s="147"/>
      <c r="AN447" s="84"/>
      <c r="AO447" s="147"/>
      <c r="AP447" s="147"/>
      <c r="AQ447" s="147"/>
      <c r="AR447" s="147"/>
      <c r="AS447" s="147"/>
      <c r="AT447" s="147"/>
      <c r="AU447" s="147"/>
      <c r="AV447" s="147"/>
      <c r="AW447" s="147"/>
      <c r="AX447" s="147"/>
      <c r="AY447" s="147"/>
      <c r="AZ447" s="147"/>
      <c r="BA447" s="147"/>
      <c r="BB447" s="147"/>
      <c r="BC447" s="147"/>
      <c r="BD447" s="147"/>
      <c r="BE447" s="147"/>
      <c r="BF447" s="147"/>
      <c r="BG447" s="147"/>
    </row>
    <row r="448" spans="1:59" ht="15.75" customHeight="1" x14ac:dyDescent="0.2">
      <c r="A448" s="189"/>
      <c r="B448" s="189"/>
      <c r="C448" s="190" t="s">
        <v>27</v>
      </c>
      <c r="D448" s="172">
        <f>D199</f>
        <v>2.8945866196960028</v>
      </c>
      <c r="E448" s="172">
        <v>1.4012607007529978</v>
      </c>
      <c r="F448" s="172">
        <v>1.5758499518260061</v>
      </c>
      <c r="G448" s="172">
        <v>4.0919982440986671E-2</v>
      </c>
      <c r="H448" s="172">
        <f>SUM(D448:G448)</f>
        <v>5.9126172547159941</v>
      </c>
      <c r="I448" s="172">
        <v>0.83898056999999993</v>
      </c>
      <c r="J448" s="172">
        <v>1.4516008300000001</v>
      </c>
      <c r="K448" s="172">
        <v>-1.9556637100000001</v>
      </c>
      <c r="L448" s="172">
        <v>-59.215892719999999</v>
      </c>
      <c r="M448" s="172">
        <f>SUM(I448:L448)</f>
        <v>-58.880975030000002</v>
      </c>
      <c r="N448" s="172">
        <v>-4.8392383200000006</v>
      </c>
      <c r="O448" s="172">
        <v>-3.2195672900000001</v>
      </c>
      <c r="P448" s="172">
        <v>-5.0880846500000008</v>
      </c>
      <c r="Q448" s="172">
        <v>-2.7549754599999998</v>
      </c>
      <c r="R448" s="172">
        <f>SUM(N448:Q448)</f>
        <v>-15.90186572</v>
      </c>
      <c r="S448" s="172">
        <v>-4.5064091299999998</v>
      </c>
      <c r="T448" s="172">
        <v>-4.1661374699999998</v>
      </c>
      <c r="U448" s="172">
        <v>-3.6054338399999999</v>
      </c>
      <c r="V448" s="172">
        <v>-3.1</v>
      </c>
      <c r="W448" s="172">
        <f>SUM(S448:V448)</f>
        <v>-15.37798044</v>
      </c>
      <c r="X448" s="172">
        <v>-3.7324600100000001</v>
      </c>
      <c r="Y448" s="172">
        <v>-2.38428657</v>
      </c>
      <c r="Z448" s="172">
        <v>-3.7495891299999999</v>
      </c>
      <c r="AA448" s="172">
        <f t="shared" ref="AA448:AE448" si="322">AA199</f>
        <v>-3.50343187</v>
      </c>
      <c r="AB448" s="172">
        <f t="shared" si="322"/>
        <v>-14.829486109999999</v>
      </c>
      <c r="AC448" s="172">
        <f t="shared" si="322"/>
        <v>0.29407654</v>
      </c>
      <c r="AD448" s="172">
        <f t="shared" si="322"/>
        <v>-2.0367142107120202</v>
      </c>
      <c r="AE448" s="172">
        <f t="shared" si="322"/>
        <v>-1.1511532499999999</v>
      </c>
      <c r="AF448" s="147"/>
      <c r="AG448" s="147"/>
      <c r="AH448" s="182"/>
      <c r="AI448" s="147"/>
      <c r="AJ448" s="147"/>
      <c r="AK448" s="147"/>
      <c r="AL448" s="147"/>
      <c r="AM448" s="147"/>
      <c r="AN448" s="84"/>
      <c r="AO448" s="147"/>
      <c r="AP448" s="147"/>
      <c r="AQ448" s="147"/>
      <c r="AR448" s="147"/>
      <c r="AS448" s="147"/>
      <c r="AT448" s="147"/>
      <c r="AU448" s="147"/>
      <c r="AV448" s="147"/>
      <c r="AW448" s="147"/>
      <c r="AX448" s="147"/>
      <c r="AY448" s="147"/>
      <c r="AZ448" s="147"/>
      <c r="BA448" s="147"/>
      <c r="BB448" s="147"/>
      <c r="BC448" s="147"/>
      <c r="BD448" s="147"/>
      <c r="BE448" s="147"/>
      <c r="BF448" s="147"/>
      <c r="BG448" s="147"/>
    </row>
    <row r="449" spans="1:59" ht="15.75" customHeight="1" x14ac:dyDescent="0.2">
      <c r="A449" s="189"/>
      <c r="B449" s="189"/>
      <c r="C449" s="190" t="s">
        <v>21</v>
      </c>
      <c r="D449" s="172">
        <f t="shared" ref="D449:AE449" si="323">D217</f>
        <v>4.3237826089839988</v>
      </c>
      <c r="E449" s="172">
        <f t="shared" si="323"/>
        <v>3.9978221445719022</v>
      </c>
      <c r="F449" s="172">
        <f t="shared" si="323"/>
        <v>8.3684125349361018</v>
      </c>
      <c r="G449" s="172">
        <f t="shared" si="323"/>
        <v>3.9924460108238975</v>
      </c>
      <c r="H449" s="172">
        <f t="shared" si="323"/>
        <v>20.682463299315899</v>
      </c>
      <c r="I449" s="172">
        <f t="shared" si="323"/>
        <v>11.80882626</v>
      </c>
      <c r="J449" s="172">
        <f t="shared" si="323"/>
        <v>2.2622879700000009</v>
      </c>
      <c r="K449" s="172">
        <f t="shared" si="323"/>
        <v>6.3971340299999992</v>
      </c>
      <c r="L449" s="172">
        <f t="shared" si="323"/>
        <v>1.9632353200000008</v>
      </c>
      <c r="M449" s="172">
        <f t="shared" si="323"/>
        <v>22.431483579999998</v>
      </c>
      <c r="N449" s="172">
        <f t="shared" si="323"/>
        <v>0.23410633000000125</v>
      </c>
      <c r="O449" s="172">
        <f t="shared" si="323"/>
        <v>3.3262838900000009</v>
      </c>
      <c r="P449" s="172">
        <f t="shared" si="323"/>
        <v>3.762149260000001</v>
      </c>
      <c r="Q449" s="172">
        <f t="shared" si="323"/>
        <v>-0.85603522999999981</v>
      </c>
      <c r="R449" s="172">
        <f t="shared" si="323"/>
        <v>6.4665042500000034</v>
      </c>
      <c r="S449" s="172">
        <f t="shared" si="323"/>
        <v>6.11481809</v>
      </c>
      <c r="T449" s="172">
        <f t="shared" si="323"/>
        <v>5.4121469700000002</v>
      </c>
      <c r="U449" s="172">
        <f t="shared" si="323"/>
        <v>5.5756819600000007</v>
      </c>
      <c r="V449" s="172">
        <f t="shared" si="323"/>
        <v>6.6</v>
      </c>
      <c r="W449" s="172">
        <f t="shared" si="323"/>
        <v>23.702647020000001</v>
      </c>
      <c r="X449" s="172">
        <f t="shared" si="323"/>
        <v>14.65329814</v>
      </c>
      <c r="Y449" s="172">
        <f t="shared" si="323"/>
        <v>7.20762079</v>
      </c>
      <c r="Z449" s="172">
        <f t="shared" si="323"/>
        <v>11.544063360000001</v>
      </c>
      <c r="AA449" s="172">
        <f t="shared" si="323"/>
        <v>6.7229253099999999</v>
      </c>
      <c r="AB449" s="172">
        <f t="shared" si="323"/>
        <v>40.1279076</v>
      </c>
      <c r="AC449" s="172">
        <f t="shared" si="323"/>
        <v>11.01654055</v>
      </c>
      <c r="AD449" s="172">
        <f t="shared" si="323"/>
        <v>3.2443818599999998</v>
      </c>
      <c r="AE449" s="172">
        <f t="shared" si="323"/>
        <v>-0.75583343999999997</v>
      </c>
      <c r="AF449" s="147"/>
      <c r="AG449" s="147"/>
      <c r="AH449" s="182"/>
      <c r="AI449" s="147"/>
      <c r="AJ449" s="147"/>
      <c r="AK449" s="147"/>
      <c r="AL449" s="147"/>
      <c r="AM449" s="147"/>
      <c r="AN449" s="84"/>
      <c r="AO449" s="147"/>
      <c r="AP449" s="147"/>
      <c r="AQ449" s="147"/>
      <c r="AR449" s="147"/>
      <c r="AS449" s="147"/>
      <c r="AT449" s="147"/>
      <c r="AU449" s="147"/>
      <c r="AV449" s="147"/>
      <c r="AW449" s="147"/>
      <c r="AX449" s="147"/>
      <c r="AY449" s="147"/>
      <c r="AZ449" s="147"/>
      <c r="BA449" s="147"/>
      <c r="BB449" s="147"/>
      <c r="BC449" s="147"/>
      <c r="BD449" s="147"/>
      <c r="BE449" s="147"/>
      <c r="BF449" s="147"/>
      <c r="BG449" s="147"/>
    </row>
    <row r="450" spans="1:59" ht="15.75" customHeight="1" x14ac:dyDescent="0.2">
      <c r="A450" s="189"/>
      <c r="B450" s="189"/>
      <c r="C450" s="190" t="s">
        <v>23</v>
      </c>
      <c r="D450" s="172">
        <f t="shared" ref="D450:AE450" si="324">D235</f>
        <v>40.992053855725707</v>
      </c>
      <c r="E450" s="172">
        <f t="shared" si="324"/>
        <v>47.277136840625488</v>
      </c>
      <c r="F450" s="172">
        <f t="shared" si="324"/>
        <v>56.869313764117486</v>
      </c>
      <c r="G450" s="172">
        <f t="shared" si="324"/>
        <v>42.414336660468123</v>
      </c>
      <c r="H450" s="172">
        <f t="shared" si="324"/>
        <v>187.55284112093682</v>
      </c>
      <c r="I450" s="172">
        <f t="shared" si="324"/>
        <v>30.288662579999997</v>
      </c>
      <c r="J450" s="172">
        <f t="shared" si="324"/>
        <v>33.433584789999998</v>
      </c>
      <c r="K450" s="172">
        <f t="shared" si="324"/>
        <v>61.879439130000002</v>
      </c>
      <c r="L450" s="172">
        <f t="shared" si="324"/>
        <v>53.507573399999998</v>
      </c>
      <c r="M450" s="172">
        <f t="shared" si="324"/>
        <v>179.10925989999998</v>
      </c>
      <c r="N450" s="172">
        <f t="shared" si="324"/>
        <v>52.555410939999994</v>
      </c>
      <c r="O450" s="172">
        <f t="shared" si="324"/>
        <v>77.342874390000006</v>
      </c>
      <c r="P450" s="172">
        <f t="shared" si="324"/>
        <v>76.552847189999994</v>
      </c>
      <c r="Q450" s="172">
        <f t="shared" si="324"/>
        <v>67.55793903</v>
      </c>
      <c r="R450" s="172">
        <f t="shared" si="324"/>
        <v>274.00907154999999</v>
      </c>
      <c r="S450" s="172">
        <f t="shared" si="324"/>
        <v>87.495717310000003</v>
      </c>
      <c r="T450" s="172">
        <f t="shared" si="324"/>
        <v>85.009159840000009</v>
      </c>
      <c r="U450" s="172">
        <f t="shared" si="324"/>
        <v>100.81799150000001</v>
      </c>
      <c r="V450" s="172">
        <f t="shared" si="324"/>
        <v>95.42420826</v>
      </c>
      <c r="W450" s="172">
        <f t="shared" si="324"/>
        <v>368.74707691000003</v>
      </c>
      <c r="X450" s="172">
        <f t="shared" si="324"/>
        <v>67.021716999999995</v>
      </c>
      <c r="Y450" s="172">
        <f t="shared" si="324"/>
        <v>79.450975049999997</v>
      </c>
      <c r="Z450" s="172">
        <f t="shared" si="324"/>
        <v>105.35136644000001</v>
      </c>
      <c r="AA450" s="172">
        <f t="shared" si="324"/>
        <v>78.90629586</v>
      </c>
      <c r="AB450" s="172">
        <f t="shared" si="324"/>
        <v>330.73035434999997</v>
      </c>
      <c r="AC450" s="172">
        <f t="shared" si="324"/>
        <v>76.757306069999998</v>
      </c>
      <c r="AD450" s="172">
        <f t="shared" si="324"/>
        <v>75.235378668551292</v>
      </c>
      <c r="AE450" s="172">
        <f t="shared" si="324"/>
        <v>108.48443856999999</v>
      </c>
      <c r="AF450" s="147"/>
      <c r="AG450" s="147"/>
      <c r="AH450" s="182"/>
      <c r="AI450" s="147"/>
      <c r="AJ450" s="147"/>
      <c r="AK450" s="147"/>
      <c r="AL450" s="147"/>
      <c r="AM450" s="147"/>
      <c r="AN450" s="84"/>
      <c r="AO450" s="147"/>
      <c r="AP450" s="147"/>
      <c r="AQ450" s="147"/>
      <c r="AR450" s="147"/>
      <c r="AS450" s="147"/>
      <c r="AT450" s="147"/>
      <c r="AU450" s="147"/>
      <c r="AV450" s="147"/>
      <c r="AW450" s="147"/>
      <c r="AX450" s="147"/>
      <c r="AY450" s="147"/>
      <c r="AZ450" s="147"/>
      <c r="BA450" s="147"/>
      <c r="BB450" s="147"/>
      <c r="BC450" s="147"/>
      <c r="BD450" s="147"/>
      <c r="BE450" s="147"/>
      <c r="BF450" s="147"/>
      <c r="BG450" s="147"/>
    </row>
    <row r="451" spans="1:59" ht="15.75" customHeight="1" x14ac:dyDescent="0.2">
      <c r="A451" s="189"/>
      <c r="B451" s="189"/>
      <c r="C451" s="190" t="s">
        <v>25</v>
      </c>
      <c r="D451" s="172">
        <f t="shared" ref="D451:AE451" si="325">D253</f>
        <v>-0.89786180702400165</v>
      </c>
      <c r="E451" s="172">
        <f t="shared" si="325"/>
        <v>0.64220127205301958</v>
      </c>
      <c r="F451" s="172">
        <f t="shared" si="325"/>
        <v>1.3275363130789815</v>
      </c>
      <c r="G451" s="172">
        <f t="shared" si="325"/>
        <v>2.7894970908400452</v>
      </c>
      <c r="H451" s="172">
        <f t="shared" si="325"/>
        <v>3.8613728689480444</v>
      </c>
      <c r="I451" s="172">
        <f t="shared" si="325"/>
        <v>6.8229919999999999E-2</v>
      </c>
      <c r="J451" s="172">
        <f t="shared" si="325"/>
        <v>-0.35569804999999999</v>
      </c>
      <c r="K451" s="172">
        <f t="shared" si="325"/>
        <v>2.2765848799999997</v>
      </c>
      <c r="L451" s="172">
        <f t="shared" si="325"/>
        <v>2.3612931600000002</v>
      </c>
      <c r="M451" s="172">
        <f t="shared" si="325"/>
        <v>4.3504099099999998</v>
      </c>
      <c r="N451" s="172">
        <f t="shared" si="325"/>
        <v>-0.26220684999999999</v>
      </c>
      <c r="O451" s="172">
        <f t="shared" si="325"/>
        <v>3.65328973</v>
      </c>
      <c r="P451" s="172">
        <f t="shared" si="325"/>
        <v>3.99754692</v>
      </c>
      <c r="Q451" s="172">
        <f t="shared" si="325"/>
        <v>3.5687076499999999</v>
      </c>
      <c r="R451" s="172">
        <f t="shared" si="325"/>
        <v>10.957337450000001</v>
      </c>
      <c r="S451" s="172">
        <f t="shared" si="325"/>
        <v>2.13152396</v>
      </c>
      <c r="T451" s="172">
        <f t="shared" si="325"/>
        <v>2.2826401299999999</v>
      </c>
      <c r="U451" s="172">
        <f t="shared" si="325"/>
        <v>2.5062886200000003</v>
      </c>
      <c r="V451" s="172">
        <f t="shared" si="325"/>
        <v>2.4688004700000001</v>
      </c>
      <c r="W451" s="172">
        <f t="shared" si="325"/>
        <v>9.3892531800000008</v>
      </c>
      <c r="X451" s="172">
        <f t="shared" si="325"/>
        <v>2.0635047700000002</v>
      </c>
      <c r="Y451" s="172">
        <f t="shared" si="325"/>
        <v>1.9187751</v>
      </c>
      <c r="Z451" s="172">
        <f t="shared" si="325"/>
        <v>1.16925626</v>
      </c>
      <c r="AA451" s="172">
        <f t="shared" si="325"/>
        <v>1.7999503400000001</v>
      </c>
      <c r="AB451" s="172">
        <f t="shared" si="325"/>
        <v>6.9514864700000008</v>
      </c>
      <c r="AC451" s="172">
        <f t="shared" si="325"/>
        <v>-1.77110422</v>
      </c>
      <c r="AD451" s="172">
        <f t="shared" si="325"/>
        <v>-1.81222907532902</v>
      </c>
      <c r="AE451" s="172">
        <f t="shared" si="325"/>
        <v>0.51515489999999997</v>
      </c>
      <c r="AF451" s="147"/>
      <c r="AG451" s="147"/>
      <c r="AH451" s="182"/>
      <c r="AI451" s="147"/>
      <c r="AJ451" s="147"/>
      <c r="AK451" s="147"/>
      <c r="AL451" s="147"/>
      <c r="AM451" s="147"/>
      <c r="AN451" s="84"/>
      <c r="AO451" s="147"/>
      <c r="AP451" s="147"/>
      <c r="AQ451" s="147"/>
      <c r="AR451" s="147"/>
      <c r="AS451" s="147"/>
      <c r="AT451" s="147"/>
      <c r="AU451" s="147"/>
      <c r="AV451" s="147"/>
      <c r="AW451" s="147"/>
      <c r="AX451" s="147"/>
      <c r="AY451" s="147"/>
      <c r="AZ451" s="147"/>
      <c r="BA451" s="147"/>
      <c r="BB451" s="147"/>
      <c r="BC451" s="147"/>
      <c r="BD451" s="147"/>
      <c r="BE451" s="147"/>
      <c r="BF451" s="147"/>
      <c r="BG451" s="147"/>
    </row>
    <row r="452" spans="1:59" ht="15.75" customHeight="1" x14ac:dyDescent="0.2">
      <c r="A452" s="189"/>
      <c r="B452" s="189"/>
      <c r="C452" s="190" t="s">
        <v>29</v>
      </c>
      <c r="D452" s="172">
        <f t="shared" ref="D452:AE452" si="326">D271</f>
        <v>0.13084722199099641</v>
      </c>
      <c r="E452" s="172">
        <f t="shared" si="326"/>
        <v>-0.98506052516998976</v>
      </c>
      <c r="F452" s="172">
        <f t="shared" si="326"/>
        <v>1.3075210964392012</v>
      </c>
      <c r="G452" s="172">
        <f t="shared" si="326"/>
        <v>3.4330464368271314</v>
      </c>
      <c r="H452" s="172">
        <f t="shared" si="326"/>
        <v>3.8863542300873393</v>
      </c>
      <c r="I452" s="172">
        <f t="shared" si="326"/>
        <v>-5.6103100000000003E-3</v>
      </c>
      <c r="J452" s="172">
        <f t="shared" si="326"/>
        <v>-2.4074126499999999</v>
      </c>
      <c r="K452" s="172">
        <f t="shared" si="326"/>
        <v>-2.00382091</v>
      </c>
      <c r="L452" s="172">
        <f t="shared" si="326"/>
        <v>-3.7111117500000002</v>
      </c>
      <c r="M452" s="172">
        <f t="shared" si="326"/>
        <v>-8.1279556199999998</v>
      </c>
      <c r="N452" s="172">
        <f t="shared" si="326"/>
        <v>-3.5987256099999998</v>
      </c>
      <c r="O452" s="172">
        <f t="shared" si="326"/>
        <v>-0.40965000000000001</v>
      </c>
      <c r="P452" s="172">
        <f t="shared" si="326"/>
        <v>-3.21944506</v>
      </c>
      <c r="Q452" s="172">
        <f t="shared" si="326"/>
        <v>-16.95616875</v>
      </c>
      <c r="R452" s="172">
        <f t="shared" si="326"/>
        <v>-24.18398942</v>
      </c>
      <c r="S452" s="172">
        <f t="shared" si="326"/>
        <v>-1.7660783999999998</v>
      </c>
      <c r="T452" s="172">
        <f t="shared" si="326"/>
        <v>-1.4139233500000001</v>
      </c>
      <c r="U452" s="172">
        <f t="shared" si="326"/>
        <v>-2.1988092900000002</v>
      </c>
      <c r="V452" s="172">
        <f t="shared" si="326"/>
        <v>-0.14299547000000001</v>
      </c>
      <c r="W452" s="172">
        <f t="shared" si="326"/>
        <v>-5.5218065100000002</v>
      </c>
      <c r="X452" s="172">
        <f t="shared" si="326"/>
        <v>-0.36685459999999998</v>
      </c>
      <c r="Y452" s="172">
        <f t="shared" si="326"/>
        <v>-0.56395952999999999</v>
      </c>
      <c r="Z452" s="172">
        <f t="shared" si="326"/>
        <v>-2.3026538699999999</v>
      </c>
      <c r="AA452" s="172">
        <f t="shared" si="326"/>
        <v>-0.60581370000000001</v>
      </c>
      <c r="AB452" s="172">
        <f t="shared" si="326"/>
        <v>-3.8392816999999999</v>
      </c>
      <c r="AC452" s="172">
        <f t="shared" si="326"/>
        <v>-0.40234398999999998</v>
      </c>
      <c r="AD452" s="172">
        <f t="shared" si="326"/>
        <v>-1.91946853656799</v>
      </c>
      <c r="AE452" s="172">
        <f t="shared" si="326"/>
        <v>-2.5616739900000001</v>
      </c>
      <c r="AF452" s="147"/>
      <c r="AG452" s="147"/>
      <c r="AH452" s="182"/>
      <c r="AI452" s="147"/>
      <c r="AJ452" s="147"/>
      <c r="AK452" s="147"/>
      <c r="AL452" s="147"/>
      <c r="AM452" s="147"/>
      <c r="AN452" s="84"/>
      <c r="AO452" s="147"/>
      <c r="AP452" s="147"/>
      <c r="AQ452" s="147"/>
      <c r="AR452" s="147"/>
      <c r="AS452" s="147"/>
      <c r="AT452" s="147"/>
      <c r="AU452" s="147"/>
      <c r="AV452" s="147"/>
      <c r="AW452" s="147"/>
      <c r="AX452" s="147"/>
      <c r="AY452" s="147"/>
      <c r="AZ452" s="147"/>
      <c r="BA452" s="147"/>
      <c r="BB452" s="147"/>
      <c r="BC452" s="147"/>
      <c r="BD452" s="147"/>
      <c r="BE452" s="147"/>
      <c r="BF452" s="147"/>
      <c r="BG452" s="147"/>
    </row>
    <row r="453" spans="1:59" ht="15.75" customHeight="1" x14ac:dyDescent="0.2">
      <c r="A453" s="189"/>
      <c r="B453" s="189"/>
      <c r="C453" s="190" t="s">
        <v>208</v>
      </c>
      <c r="D453" s="172">
        <f t="shared" ref="D453:AE453" si="327">D286</f>
        <v>-14.783127131897198</v>
      </c>
      <c r="E453" s="172">
        <f t="shared" si="327"/>
        <v>-20.560763689790772</v>
      </c>
      <c r="F453" s="172">
        <f t="shared" si="327"/>
        <v>-18.32076787787263</v>
      </c>
      <c r="G453" s="172">
        <f t="shared" si="327"/>
        <v>-21.812606839024902</v>
      </c>
      <c r="H453" s="172">
        <f t="shared" si="327"/>
        <v>-75.477265538585499</v>
      </c>
      <c r="I453" s="172">
        <f t="shared" si="327"/>
        <v>-16.733982779999998</v>
      </c>
      <c r="J453" s="172">
        <f t="shared" si="327"/>
        <v>-18.931541329999998</v>
      </c>
      <c r="K453" s="172">
        <f t="shared" si="327"/>
        <v>-19.503718690000003</v>
      </c>
      <c r="L453" s="172">
        <f t="shared" si="327"/>
        <v>-30.283903329999998</v>
      </c>
      <c r="M453" s="172">
        <f t="shared" si="327"/>
        <v>-85.453146129999993</v>
      </c>
      <c r="N453" s="172">
        <f t="shared" si="327"/>
        <v>-20.224318520000001</v>
      </c>
      <c r="O453" s="172">
        <f t="shared" si="327"/>
        <v>-19.826265020000001</v>
      </c>
      <c r="P453" s="172">
        <f t="shared" si="327"/>
        <v>-19.658838070000002</v>
      </c>
      <c r="Q453" s="172">
        <f t="shared" si="327"/>
        <v>-30.844572809999999</v>
      </c>
      <c r="R453" s="172">
        <f t="shared" si="327"/>
        <v>-90.553994420000009</v>
      </c>
      <c r="S453" s="172">
        <f t="shared" si="327"/>
        <v>-19.058332889999999</v>
      </c>
      <c r="T453" s="172">
        <f t="shared" si="327"/>
        <v>-30.188631820000001</v>
      </c>
      <c r="U453" s="172">
        <f t="shared" si="327"/>
        <v>-27.08040772</v>
      </c>
      <c r="V453" s="172">
        <f t="shared" si="327"/>
        <v>-59.660854790000002</v>
      </c>
      <c r="W453" s="172">
        <f t="shared" si="327"/>
        <v>-135.98822722</v>
      </c>
      <c r="X453" s="172">
        <f t="shared" si="327"/>
        <v>-5.5870605099999997</v>
      </c>
      <c r="Y453" s="172">
        <f t="shared" si="327"/>
        <v>-4.6736323999999998</v>
      </c>
      <c r="Z453" s="172">
        <f t="shared" si="327"/>
        <v>-3.0843246199999999</v>
      </c>
      <c r="AA453" s="172">
        <f t="shared" si="327"/>
        <v>-9.8323172299999992</v>
      </c>
      <c r="AB453" s="172">
        <f t="shared" si="327"/>
        <v>-23.177334760000001</v>
      </c>
      <c r="AC453" s="172">
        <f t="shared" si="327"/>
        <v>-8.3233623199999993</v>
      </c>
      <c r="AD453" s="172">
        <f t="shared" si="327"/>
        <v>14.121191857240001</v>
      </c>
      <c r="AE453" s="172">
        <f t="shared" si="327"/>
        <v>-3.3183631600000001</v>
      </c>
      <c r="AF453" s="147"/>
      <c r="AG453" s="147"/>
      <c r="AH453" s="182"/>
      <c r="AI453" s="147"/>
      <c r="AJ453" s="147"/>
      <c r="AK453" s="147"/>
      <c r="AL453" s="147"/>
      <c r="AM453" s="147"/>
      <c r="AN453" s="84"/>
      <c r="AO453" s="147"/>
      <c r="AP453" s="147"/>
      <c r="AQ453" s="147"/>
      <c r="AR453" s="147"/>
      <c r="AS453" s="147"/>
      <c r="AT453" s="147"/>
      <c r="AU453" s="147"/>
      <c r="AV453" s="147"/>
      <c r="AW453" s="147"/>
      <c r="AX453" s="147"/>
      <c r="AY453" s="147"/>
      <c r="AZ453" s="147"/>
      <c r="BA453" s="147"/>
      <c r="BB453" s="147"/>
      <c r="BC453" s="147"/>
      <c r="BD453" s="147"/>
      <c r="BE453" s="147"/>
      <c r="BF453" s="147"/>
      <c r="BG453" s="147"/>
    </row>
    <row r="454" spans="1:59" ht="15.75" customHeight="1" x14ac:dyDescent="0.2">
      <c r="A454" s="189"/>
      <c r="B454" s="189"/>
      <c r="C454" s="190" t="s">
        <v>212</v>
      </c>
      <c r="D454" s="172">
        <f>D98</f>
        <v>-1.6</v>
      </c>
      <c r="E454" s="172">
        <v>-2.9</v>
      </c>
      <c r="F454" s="172">
        <v>-2.1</v>
      </c>
      <c r="G454" s="172">
        <v>-8.5</v>
      </c>
      <c r="H454" s="172">
        <f>SUM(D454:G454)</f>
        <v>-15.1</v>
      </c>
      <c r="I454" s="172">
        <v>-4.8</v>
      </c>
      <c r="J454" s="172">
        <v>2.5</v>
      </c>
      <c r="K454" s="172">
        <v>-2.1</v>
      </c>
      <c r="L454" s="172">
        <v>6.8</v>
      </c>
      <c r="M454" s="172">
        <f>SUM(I454:L454)</f>
        <v>2.3999999999999995</v>
      </c>
      <c r="N454" s="172">
        <v>-20.726868863940659</v>
      </c>
      <c r="O454" s="172">
        <v>-8.8017164074358991</v>
      </c>
      <c r="P454" s="172">
        <v>-2.5149276601457782</v>
      </c>
      <c r="Q454" s="172">
        <v>3.3983450727818258</v>
      </c>
      <c r="R454" s="172">
        <f>SUM(N454:Q454)</f>
        <v>-28.645167858740511</v>
      </c>
      <c r="S454" s="172">
        <v>-10.207473</v>
      </c>
      <c r="T454" s="172">
        <v>2.2175699999999998</v>
      </c>
      <c r="U454" s="172">
        <v>-15.666905</v>
      </c>
      <c r="V454" s="172">
        <v>-8.0072919999999996</v>
      </c>
      <c r="W454" s="172">
        <f>SUM(S454:V454)</f>
        <v>-31.664099999999998</v>
      </c>
      <c r="X454" s="172">
        <v>21.428274999999999</v>
      </c>
      <c r="Y454" s="172">
        <v>-18.186691230000001</v>
      </c>
      <c r="Z454" s="172">
        <v>-12.859271869999999</v>
      </c>
      <c r="AA454" s="172">
        <v>26.697567840000001</v>
      </c>
      <c r="AB454" s="172">
        <f t="shared" ref="AB454:AE454" si="328">AB98</f>
        <v>17.297034009999997</v>
      </c>
      <c r="AC454" s="172">
        <f t="shared" si="328"/>
        <v>12.0674036</v>
      </c>
      <c r="AD454" s="172">
        <f t="shared" si="328"/>
        <v>18.322319942844398</v>
      </c>
      <c r="AE454" s="172">
        <f t="shared" si="328"/>
        <v>0.41546678999999997</v>
      </c>
      <c r="AF454" s="147"/>
      <c r="AG454" s="147"/>
      <c r="AH454" s="182"/>
      <c r="AI454" s="147"/>
      <c r="AJ454" s="147"/>
      <c r="AK454" s="147"/>
      <c r="AL454" s="147"/>
      <c r="AM454" s="147"/>
      <c r="AN454" s="84"/>
      <c r="AO454" s="147"/>
      <c r="AP454" s="147"/>
      <c r="AQ454" s="147"/>
      <c r="AR454" s="147"/>
      <c r="AS454" s="147"/>
      <c r="AT454" s="147"/>
      <c r="AU454" s="147"/>
      <c r="AV454" s="147"/>
      <c r="AW454" s="147"/>
      <c r="AX454" s="147"/>
      <c r="AY454" s="147"/>
      <c r="AZ454" s="147"/>
      <c r="BA454" s="147"/>
      <c r="BB454" s="147"/>
      <c r="BC454" s="147"/>
      <c r="BD454" s="147"/>
      <c r="BE454" s="147"/>
      <c r="BF454" s="147"/>
      <c r="BG454" s="147"/>
    </row>
    <row r="455" spans="1:59" ht="15.75" customHeight="1" x14ac:dyDescent="0.2">
      <c r="A455" s="162"/>
      <c r="B455" s="162"/>
      <c r="C455" s="214" t="s">
        <v>190</v>
      </c>
      <c r="D455" s="215">
        <f t="shared" ref="D455:AE455" si="329">SUM(D447,D448,D450,D452,D451,D449,D453,D454)</f>
        <v>85.674818563493019</v>
      </c>
      <c r="E455" s="215">
        <f t="shared" si="329"/>
        <v>77.986332996165245</v>
      </c>
      <c r="F455" s="215">
        <f t="shared" si="329"/>
        <v>125.78579719614255</v>
      </c>
      <c r="G455" s="215">
        <f t="shared" si="329"/>
        <v>76.475764734279068</v>
      </c>
      <c r="H455" s="215">
        <f t="shared" si="329"/>
        <v>365.9227134900799</v>
      </c>
      <c r="I455" s="215">
        <f t="shared" si="329"/>
        <v>72.85423059</v>
      </c>
      <c r="J455" s="215">
        <f t="shared" si="329"/>
        <v>67.472169009999988</v>
      </c>
      <c r="K455" s="215">
        <f t="shared" si="329"/>
        <v>113.11474519000001</v>
      </c>
      <c r="L455" s="215">
        <f t="shared" si="329"/>
        <v>42.003760110000002</v>
      </c>
      <c r="M455" s="215">
        <f t="shared" si="329"/>
        <v>295.44490489999998</v>
      </c>
      <c r="N455" s="215">
        <f t="shared" si="329"/>
        <v>68.213102836059335</v>
      </c>
      <c r="O455" s="215">
        <f t="shared" si="329"/>
        <v>109.04583533256412</v>
      </c>
      <c r="P455" s="215">
        <f t="shared" si="329"/>
        <v>120.53031028985423</v>
      </c>
      <c r="Q455" s="215">
        <f t="shared" si="329"/>
        <v>88.80402625278181</v>
      </c>
      <c r="R455" s="215">
        <f t="shared" si="329"/>
        <v>386.59327471125954</v>
      </c>
      <c r="S455" s="215">
        <f t="shared" si="329"/>
        <v>144.54959718000003</v>
      </c>
      <c r="T455" s="215">
        <f t="shared" si="329"/>
        <v>137.23844726000002</v>
      </c>
      <c r="U455" s="215">
        <f t="shared" si="329"/>
        <v>139.51762225999994</v>
      </c>
      <c r="V455" s="215">
        <f t="shared" si="329"/>
        <v>106.24363054999998</v>
      </c>
      <c r="W455" s="215">
        <f t="shared" si="329"/>
        <v>527.54929725</v>
      </c>
      <c r="X455" s="215">
        <f t="shared" si="329"/>
        <v>157.83988717</v>
      </c>
      <c r="Y455" s="215">
        <f t="shared" si="329"/>
        <v>122.57932696999998</v>
      </c>
      <c r="Z455" s="215">
        <f t="shared" si="329"/>
        <v>165.02537822000002</v>
      </c>
      <c r="AA455" s="215">
        <f t="shared" si="329"/>
        <v>162.02171677000001</v>
      </c>
      <c r="AB455" s="215">
        <f t="shared" si="329"/>
        <v>606.22374486999979</v>
      </c>
      <c r="AC455" s="215">
        <f t="shared" si="329"/>
        <v>148.43559901</v>
      </c>
      <c r="AD455" s="215">
        <f t="shared" si="329"/>
        <v>167.63475042239418</v>
      </c>
      <c r="AE455" s="215">
        <f t="shared" si="329"/>
        <v>180.56977835000001</v>
      </c>
      <c r="AF455" s="147"/>
      <c r="AG455" s="147"/>
      <c r="AH455" s="182"/>
      <c r="AI455" s="147"/>
      <c r="AJ455" s="147"/>
      <c r="AK455" s="147"/>
      <c r="AL455" s="147"/>
      <c r="AM455" s="147"/>
      <c r="AN455" s="84"/>
      <c r="AO455" s="147"/>
      <c r="AP455" s="147"/>
      <c r="AQ455" s="147"/>
      <c r="AR455" s="147"/>
      <c r="AS455" s="147"/>
      <c r="AT455" s="147"/>
      <c r="AU455" s="147"/>
      <c r="AV455" s="147"/>
      <c r="AW455" s="147"/>
      <c r="AX455" s="147"/>
      <c r="AY455" s="147"/>
      <c r="AZ455" s="147"/>
      <c r="BA455" s="147"/>
      <c r="BB455" s="147"/>
      <c r="BC455" s="147"/>
      <c r="BD455" s="147"/>
      <c r="BE455" s="147"/>
      <c r="BF455" s="147"/>
      <c r="BG455" s="147"/>
    </row>
    <row r="456" spans="1:59" ht="15.75" customHeight="1" x14ac:dyDescent="0.2">
      <c r="A456" s="189"/>
      <c r="B456" s="189"/>
      <c r="C456" s="55" t="s">
        <v>193</v>
      </c>
      <c r="D456" s="172"/>
      <c r="E456" s="172"/>
      <c r="F456" s="172"/>
      <c r="G456" s="172"/>
      <c r="H456" s="207"/>
      <c r="I456" s="172"/>
      <c r="J456" s="172"/>
      <c r="K456" s="172"/>
      <c r="L456" s="172"/>
      <c r="M456" s="207"/>
      <c r="N456" s="172"/>
      <c r="O456" s="172"/>
      <c r="P456" s="172"/>
      <c r="Q456" s="172"/>
      <c r="R456" s="207"/>
      <c r="S456" s="172"/>
      <c r="T456" s="172"/>
      <c r="U456" s="172"/>
      <c r="V456" s="172"/>
      <c r="W456" s="207"/>
      <c r="X456" s="172"/>
      <c r="Y456" s="172"/>
      <c r="Z456" s="172"/>
      <c r="AA456" s="172"/>
      <c r="AB456" s="207"/>
      <c r="AC456" s="172"/>
      <c r="AD456" s="172"/>
      <c r="AE456" s="172"/>
      <c r="AF456" s="147"/>
      <c r="AG456" s="147"/>
      <c r="AH456" s="182"/>
      <c r="AI456" s="147"/>
      <c r="AJ456" s="147"/>
      <c r="AK456" s="147"/>
      <c r="AL456" s="147"/>
      <c r="AM456" s="147"/>
      <c r="AN456" s="84"/>
      <c r="AO456" s="147"/>
      <c r="AP456" s="147"/>
      <c r="AQ456" s="147"/>
      <c r="AR456" s="147"/>
      <c r="AS456" s="147"/>
      <c r="AT456" s="147"/>
      <c r="AU456" s="147"/>
      <c r="AV456" s="147"/>
      <c r="AW456" s="147"/>
      <c r="AX456" s="147"/>
      <c r="AY456" s="147"/>
      <c r="AZ456" s="147"/>
      <c r="BA456" s="147"/>
      <c r="BB456" s="147"/>
      <c r="BC456" s="147"/>
      <c r="BD456" s="147"/>
      <c r="BE456" s="147"/>
      <c r="BF456" s="147"/>
      <c r="BG456" s="147"/>
    </row>
    <row r="457" spans="1:59" ht="15.75" customHeight="1" x14ac:dyDescent="0.2">
      <c r="A457" s="162"/>
      <c r="B457" s="162"/>
      <c r="C457" s="261"/>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c r="AA457" s="207"/>
      <c r="AB457" s="207"/>
      <c r="AC457" s="207"/>
      <c r="AD457" s="207"/>
      <c r="AE457" s="207"/>
      <c r="AF457" s="147"/>
      <c r="AG457" s="147"/>
      <c r="AH457" s="147"/>
      <c r="AI457" s="147"/>
      <c r="AJ457" s="147"/>
      <c r="AK457" s="147"/>
      <c r="AL457" s="147"/>
      <c r="AM457" s="147"/>
      <c r="AN457" s="84"/>
      <c r="AO457" s="147"/>
      <c r="AP457" s="147"/>
      <c r="AQ457" s="147"/>
      <c r="AR457" s="147"/>
      <c r="AS457" s="147"/>
      <c r="AT457" s="147"/>
      <c r="AU457" s="147"/>
      <c r="AV457" s="147"/>
      <c r="AW457" s="147"/>
      <c r="AX457" s="147"/>
      <c r="AY457" s="147"/>
      <c r="AZ457" s="147"/>
      <c r="BA457" s="147"/>
      <c r="BB457" s="147"/>
      <c r="BC457" s="147"/>
      <c r="BD457" s="147"/>
      <c r="BE457" s="147"/>
      <c r="BF457" s="147"/>
      <c r="BG457" s="147"/>
    </row>
    <row r="458" spans="1:59" ht="15.75" customHeight="1" x14ac:dyDescent="0.2">
      <c r="A458" s="162"/>
      <c r="B458" s="162"/>
      <c r="C458" s="227" t="s">
        <v>244</v>
      </c>
      <c r="D458" s="258"/>
      <c r="E458" s="258"/>
      <c r="F458" s="258"/>
      <c r="G458" s="258"/>
      <c r="H458" s="258"/>
      <c r="I458" s="258"/>
      <c r="J458" s="258"/>
      <c r="K458" s="258"/>
      <c r="L458" s="258"/>
      <c r="M458" s="258"/>
      <c r="N458" s="258"/>
      <c r="O458" s="258"/>
      <c r="P458" s="258"/>
      <c r="Q458" s="258"/>
      <c r="R458" s="259"/>
      <c r="S458" s="260"/>
      <c r="T458" s="258"/>
      <c r="U458" s="258"/>
      <c r="V458" s="258"/>
      <c r="W458" s="258"/>
      <c r="X458" s="258"/>
      <c r="Y458" s="258"/>
      <c r="Z458" s="258"/>
      <c r="AA458" s="258"/>
      <c r="AB458" s="258"/>
      <c r="AC458" s="258"/>
      <c r="AD458" s="258"/>
      <c r="AE458" s="258"/>
      <c r="AF458" s="147"/>
      <c r="AG458" s="147"/>
      <c r="AH458" s="209"/>
      <c r="AI458" s="189"/>
      <c r="AJ458" s="189"/>
      <c r="AK458" s="147"/>
      <c r="AL458" s="147"/>
      <c r="AM458" s="147"/>
      <c r="AN458" s="84"/>
      <c r="AO458" s="147"/>
      <c r="AP458" s="147"/>
      <c r="AQ458" s="147"/>
      <c r="AR458" s="147"/>
      <c r="AS458" s="147"/>
      <c r="AT458" s="147"/>
      <c r="AU458" s="147"/>
      <c r="AV458" s="147"/>
      <c r="AW458" s="147"/>
      <c r="AX458" s="147"/>
      <c r="AY458" s="147"/>
      <c r="AZ458" s="147"/>
      <c r="BA458" s="147"/>
      <c r="BB458" s="147"/>
      <c r="BC458" s="147"/>
      <c r="BD458" s="147"/>
      <c r="BE458" s="147"/>
      <c r="BF458" s="147"/>
      <c r="BG458" s="147"/>
    </row>
    <row r="459" spans="1:59" ht="15.75" customHeight="1" x14ac:dyDescent="0.2">
      <c r="A459" s="189"/>
      <c r="B459" s="189"/>
      <c r="C459" s="190" t="s">
        <v>214</v>
      </c>
      <c r="D459" s="140">
        <f t="shared" ref="D459:AE459" si="330">D447/D63</f>
        <v>0.3593664433843784</v>
      </c>
      <c r="E459" s="140">
        <f t="shared" si="330"/>
        <v>0.3205868837145176</v>
      </c>
      <c r="F459" s="140">
        <f t="shared" si="330"/>
        <v>0.40184508971521143</v>
      </c>
      <c r="G459" s="140">
        <f t="shared" si="330"/>
        <v>0.3142617982035884</v>
      </c>
      <c r="H459" s="140">
        <f t="shared" si="330"/>
        <v>0.35099662332341702</v>
      </c>
      <c r="I459" s="140">
        <f t="shared" si="330"/>
        <v>0.33403778159595138</v>
      </c>
      <c r="J459" s="140">
        <f t="shared" si="330"/>
        <v>0.31748843214403727</v>
      </c>
      <c r="K459" s="140">
        <f t="shared" si="330"/>
        <v>0.38545090657816916</v>
      </c>
      <c r="L459" s="140">
        <f t="shared" si="330"/>
        <v>0.40145242590436925</v>
      </c>
      <c r="M459" s="140">
        <f t="shared" si="330"/>
        <v>0.36175366963369787</v>
      </c>
      <c r="N459" s="140">
        <f t="shared" si="330"/>
        <v>0.39358563718030964</v>
      </c>
      <c r="O459" s="140">
        <f t="shared" si="330"/>
        <v>0.34927065138773983</v>
      </c>
      <c r="P459" s="140">
        <f t="shared" si="330"/>
        <v>0.38211757385233031</v>
      </c>
      <c r="Q459" s="140">
        <f t="shared" si="330"/>
        <v>0.37666223267631838</v>
      </c>
      <c r="R459" s="140">
        <f t="shared" si="330"/>
        <v>0.37560179355784068</v>
      </c>
      <c r="S459" s="140">
        <f t="shared" si="330"/>
        <v>0.45648332488189669</v>
      </c>
      <c r="T459" s="140">
        <f t="shared" si="330"/>
        <v>0.41417450531249062</v>
      </c>
      <c r="U459" s="140">
        <f t="shared" si="330"/>
        <v>0.41394537057409891</v>
      </c>
      <c r="V459" s="140">
        <f t="shared" si="330"/>
        <v>0.36294598592922489</v>
      </c>
      <c r="W459" s="140">
        <f t="shared" si="330"/>
        <v>0.41092873658643808</v>
      </c>
      <c r="X459" s="140">
        <f t="shared" si="330"/>
        <v>0.34255756348861005</v>
      </c>
      <c r="Y459" s="140">
        <f t="shared" si="330"/>
        <v>0.31895475714717125</v>
      </c>
      <c r="Z459" s="140">
        <f t="shared" si="330"/>
        <v>0.3465927491066958</v>
      </c>
      <c r="AA459" s="140">
        <f t="shared" si="330"/>
        <v>0.31131737990445885</v>
      </c>
      <c r="AB459" s="140">
        <f t="shared" si="330"/>
        <v>0.32974593684836317</v>
      </c>
      <c r="AC459" s="140">
        <f t="shared" si="330"/>
        <v>0.3070506304434103</v>
      </c>
      <c r="AD459" s="140">
        <f t="shared" si="330"/>
        <v>0.31261923431492605</v>
      </c>
      <c r="AE459" s="140">
        <f t="shared" si="330"/>
        <v>0.35826060503738455</v>
      </c>
      <c r="AF459" s="147"/>
      <c r="AG459" s="147"/>
      <c r="AH459" s="147"/>
      <c r="AI459" s="189"/>
      <c r="AJ459" s="189"/>
      <c r="AK459" s="147"/>
      <c r="AL459" s="147"/>
      <c r="AM459" s="147"/>
      <c r="AN459" s="84"/>
      <c r="AO459" s="147"/>
      <c r="AP459" s="147"/>
      <c r="AQ459" s="147"/>
      <c r="AR459" s="147"/>
      <c r="AS459" s="147"/>
      <c r="AT459" s="147"/>
      <c r="AU459" s="147"/>
      <c r="AV459" s="147"/>
      <c r="AW459" s="147"/>
      <c r="AX459" s="147"/>
      <c r="AY459" s="147"/>
      <c r="AZ459" s="147"/>
      <c r="BA459" s="147"/>
      <c r="BB459" s="147"/>
      <c r="BC459" s="147"/>
      <c r="BD459" s="147"/>
      <c r="BE459" s="147"/>
      <c r="BF459" s="147"/>
      <c r="BG459" s="147"/>
    </row>
    <row r="460" spans="1:59" ht="15.75" customHeight="1" x14ac:dyDescent="0.2">
      <c r="A460" s="189"/>
      <c r="B460" s="189"/>
      <c r="C460" s="190" t="s">
        <v>215</v>
      </c>
      <c r="D460" s="140">
        <f t="shared" ref="D460:AE460" si="331">D448/D64</f>
        <v>0.16989472527316932</v>
      </c>
      <c r="E460" s="140">
        <f t="shared" si="331"/>
        <v>7.1426811360647796E-2</v>
      </c>
      <c r="F460" s="140">
        <f t="shared" si="331"/>
        <v>7.6809740774591823E-2</v>
      </c>
      <c r="G460" s="140">
        <f t="shared" si="331"/>
        <v>2.1854346894155806E-3</v>
      </c>
      <c r="H460" s="140">
        <f t="shared" si="331"/>
        <v>7.7904306674706256E-2</v>
      </c>
      <c r="I460" s="140">
        <f t="shared" si="331"/>
        <v>4.2085717945773149E-2</v>
      </c>
      <c r="J460" s="140">
        <f t="shared" si="331"/>
        <v>5.9743381858428382E-2</v>
      </c>
      <c r="K460" s="140">
        <f t="shared" si="331"/>
        <v>-0.11717300037630086</v>
      </c>
      <c r="L460" s="140">
        <f t="shared" si="331"/>
        <v>-3.9421478056594568</v>
      </c>
      <c r="M460" s="140">
        <f t="shared" si="331"/>
        <v>-0.77532168021733427</v>
      </c>
      <c r="N460" s="140">
        <f t="shared" si="331"/>
        <v>-0.46848477204398081</v>
      </c>
      <c r="O460" s="140">
        <f t="shared" si="331"/>
        <v>-0.2709863322880639</v>
      </c>
      <c r="P460" s="140">
        <f t="shared" si="331"/>
        <v>-0.47600092296240909</v>
      </c>
      <c r="Q460" s="140">
        <f t="shared" si="331"/>
        <v>-0.33537470450608065</v>
      </c>
      <c r="R460" s="140">
        <f t="shared" si="331"/>
        <v>-0.38677189122125033</v>
      </c>
      <c r="S460" s="140">
        <f t="shared" si="331"/>
        <v>-0.55906408331398649</v>
      </c>
      <c r="T460" s="140">
        <f t="shared" si="331"/>
        <v>-0.46083976656937437</v>
      </c>
      <c r="U460" s="140">
        <f t="shared" si="331"/>
        <v>-0.37231587072459676</v>
      </c>
      <c r="V460" s="140">
        <f t="shared" si="331"/>
        <v>-0.25222876907215225</v>
      </c>
      <c r="W460" s="140">
        <f t="shared" si="331"/>
        <v>-0.3935485384724578</v>
      </c>
      <c r="X460" s="140">
        <f t="shared" si="331"/>
        <v>-0.32447738378053598</v>
      </c>
      <c r="Y460" s="140">
        <f t="shared" si="331"/>
        <v>-0.21089570571370156</v>
      </c>
      <c r="Z460" s="140">
        <f t="shared" si="331"/>
        <v>-0.25293645156816785</v>
      </c>
      <c r="AA460" s="140">
        <f t="shared" si="331"/>
        <v>-0.20277027210127546</v>
      </c>
      <c r="AB460" s="140">
        <f t="shared" si="331"/>
        <v>-0.27006606924214288</v>
      </c>
      <c r="AC460" s="140">
        <f t="shared" si="331"/>
        <v>1.333397460010639E-2</v>
      </c>
      <c r="AD460" s="140">
        <f t="shared" si="331"/>
        <v>-0.10098504678589997</v>
      </c>
      <c r="AE460" s="140">
        <f t="shared" si="331"/>
        <v>-5.4941934914968703E-2</v>
      </c>
      <c r="AF460" s="147"/>
      <c r="AG460" s="147"/>
      <c r="AH460" s="147"/>
      <c r="AI460" s="189"/>
      <c r="AJ460" s="189"/>
      <c r="AK460" s="147"/>
      <c r="AL460" s="147"/>
      <c r="AM460" s="147"/>
      <c r="AN460" s="84"/>
      <c r="AO460" s="147"/>
      <c r="AP460" s="147"/>
      <c r="AQ460" s="147"/>
      <c r="AR460" s="147"/>
      <c r="AS460" s="147"/>
      <c r="AT460" s="147"/>
      <c r="AU460" s="147"/>
      <c r="AV460" s="147"/>
      <c r="AW460" s="147"/>
      <c r="AX460" s="147"/>
      <c r="AY460" s="147"/>
      <c r="AZ460" s="147"/>
      <c r="BA460" s="147"/>
      <c r="BB460" s="147"/>
      <c r="BC460" s="147"/>
      <c r="BD460" s="147"/>
      <c r="BE460" s="147"/>
      <c r="BF460" s="147"/>
      <c r="BG460" s="147"/>
    </row>
    <row r="461" spans="1:59" ht="15.75" customHeight="1" x14ac:dyDescent="0.2">
      <c r="A461" s="189"/>
      <c r="B461" s="189"/>
      <c r="C461" s="190" t="s">
        <v>216</v>
      </c>
      <c r="D461" s="140">
        <f t="shared" ref="D461:AE461" si="332">D449/D65</f>
        <v>8.9143186642654151E-2</v>
      </c>
      <c r="E461" s="140">
        <f t="shared" si="332"/>
        <v>8.0127403713581319E-2</v>
      </c>
      <c r="F461" s="140">
        <f t="shared" si="332"/>
        <v>0.15096912450504471</v>
      </c>
      <c r="G461" s="140">
        <f t="shared" si="332"/>
        <v>7.4351957191851115E-2</v>
      </c>
      <c r="H461" s="140">
        <f t="shared" si="332"/>
        <v>9.9662524448857578E-2</v>
      </c>
      <c r="I461" s="140">
        <f t="shared" si="332"/>
        <v>0.22043222355377307</v>
      </c>
      <c r="J461" s="140">
        <f t="shared" si="332"/>
        <v>5.035726894893474E-2</v>
      </c>
      <c r="K461" s="140">
        <f t="shared" si="332"/>
        <v>0.14624817663956458</v>
      </c>
      <c r="L461" s="140">
        <f t="shared" si="332"/>
        <v>5.3064913184231205E-2</v>
      </c>
      <c r="M461" s="140">
        <f t="shared" si="332"/>
        <v>0.12515160575142001</v>
      </c>
      <c r="N461" s="140">
        <f t="shared" si="332"/>
        <v>6.5282785098703996E-3</v>
      </c>
      <c r="O461" s="140">
        <f t="shared" si="332"/>
        <v>9.2513824240582798E-2</v>
      </c>
      <c r="P461" s="140">
        <f t="shared" si="332"/>
        <v>9.7124195342637998E-2</v>
      </c>
      <c r="Q461" s="140">
        <f t="shared" si="332"/>
        <v>-2.3900849550106185E-2</v>
      </c>
      <c r="R461" s="140">
        <f t="shared" si="332"/>
        <v>4.4180266441100381E-2</v>
      </c>
      <c r="S461" s="140">
        <f t="shared" si="332"/>
        <v>0.14307393102918109</v>
      </c>
      <c r="T461" s="140">
        <f t="shared" si="332"/>
        <v>0.1248316835654384</v>
      </c>
      <c r="U461" s="140">
        <f t="shared" si="332"/>
        <v>0.11518005404357259</v>
      </c>
      <c r="V461" s="140">
        <f t="shared" si="332"/>
        <v>0.11967448379391477</v>
      </c>
      <c r="W461" s="140">
        <f t="shared" si="332"/>
        <v>0.12497940432338786</v>
      </c>
      <c r="X461" s="140">
        <f t="shared" si="332"/>
        <v>0.23224837328544193</v>
      </c>
      <c r="Y461" s="140">
        <f t="shared" si="332"/>
        <v>0.121062936381877</v>
      </c>
      <c r="Z461" s="140">
        <f t="shared" si="332"/>
        <v>0.17456919846561475</v>
      </c>
      <c r="AA461" s="140">
        <f t="shared" si="332"/>
        <v>0.1192353396312263</v>
      </c>
      <c r="AB461" s="140">
        <f t="shared" si="332"/>
        <v>0.16369256981510258</v>
      </c>
      <c r="AC461" s="140">
        <f t="shared" si="332"/>
        <v>0.20405354005776877</v>
      </c>
      <c r="AD461" s="140">
        <f t="shared" si="332"/>
        <v>6.8519591938914853E-2</v>
      </c>
      <c r="AE461" s="140">
        <f t="shared" si="332"/>
        <v>-1.9153888331160402E-2</v>
      </c>
      <c r="AF461" s="147"/>
      <c r="AG461" s="147"/>
      <c r="AH461" s="147"/>
      <c r="AI461" s="189"/>
      <c r="AJ461" s="189"/>
      <c r="AK461" s="147"/>
      <c r="AL461" s="147"/>
      <c r="AM461" s="147"/>
      <c r="AN461" s="84"/>
      <c r="AO461" s="147"/>
      <c r="AP461" s="147"/>
      <c r="AQ461" s="147"/>
      <c r="AR461" s="147"/>
      <c r="AS461" s="147"/>
      <c r="AT461" s="147"/>
      <c r="AU461" s="147"/>
      <c r="AV461" s="147"/>
      <c r="AW461" s="147"/>
      <c r="AX461" s="147"/>
      <c r="AY461" s="147"/>
      <c r="AZ461" s="147"/>
      <c r="BA461" s="147"/>
      <c r="BB461" s="147"/>
      <c r="BC461" s="147"/>
      <c r="BD461" s="147"/>
      <c r="BE461" s="147"/>
      <c r="BF461" s="147"/>
      <c r="BG461" s="147"/>
    </row>
    <row r="462" spans="1:59" ht="15.75" customHeight="1" x14ac:dyDescent="0.2">
      <c r="A462" s="189"/>
      <c r="B462" s="189"/>
      <c r="C462" s="190" t="s">
        <v>217</v>
      </c>
      <c r="D462" s="140">
        <f t="shared" ref="D462:AE462" si="333">D450/D66</f>
        <v>0.2924880243753516</v>
      </c>
      <c r="E462" s="140">
        <f t="shared" si="333"/>
        <v>0.30376811841297902</v>
      </c>
      <c r="F462" s="140">
        <f t="shared" si="333"/>
        <v>0.35274982169154934</v>
      </c>
      <c r="G462" s="140">
        <f t="shared" si="333"/>
        <v>0.28970350207190126</v>
      </c>
      <c r="H462" s="140">
        <f t="shared" si="333"/>
        <v>0.31082245563519467</v>
      </c>
      <c r="I462" s="140">
        <f t="shared" si="333"/>
        <v>0.22056216926785216</v>
      </c>
      <c r="J462" s="140">
        <f t="shared" si="333"/>
        <v>0.22633504518194611</v>
      </c>
      <c r="K462" s="140">
        <f t="shared" si="333"/>
        <v>0.36372038921012906</v>
      </c>
      <c r="L462" s="140">
        <f t="shared" si="333"/>
        <v>0.30487492123571558</v>
      </c>
      <c r="M462" s="140">
        <f t="shared" si="333"/>
        <v>0.28399485086289739</v>
      </c>
      <c r="N462" s="140">
        <f t="shared" si="333"/>
        <v>0.2879805824863278</v>
      </c>
      <c r="O462" s="140">
        <f t="shared" si="333"/>
        <v>0.34646827890094151</v>
      </c>
      <c r="P462" s="140">
        <f t="shared" si="333"/>
        <v>0.32251299693092983</v>
      </c>
      <c r="Q462" s="140">
        <f t="shared" si="333"/>
        <v>0.26558988058520122</v>
      </c>
      <c r="R462" s="140">
        <f t="shared" si="333"/>
        <v>0.30531565983233605</v>
      </c>
      <c r="S462" s="140">
        <f t="shared" si="333"/>
        <v>0.35496073581666227</v>
      </c>
      <c r="T462" s="140">
        <f t="shared" si="333"/>
        <v>0.33505699519795823</v>
      </c>
      <c r="U462" s="140">
        <f t="shared" si="333"/>
        <v>0.36237884975156864</v>
      </c>
      <c r="V462" s="140">
        <f t="shared" si="333"/>
        <v>0.32274039803440963</v>
      </c>
      <c r="W462" s="140">
        <f t="shared" si="333"/>
        <v>0.34331122042647533</v>
      </c>
      <c r="X462" s="140">
        <f t="shared" si="333"/>
        <v>0.26424366524070736</v>
      </c>
      <c r="Y462" s="140">
        <f t="shared" si="333"/>
        <v>0.30295687721303916</v>
      </c>
      <c r="Z462" s="140">
        <f t="shared" si="333"/>
        <v>0.32983475279788516</v>
      </c>
      <c r="AA462" s="140">
        <f t="shared" si="333"/>
        <v>0.26725201933593973</v>
      </c>
      <c r="AB462" s="140">
        <f t="shared" si="333"/>
        <v>0.29254068247556669</v>
      </c>
      <c r="AC462" s="140">
        <f t="shared" si="333"/>
        <v>0.27782109811169103</v>
      </c>
      <c r="AD462" s="140">
        <f t="shared" si="333"/>
        <v>0.24726884888202302</v>
      </c>
      <c r="AE462" s="140">
        <f t="shared" si="333"/>
        <v>0.33453104081244706</v>
      </c>
      <c r="AF462" s="147"/>
      <c r="AG462" s="147"/>
      <c r="AH462" s="147"/>
      <c r="AI462" s="189"/>
      <c r="AJ462" s="189"/>
      <c r="AK462" s="147"/>
      <c r="AL462" s="147"/>
      <c r="AM462" s="147"/>
      <c r="AN462" s="84"/>
      <c r="AO462" s="147"/>
      <c r="AP462" s="147"/>
      <c r="AQ462" s="147"/>
      <c r="AR462" s="147"/>
      <c r="AS462" s="147"/>
      <c r="AT462" s="147"/>
      <c r="AU462" s="147"/>
      <c r="AV462" s="147"/>
      <c r="AW462" s="147"/>
      <c r="AX462" s="147"/>
      <c r="AY462" s="147"/>
      <c r="AZ462" s="147"/>
      <c r="BA462" s="147"/>
      <c r="BB462" s="147"/>
      <c r="BC462" s="147"/>
      <c r="BD462" s="147"/>
      <c r="BE462" s="147"/>
      <c r="BF462" s="147"/>
      <c r="BG462" s="147"/>
    </row>
    <row r="463" spans="1:59" ht="15.75" customHeight="1" x14ac:dyDescent="0.2">
      <c r="A463" s="189"/>
      <c r="B463" s="189"/>
      <c r="C463" s="190" t="s">
        <v>218</v>
      </c>
      <c r="D463" s="140">
        <f t="shared" ref="D463:AE463" si="334">D451/D67</f>
        <v>-0.11730718237719558</v>
      </c>
      <c r="E463" s="140">
        <f t="shared" si="334"/>
        <v>6.8770163105564885E-2</v>
      </c>
      <c r="F463" s="140">
        <f t="shared" si="334"/>
        <v>0.13453710045047274</v>
      </c>
      <c r="G463" s="140">
        <f t="shared" si="334"/>
        <v>0.29445266951823584</v>
      </c>
      <c r="H463" s="140">
        <f t="shared" si="334"/>
        <v>0.1062765801433878</v>
      </c>
      <c r="I463" s="140">
        <f t="shared" si="334"/>
        <v>8.4119442341024416E-3</v>
      </c>
      <c r="J463" s="140">
        <f t="shared" si="334"/>
        <v>-4.1760981852675828E-2</v>
      </c>
      <c r="K463" s="140">
        <f t="shared" si="334"/>
        <v>0.2198698528521329</v>
      </c>
      <c r="L463" s="140">
        <f t="shared" si="334"/>
        <v>0.2484550082067464</v>
      </c>
      <c r="M463" s="140">
        <f t="shared" si="334"/>
        <v>0.11923277745810219</v>
      </c>
      <c r="N463" s="140">
        <f t="shared" si="334"/>
        <v>-2.7861696134625899E-2</v>
      </c>
      <c r="O463" s="140">
        <f t="shared" si="334"/>
        <v>0.35716254358877847</v>
      </c>
      <c r="P463" s="140">
        <f t="shared" si="334"/>
        <v>0.37482261499397779</v>
      </c>
      <c r="Q463" s="140">
        <f t="shared" si="334"/>
        <v>0.31066086179283309</v>
      </c>
      <c r="R463" s="140">
        <f t="shared" si="334"/>
        <v>0.26218553288116253</v>
      </c>
      <c r="S463" s="140">
        <f t="shared" si="334"/>
        <v>0.18718413044031587</v>
      </c>
      <c r="T463" s="140">
        <f t="shared" si="334"/>
        <v>0.19864412702946585</v>
      </c>
      <c r="U463" s="140">
        <f t="shared" si="334"/>
        <v>0.21144234395023745</v>
      </c>
      <c r="V463" s="140">
        <f t="shared" si="334"/>
        <v>0.19586205485703517</v>
      </c>
      <c r="W463" s="140">
        <f t="shared" si="334"/>
        <v>0.19835122536162425</v>
      </c>
      <c r="X463" s="140">
        <f t="shared" si="334"/>
        <v>0.17320259479398908</v>
      </c>
      <c r="Y463" s="140">
        <f t="shared" si="334"/>
        <v>0.17270426705649494</v>
      </c>
      <c r="Z463" s="140">
        <f t="shared" si="334"/>
        <v>8.358355952289992E-2</v>
      </c>
      <c r="AA463" s="140">
        <f t="shared" si="334"/>
        <v>0.12741132595803994</v>
      </c>
      <c r="AB463" s="140">
        <f t="shared" si="334"/>
        <v>0.1359301104427639</v>
      </c>
      <c r="AC463" s="140">
        <f t="shared" si="334"/>
        <v>-0.12737666712032675</v>
      </c>
      <c r="AD463" s="140">
        <f t="shared" si="334"/>
        <v>-0.14331728941941077</v>
      </c>
      <c r="AE463" s="140">
        <f t="shared" si="334"/>
        <v>3.9464722827857186E-2</v>
      </c>
      <c r="AF463" s="147"/>
      <c r="AG463" s="147"/>
      <c r="AH463" s="147"/>
      <c r="AI463" s="189"/>
      <c r="AJ463" s="189"/>
      <c r="AK463" s="147"/>
      <c r="AL463" s="147"/>
      <c r="AM463" s="147"/>
      <c r="AN463" s="84"/>
      <c r="AO463" s="147"/>
      <c r="AP463" s="147"/>
      <c r="AQ463" s="147"/>
      <c r="AR463" s="147"/>
      <c r="AS463" s="147"/>
      <c r="AT463" s="147"/>
      <c r="AU463" s="147"/>
      <c r="AV463" s="147"/>
      <c r="AW463" s="147"/>
      <c r="AX463" s="147"/>
      <c r="AY463" s="147"/>
      <c r="AZ463" s="147"/>
      <c r="BA463" s="147"/>
      <c r="BB463" s="147"/>
      <c r="BC463" s="147"/>
      <c r="BD463" s="147"/>
      <c r="BE463" s="147"/>
      <c r="BF463" s="147"/>
      <c r="BG463" s="147"/>
    </row>
    <row r="464" spans="1:59" ht="15.75" customHeight="1" x14ac:dyDescent="0.2">
      <c r="A464" s="189"/>
      <c r="B464" s="189"/>
      <c r="C464" s="190" t="s">
        <v>219</v>
      </c>
      <c r="D464" s="140">
        <f t="shared" ref="D464:AE464" si="335">D452/D68</f>
        <v>5.9577486053125012E-3</v>
      </c>
      <c r="E464" s="140">
        <f t="shared" si="335"/>
        <v>-3.394726201644676E-2</v>
      </c>
      <c r="F464" s="140">
        <f t="shared" si="335"/>
        <v>0.10332763409736492</v>
      </c>
      <c r="G464" s="140">
        <f t="shared" si="335"/>
        <v>0.15410243077343591</v>
      </c>
      <c r="H464" s="140">
        <f t="shared" si="335"/>
        <v>4.5236598451630722E-2</v>
      </c>
      <c r="I464" s="140">
        <f t="shared" si="335"/>
        <v>-9.2558437013072199E-4</v>
      </c>
      <c r="J464" s="140">
        <f t="shared" si="335"/>
        <v>-0.43523528829111569</v>
      </c>
      <c r="K464" s="140">
        <f t="shared" si="335"/>
        <v>-0.54249308044951172</v>
      </c>
      <c r="L464" s="140">
        <f t="shared" si="335"/>
        <v>-1.6689572126075214</v>
      </c>
      <c r="M464" s="140">
        <f t="shared" si="335"/>
        <v>-0.46418940537031345</v>
      </c>
      <c r="N464" s="140">
        <f t="shared" si="335"/>
        <v>-1.2192262718044846</v>
      </c>
      <c r="O464" s="140">
        <f t="shared" si="335"/>
        <v>-0.14135847781619815</v>
      </c>
      <c r="P464" s="140">
        <f t="shared" si="335"/>
        <v>-1.5356675142442859</v>
      </c>
      <c r="Q464" s="140">
        <f t="shared" si="335"/>
        <v>-4.8617343058935223</v>
      </c>
      <c r="R464" s="140">
        <f t="shared" si="335"/>
        <v>-2.1229566874202952</v>
      </c>
      <c r="S464" s="140">
        <f t="shared" si="335"/>
        <v>-0.12955619283890743</v>
      </c>
      <c r="T464" s="140">
        <f t="shared" si="335"/>
        <v>-0.3660797816061932</v>
      </c>
      <c r="U464" s="140">
        <f t="shared" si="335"/>
        <v>-0.48708778448676276</v>
      </c>
      <c r="V464" s="140">
        <f t="shared" si="335"/>
        <v>-7.9831787197577012E-2</v>
      </c>
      <c r="W464" s="140">
        <f t="shared" si="335"/>
        <v>-0.23201357705649764</v>
      </c>
      <c r="X464" s="140">
        <f t="shared" si="335"/>
        <v>-5.2447464893824951E-2</v>
      </c>
      <c r="Y464" s="140">
        <f t="shared" si="335"/>
        <v>-7.0804150142592906E-2</v>
      </c>
      <c r="Z464" s="140">
        <f t="shared" si="335"/>
        <v>-0.3959534105765809</v>
      </c>
      <c r="AA464" s="140">
        <f t="shared" si="335"/>
        <v>-0.26127556356776749</v>
      </c>
      <c r="AB464" s="140">
        <f t="shared" si="335"/>
        <v>-0.16624647687035815</v>
      </c>
      <c r="AC464" s="140">
        <f t="shared" si="335"/>
        <v>-4.2579152540992454E-2</v>
      </c>
      <c r="AD464" s="140">
        <f t="shared" si="335"/>
        <v>-0.19706532656625653</v>
      </c>
      <c r="AE464" s="140">
        <f t="shared" si="335"/>
        <v>-0.83760927230225102</v>
      </c>
      <c r="AF464" s="147"/>
      <c r="AG464" s="147"/>
      <c r="AH464" s="147"/>
      <c r="AI464" s="147"/>
      <c r="AJ464" s="147"/>
      <c r="AK464" s="147"/>
      <c r="AL464" s="147"/>
      <c r="AM464" s="147"/>
      <c r="AN464" s="84"/>
      <c r="AO464" s="147"/>
      <c r="AP464" s="147"/>
      <c r="AQ464" s="147"/>
      <c r="AR464" s="147"/>
      <c r="AS464" s="147"/>
      <c r="AT464" s="147"/>
      <c r="AU464" s="147"/>
      <c r="AV464" s="147"/>
      <c r="AW464" s="147"/>
      <c r="AX464" s="147"/>
      <c r="AY464" s="147"/>
      <c r="AZ464" s="147"/>
      <c r="BA464" s="147"/>
      <c r="BB464" s="147"/>
      <c r="BC464" s="147"/>
      <c r="BD464" s="147"/>
      <c r="BE464" s="147"/>
      <c r="BF464" s="147"/>
      <c r="BG464" s="147"/>
    </row>
    <row r="465" spans="1:59" ht="15.75" customHeight="1" x14ac:dyDescent="0.2">
      <c r="A465" s="162"/>
      <c r="B465" s="162"/>
      <c r="C465" s="206" t="s">
        <v>244</v>
      </c>
      <c r="D465" s="262">
        <f t="shared" ref="D465:AE465" si="336">D455/D70</f>
        <v>0.22122058602853126</v>
      </c>
      <c r="E465" s="262">
        <f t="shared" si="336"/>
        <v>0.18743549760320091</v>
      </c>
      <c r="F465" s="262">
        <f t="shared" si="336"/>
        <v>0.27869881220307385</v>
      </c>
      <c r="G465" s="262">
        <f t="shared" si="336"/>
        <v>0.18088575720431985</v>
      </c>
      <c r="H465" s="262">
        <f t="shared" si="336"/>
        <v>0.21813967118145566</v>
      </c>
      <c r="I465" s="262">
        <f t="shared" si="336"/>
        <v>0.19230576010185479</v>
      </c>
      <c r="J465" s="262">
        <f t="shared" si="336"/>
        <v>0.17436464872317375</v>
      </c>
      <c r="K465" s="262">
        <f t="shared" si="336"/>
        <v>0.26845814691517111</v>
      </c>
      <c r="L465" s="262">
        <f t="shared" si="336"/>
        <v>0.10119674699585739</v>
      </c>
      <c r="M465" s="262">
        <f t="shared" si="336"/>
        <v>0.18439654086715984</v>
      </c>
      <c r="N465" s="262">
        <f t="shared" si="336"/>
        <v>0.16785161402638543</v>
      </c>
      <c r="O465" s="262">
        <f t="shared" si="336"/>
        <v>0.24376787633711541</v>
      </c>
      <c r="P465" s="262">
        <f t="shared" si="336"/>
        <v>0.2542291556150732</v>
      </c>
      <c r="Q465" s="262">
        <f t="shared" si="336"/>
        <v>0.18205841842718504</v>
      </c>
      <c r="R465" s="262">
        <f t="shared" si="336"/>
        <v>0.21293314588110743</v>
      </c>
      <c r="S465" s="262">
        <f t="shared" si="336"/>
        <v>0.28505948925258029</v>
      </c>
      <c r="T465" s="262">
        <f t="shared" si="336"/>
        <v>0.26909606376194151</v>
      </c>
      <c r="U465" s="262">
        <f t="shared" si="336"/>
        <v>0.25650085174255344</v>
      </c>
      <c r="V465" s="262">
        <f t="shared" si="336"/>
        <v>0.18390651530416557</v>
      </c>
      <c r="W465" s="262">
        <f t="shared" si="336"/>
        <v>0.24666650237326262</v>
      </c>
      <c r="X465" s="262">
        <f t="shared" si="336"/>
        <v>0.29825124282620818</v>
      </c>
      <c r="Y465" s="262">
        <f t="shared" si="336"/>
        <v>0.22717944597832176</v>
      </c>
      <c r="Z465" s="262">
        <f t="shared" si="336"/>
        <v>0.26656652291133254</v>
      </c>
      <c r="AA465" s="262">
        <f t="shared" si="336"/>
        <v>0.27742212452103815</v>
      </c>
      <c r="AB465" s="262">
        <f t="shared" si="336"/>
        <v>0.26683651984936974</v>
      </c>
      <c r="AC465" s="262">
        <f t="shared" si="336"/>
        <v>0.26030422834896522</v>
      </c>
      <c r="AD465" s="262">
        <f t="shared" si="336"/>
        <v>0.28243464764201709</v>
      </c>
      <c r="AE465" s="262">
        <f t="shared" si="336"/>
        <v>0.29190780169268055</v>
      </c>
      <c r="AF465" s="147"/>
      <c r="AG465" s="147"/>
      <c r="AH465" s="147"/>
      <c r="AI465" s="147"/>
      <c r="AJ465" s="147"/>
      <c r="AK465" s="147"/>
      <c r="AL465" s="147"/>
      <c r="AM465" s="147"/>
      <c r="AN465" s="84"/>
      <c r="AO465" s="147"/>
      <c r="AP465" s="147"/>
      <c r="AQ465" s="147"/>
      <c r="AR465" s="147"/>
      <c r="AS465" s="147"/>
      <c r="AT465" s="147"/>
      <c r="AU465" s="147"/>
      <c r="AV465" s="147"/>
      <c r="AW465" s="147"/>
      <c r="AX465" s="147"/>
      <c r="AY465" s="147"/>
      <c r="AZ465" s="147"/>
      <c r="BA465" s="147"/>
      <c r="BB465" s="147"/>
      <c r="BC465" s="147"/>
      <c r="BD465" s="147"/>
      <c r="BE465" s="147"/>
      <c r="BF465" s="147"/>
      <c r="BG465" s="147"/>
    </row>
    <row r="466" spans="1:59" ht="15.75" customHeight="1" x14ac:dyDescent="0.2">
      <c r="A466" s="162"/>
      <c r="B466" s="162"/>
      <c r="C466" s="206"/>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147"/>
      <c r="AG466" s="147"/>
      <c r="AH466" s="147"/>
      <c r="AI466" s="147"/>
      <c r="AJ466" s="147"/>
      <c r="AK466" s="147"/>
      <c r="AL466" s="147"/>
      <c r="AM466" s="147"/>
      <c r="AN466" s="84"/>
      <c r="AO466" s="147"/>
      <c r="AP466" s="147"/>
      <c r="AQ466" s="147"/>
      <c r="AR466" s="147"/>
      <c r="AS466" s="147"/>
      <c r="AT466" s="147"/>
      <c r="AU466" s="147"/>
      <c r="AV466" s="147"/>
      <c r="AW466" s="147"/>
      <c r="AX466" s="147"/>
      <c r="AY466" s="147"/>
      <c r="AZ466" s="147"/>
      <c r="BA466" s="147"/>
      <c r="BB466" s="147"/>
      <c r="BC466" s="147"/>
      <c r="BD466" s="147"/>
      <c r="BE466" s="147"/>
      <c r="BF466" s="147"/>
      <c r="BG466" s="147"/>
    </row>
    <row r="467" spans="1:59" ht="15.75" customHeight="1" x14ac:dyDescent="0.2">
      <c r="A467" s="162"/>
      <c r="B467" s="162"/>
      <c r="C467" s="206"/>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147"/>
      <c r="AG467" s="147"/>
      <c r="AH467" s="147"/>
      <c r="AI467" s="147"/>
      <c r="AJ467" s="147"/>
      <c r="AK467" s="147"/>
      <c r="AL467" s="147"/>
      <c r="AM467" s="147"/>
      <c r="AN467" s="189"/>
      <c r="AO467" s="147"/>
      <c r="AP467" s="147"/>
      <c r="AQ467" s="147"/>
      <c r="AR467" s="147"/>
      <c r="AS467" s="147"/>
      <c r="AT467" s="147"/>
      <c r="AU467" s="147"/>
      <c r="AV467" s="147"/>
      <c r="AW467" s="147"/>
      <c r="AX467" s="147"/>
      <c r="AY467" s="147"/>
      <c r="AZ467" s="147"/>
      <c r="BA467" s="147"/>
      <c r="BB467" s="147"/>
      <c r="BC467" s="147"/>
      <c r="BD467" s="147"/>
      <c r="BE467" s="147"/>
      <c r="BF467" s="147"/>
      <c r="BG467" s="147"/>
    </row>
    <row r="468" spans="1:59" ht="15.75" customHeight="1" x14ac:dyDescent="0.2">
      <c r="A468" s="162"/>
      <c r="B468" s="162"/>
      <c r="C468" s="206"/>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147"/>
      <c r="AG468" s="147"/>
      <c r="AH468" s="147"/>
      <c r="AI468" s="147"/>
      <c r="AJ468" s="147"/>
      <c r="AK468" s="147"/>
      <c r="AL468" s="147"/>
      <c r="AM468" s="147"/>
      <c r="AN468" s="189"/>
      <c r="AO468" s="147"/>
      <c r="AP468" s="147"/>
      <c r="AQ468" s="147"/>
      <c r="AR468" s="147"/>
      <c r="AS468" s="147"/>
      <c r="AT468" s="147"/>
      <c r="AU468" s="147"/>
      <c r="AV468" s="147"/>
      <c r="AW468" s="147"/>
      <c r="AX468" s="147"/>
      <c r="AY468" s="147"/>
      <c r="AZ468" s="147"/>
      <c r="BA468" s="147"/>
      <c r="BB468" s="147"/>
      <c r="BC468" s="147"/>
      <c r="BD468" s="147"/>
      <c r="BE468" s="147"/>
      <c r="BF468" s="147"/>
      <c r="BG468" s="147"/>
    </row>
    <row r="469" spans="1:59" ht="15.75" customHeight="1" x14ac:dyDescent="0.2">
      <c r="A469" s="162"/>
      <c r="B469" s="162"/>
      <c r="C469" s="206"/>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147"/>
      <c r="AG469" s="147"/>
      <c r="AH469" s="147"/>
      <c r="AI469" s="147"/>
      <c r="AJ469" s="147"/>
      <c r="AK469" s="147"/>
      <c r="AL469" s="147"/>
      <c r="AM469" s="147"/>
      <c r="AN469" s="189"/>
      <c r="AO469" s="147"/>
      <c r="AP469" s="147"/>
      <c r="AQ469" s="147"/>
      <c r="AR469" s="147"/>
      <c r="AS469" s="147"/>
      <c r="AT469" s="147"/>
      <c r="AU469" s="147"/>
      <c r="AV469" s="147"/>
      <c r="AW469" s="147"/>
      <c r="AX469" s="147"/>
      <c r="AY469" s="147"/>
      <c r="AZ469" s="147"/>
      <c r="BA469" s="147"/>
      <c r="BB469" s="147"/>
      <c r="BC469" s="147"/>
      <c r="BD469" s="147"/>
      <c r="BE469" s="147"/>
      <c r="BF469" s="147"/>
      <c r="BG469" s="147"/>
    </row>
    <row r="470" spans="1:59" ht="15.75" customHeight="1" x14ac:dyDescent="0.2">
      <c r="A470" s="162"/>
      <c r="B470" s="162"/>
      <c r="C470" s="206"/>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147"/>
      <c r="AG470" s="147"/>
      <c r="AH470" s="189"/>
      <c r="AI470" s="147"/>
      <c r="AJ470" s="147"/>
      <c r="AK470" s="147"/>
      <c r="AL470" s="147"/>
      <c r="AM470" s="147"/>
      <c r="AN470" s="189"/>
      <c r="AO470" s="147"/>
      <c r="AP470" s="147"/>
      <c r="AQ470" s="147"/>
      <c r="AR470" s="147"/>
      <c r="AS470" s="147"/>
      <c r="AT470" s="147"/>
      <c r="AU470" s="147"/>
      <c r="AV470" s="147"/>
      <c r="AW470" s="147"/>
      <c r="AX470" s="147"/>
      <c r="AY470" s="147"/>
      <c r="AZ470" s="147"/>
      <c r="BA470" s="147"/>
      <c r="BB470" s="147"/>
      <c r="BC470" s="147"/>
      <c r="BD470" s="147"/>
      <c r="BE470" s="147"/>
      <c r="BF470" s="147"/>
      <c r="BG470" s="147"/>
    </row>
    <row r="471" spans="1:59" ht="15.75" customHeight="1" x14ac:dyDescent="0.2">
      <c r="A471" s="162"/>
      <c r="B471" s="162"/>
      <c r="C471" s="206"/>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147"/>
      <c r="AG471" s="147"/>
      <c r="AH471" s="189"/>
      <c r="AI471" s="147"/>
      <c r="AJ471" s="147"/>
      <c r="AK471" s="147"/>
      <c r="AL471" s="147"/>
      <c r="AM471" s="147"/>
      <c r="AN471" s="195"/>
      <c r="AO471" s="147"/>
      <c r="AP471" s="147"/>
      <c r="AQ471" s="147"/>
      <c r="AR471" s="147"/>
      <c r="AS471" s="147"/>
      <c r="AT471" s="147"/>
      <c r="AU471" s="147"/>
      <c r="AV471" s="147"/>
      <c r="AW471" s="147"/>
      <c r="AX471" s="147"/>
      <c r="AY471" s="147"/>
      <c r="AZ471" s="147"/>
      <c r="BA471" s="147"/>
      <c r="BB471" s="147"/>
      <c r="BC471" s="147"/>
      <c r="BD471" s="147"/>
      <c r="BE471" s="147"/>
      <c r="BF471" s="147"/>
      <c r="BG471" s="147"/>
    </row>
    <row r="472" spans="1:59" ht="15.75" customHeight="1" x14ac:dyDescent="0.2">
      <c r="A472" s="162"/>
      <c r="B472" s="162"/>
      <c r="C472" s="206"/>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147"/>
      <c r="AG472" s="147"/>
      <c r="AH472" s="189"/>
      <c r="AI472" s="147"/>
      <c r="AJ472" s="147"/>
      <c r="AK472" s="147"/>
      <c r="AL472" s="147"/>
      <c r="AM472" s="147"/>
      <c r="AN472" s="189"/>
      <c r="AO472" s="147"/>
      <c r="AP472" s="147"/>
      <c r="AQ472" s="147"/>
      <c r="AR472" s="147"/>
      <c r="AS472" s="147"/>
      <c r="AT472" s="147"/>
      <c r="AU472" s="147"/>
      <c r="AV472" s="147"/>
      <c r="AW472" s="147"/>
      <c r="AX472" s="147"/>
      <c r="AY472" s="147"/>
      <c r="AZ472" s="147"/>
      <c r="BA472" s="147"/>
      <c r="BB472" s="147"/>
      <c r="BC472" s="147"/>
      <c r="BD472" s="147"/>
      <c r="BE472" s="147"/>
      <c r="BF472" s="147"/>
      <c r="BG472" s="147"/>
    </row>
    <row r="473" spans="1:59" ht="15.75" customHeight="1" x14ac:dyDescent="0.2">
      <c r="A473" s="162"/>
      <c r="B473" s="162"/>
      <c r="C473" s="206"/>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147"/>
      <c r="AG473" s="147"/>
      <c r="AH473" s="189"/>
      <c r="AI473" s="147"/>
      <c r="AJ473" s="147"/>
      <c r="AK473" s="147"/>
      <c r="AL473" s="147"/>
      <c r="AM473" s="147"/>
      <c r="AN473" s="195"/>
      <c r="AO473" s="147"/>
      <c r="AP473" s="147"/>
      <c r="AQ473" s="147"/>
      <c r="AR473" s="147"/>
      <c r="AS473" s="147"/>
      <c r="AT473" s="147"/>
      <c r="AU473" s="147"/>
      <c r="AV473" s="147"/>
      <c r="AW473" s="147"/>
      <c r="AX473" s="147"/>
      <c r="AY473" s="147"/>
      <c r="AZ473" s="147"/>
      <c r="BA473" s="147"/>
      <c r="BB473" s="147"/>
      <c r="BC473" s="147"/>
      <c r="BD473" s="147"/>
      <c r="BE473" s="147"/>
      <c r="BF473" s="147"/>
      <c r="BG473" s="147"/>
    </row>
    <row r="474" spans="1:59" ht="15.75" customHeight="1" x14ac:dyDescent="0.2">
      <c r="A474" s="162"/>
      <c r="B474" s="162"/>
      <c r="C474" s="206"/>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147"/>
      <c r="AG474" s="147"/>
      <c r="AH474" s="189"/>
      <c r="AI474" s="147"/>
      <c r="AJ474" s="147"/>
      <c r="AK474" s="147"/>
      <c r="AL474" s="147"/>
      <c r="AM474" s="147"/>
      <c r="AN474" s="189"/>
      <c r="AO474" s="147"/>
      <c r="AP474" s="147"/>
      <c r="AQ474" s="147"/>
      <c r="AR474" s="147"/>
      <c r="AS474" s="147"/>
      <c r="AT474" s="147"/>
      <c r="AU474" s="147"/>
      <c r="AV474" s="147"/>
      <c r="AW474" s="147"/>
      <c r="AX474" s="147"/>
      <c r="AY474" s="147"/>
      <c r="AZ474" s="147"/>
      <c r="BA474" s="147"/>
      <c r="BB474" s="147"/>
      <c r="BC474" s="147"/>
      <c r="BD474" s="147"/>
      <c r="BE474" s="147"/>
      <c r="BF474" s="147"/>
      <c r="BG474" s="147"/>
    </row>
    <row r="475" spans="1:59" ht="15.75" customHeight="1" x14ac:dyDescent="0.2">
      <c r="A475" s="162"/>
      <c r="B475" s="162"/>
      <c r="C475" s="206"/>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147"/>
      <c r="AG475" s="147"/>
      <c r="AH475" s="189"/>
      <c r="AI475" s="147"/>
      <c r="AJ475" s="147"/>
      <c r="AK475" s="147"/>
      <c r="AL475" s="147"/>
      <c r="AM475" s="147"/>
      <c r="AN475" s="195"/>
      <c r="AO475" s="147"/>
      <c r="AP475" s="147"/>
      <c r="AQ475" s="147"/>
      <c r="AR475" s="147"/>
      <c r="AS475" s="147"/>
      <c r="AT475" s="147"/>
      <c r="AU475" s="147"/>
      <c r="AV475" s="147"/>
      <c r="AW475" s="147"/>
      <c r="AX475" s="147"/>
      <c r="AY475" s="147"/>
      <c r="AZ475" s="147"/>
      <c r="BA475" s="147"/>
      <c r="BB475" s="147"/>
      <c r="BC475" s="147"/>
      <c r="BD475" s="147"/>
      <c r="BE475" s="147"/>
      <c r="BF475" s="147"/>
      <c r="BG475" s="147"/>
    </row>
    <row r="476" spans="1:59" ht="15.75" customHeight="1" x14ac:dyDescent="0.2">
      <c r="A476" s="162"/>
      <c r="B476" s="162"/>
      <c r="C476" s="206"/>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147"/>
      <c r="AG476" s="147"/>
      <c r="AH476" s="147"/>
      <c r="AI476" s="147"/>
      <c r="AJ476" s="147"/>
      <c r="AK476" s="147"/>
      <c r="AL476" s="147"/>
      <c r="AM476" s="147"/>
      <c r="AN476" s="189"/>
      <c r="AO476" s="147"/>
      <c r="AP476" s="147"/>
      <c r="AQ476" s="147"/>
      <c r="AR476" s="147"/>
      <c r="AS476" s="147"/>
      <c r="AT476" s="147"/>
      <c r="AU476" s="147"/>
      <c r="AV476" s="147"/>
      <c r="AW476" s="147"/>
      <c r="AX476" s="147"/>
      <c r="AY476" s="147"/>
      <c r="AZ476" s="147"/>
      <c r="BA476" s="147"/>
      <c r="BB476" s="147"/>
      <c r="BC476" s="147"/>
      <c r="BD476" s="147"/>
      <c r="BE476" s="147"/>
      <c r="BF476" s="147"/>
      <c r="BG476" s="147"/>
    </row>
    <row r="477" spans="1:59" ht="15.75" customHeight="1" x14ac:dyDescent="0.2">
      <c r="A477" s="162"/>
      <c r="B477" s="162"/>
      <c r="C477" s="206"/>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147"/>
      <c r="AG477" s="147"/>
      <c r="AH477" s="147"/>
      <c r="AI477" s="147"/>
      <c r="AJ477" s="147"/>
      <c r="AK477" s="147"/>
      <c r="AL477" s="147"/>
      <c r="AM477" s="147"/>
      <c r="AN477" s="195"/>
      <c r="AO477" s="147"/>
      <c r="AP477" s="147"/>
      <c r="AQ477" s="147"/>
      <c r="AR477" s="147"/>
      <c r="AS477" s="147"/>
      <c r="AT477" s="147"/>
      <c r="AU477" s="147"/>
      <c r="AV477" s="147"/>
      <c r="AW477" s="147"/>
      <c r="AX477" s="147"/>
      <c r="AY477" s="147"/>
      <c r="AZ477" s="147"/>
      <c r="BA477" s="147"/>
      <c r="BB477" s="147"/>
      <c r="BC477" s="147"/>
      <c r="BD477" s="147"/>
      <c r="BE477" s="147"/>
      <c r="BF477" s="147"/>
      <c r="BG477" s="147"/>
    </row>
    <row r="478" spans="1:59" ht="15.75" customHeight="1" x14ac:dyDescent="0.2">
      <c r="A478" s="162"/>
      <c r="B478" s="162"/>
      <c r="C478" s="206"/>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147"/>
      <c r="AG478" s="147"/>
      <c r="AH478" s="147"/>
      <c r="AI478" s="147"/>
      <c r="AJ478" s="147"/>
      <c r="AK478" s="147"/>
      <c r="AL478" s="147"/>
      <c r="AM478" s="147"/>
      <c r="AN478" s="189"/>
      <c r="AO478" s="147"/>
      <c r="AP478" s="147"/>
      <c r="AQ478" s="147"/>
      <c r="AR478" s="147"/>
      <c r="AS478" s="147"/>
      <c r="AT478" s="147"/>
      <c r="AU478" s="147"/>
      <c r="AV478" s="147"/>
      <c r="AW478" s="147"/>
      <c r="AX478" s="147"/>
      <c r="AY478" s="147"/>
      <c r="AZ478" s="147"/>
      <c r="BA478" s="147"/>
      <c r="BB478" s="147"/>
      <c r="BC478" s="147"/>
      <c r="BD478" s="147"/>
      <c r="BE478" s="147"/>
      <c r="BF478" s="147"/>
      <c r="BG478" s="147"/>
    </row>
    <row r="479" spans="1:59" ht="15.75" customHeight="1" x14ac:dyDescent="0.2">
      <c r="A479" s="162"/>
      <c r="B479" s="162"/>
      <c r="C479" s="206"/>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row>
    <row r="480" spans="1:59" ht="15.75" customHeight="1" x14ac:dyDescent="0.2">
      <c r="A480" s="162"/>
      <c r="B480" s="162"/>
      <c r="C480" s="206"/>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147"/>
      <c r="AG480" s="147"/>
      <c r="AH480" s="147"/>
      <c r="AI480" s="189"/>
      <c r="AJ480" s="189"/>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row>
    <row r="481" spans="1:59" ht="15.75" customHeight="1" x14ac:dyDescent="0.2">
      <c r="A481" s="162"/>
      <c r="B481" s="162"/>
      <c r="C481" s="206"/>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147"/>
      <c r="AG481" s="147"/>
      <c r="AH481" s="147"/>
      <c r="AI481" s="189"/>
      <c r="AJ481" s="189"/>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row>
    <row r="482" spans="1:59" ht="15.75" customHeight="1" x14ac:dyDescent="0.2">
      <c r="A482" s="162"/>
      <c r="B482" s="162"/>
      <c r="C482" s="206"/>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147"/>
      <c r="AG482" s="147"/>
      <c r="AH482" s="147"/>
      <c r="AI482" s="189"/>
      <c r="AJ482" s="189"/>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row>
    <row r="483" spans="1:59" ht="15.75" customHeight="1" x14ac:dyDescent="0.2">
      <c r="A483" s="162"/>
      <c r="B483" s="162"/>
      <c r="C483" s="206"/>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147"/>
      <c r="AG483" s="147"/>
      <c r="AH483" s="147"/>
      <c r="AI483" s="189"/>
      <c r="AJ483" s="189"/>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row>
    <row r="484" spans="1:59" ht="15.75" customHeight="1" x14ac:dyDescent="0.2">
      <c r="A484" s="162"/>
      <c r="B484" s="162"/>
      <c r="C484" s="206"/>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147"/>
      <c r="AG484" s="147"/>
      <c r="AH484" s="147"/>
      <c r="AI484" s="189"/>
      <c r="AJ484" s="189"/>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row>
    <row r="485" spans="1:59" ht="15.75" customHeight="1" x14ac:dyDescent="0.2">
      <c r="A485" s="162"/>
      <c r="B485" s="162"/>
      <c r="C485" s="206"/>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147"/>
      <c r="AG485" s="147"/>
      <c r="AH485" s="147"/>
      <c r="AI485" s="189"/>
      <c r="AJ485" s="189"/>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row>
    <row r="486" spans="1:59" ht="15.75" customHeight="1" x14ac:dyDescent="0.2">
      <c r="A486" s="162"/>
      <c r="B486" s="162"/>
      <c r="C486" s="206"/>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147"/>
      <c r="AG486" s="147"/>
      <c r="AH486" s="147"/>
      <c r="AI486" s="189"/>
      <c r="AJ486" s="189"/>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row>
    <row r="487" spans="1:59" ht="15.75" customHeight="1" x14ac:dyDescent="0.2">
      <c r="A487" s="162"/>
      <c r="B487" s="162"/>
      <c r="C487" s="206"/>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row>
    <row r="488" spans="1:59" ht="15.75" customHeight="1" x14ac:dyDescent="0.2">
      <c r="A488" s="162"/>
      <c r="B488" s="162"/>
      <c r="C488" s="206"/>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row>
    <row r="489" spans="1:59" ht="15.75" customHeight="1" x14ac:dyDescent="0.2">
      <c r="A489" s="162"/>
      <c r="B489" s="162"/>
      <c r="C489" s="206"/>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147"/>
      <c r="AG489" s="147"/>
      <c r="AH489" s="147"/>
      <c r="AI489" s="195"/>
      <c r="AJ489" s="195"/>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row>
    <row r="490" spans="1:59" ht="15.75" customHeight="1" x14ac:dyDescent="0.2">
      <c r="A490" s="162"/>
      <c r="B490" s="162"/>
      <c r="C490" s="206"/>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147"/>
      <c r="AG490" s="147"/>
      <c r="AH490" s="147"/>
      <c r="AI490" s="195"/>
      <c r="AJ490" s="195"/>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row>
    <row r="491" spans="1:59" ht="15.75" customHeight="1" x14ac:dyDescent="0.2">
      <c r="A491" s="162"/>
      <c r="B491" s="162"/>
      <c r="C491" s="206"/>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147"/>
      <c r="AG491" s="147"/>
      <c r="AH491" s="147"/>
      <c r="AI491" s="195"/>
      <c r="AJ491" s="195"/>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row>
    <row r="492" spans="1:59" ht="15.75" customHeight="1" x14ac:dyDescent="0.2">
      <c r="A492" s="162"/>
      <c r="B492" s="162"/>
      <c r="C492" s="206"/>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147"/>
      <c r="AG492" s="147"/>
      <c r="AH492" s="189"/>
      <c r="AI492" s="195"/>
      <c r="AJ492" s="195"/>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row>
    <row r="493" spans="1:59" ht="15.75" customHeight="1" x14ac:dyDescent="0.2">
      <c r="A493" s="162"/>
      <c r="B493" s="162"/>
      <c r="C493" s="206"/>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147"/>
      <c r="AG493" s="147"/>
      <c r="AH493" s="189"/>
      <c r="AI493" s="195"/>
      <c r="AJ493" s="195"/>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row>
    <row r="494" spans="1:59" ht="15.75" customHeight="1" x14ac:dyDescent="0.2">
      <c r="A494" s="162"/>
      <c r="B494" s="162"/>
      <c r="C494" s="206"/>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147"/>
      <c r="AG494" s="147"/>
      <c r="AH494" s="189"/>
      <c r="AI494" s="195"/>
      <c r="AJ494" s="195"/>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row>
    <row r="495" spans="1:59" ht="15.75" customHeight="1" x14ac:dyDescent="0.2">
      <c r="A495" s="162"/>
      <c r="B495" s="162"/>
      <c r="C495" s="206"/>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147"/>
      <c r="AG495" s="147"/>
      <c r="AH495" s="189"/>
      <c r="AI495" s="195"/>
      <c r="AJ495" s="195"/>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row>
    <row r="496" spans="1:59" ht="15.75" customHeight="1" x14ac:dyDescent="0.2">
      <c r="A496" s="162"/>
      <c r="B496" s="162"/>
      <c r="C496" s="206"/>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147"/>
      <c r="AG496" s="147"/>
      <c r="AH496" s="189"/>
      <c r="AI496" s="195"/>
      <c r="AJ496" s="195"/>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row>
    <row r="497" spans="1:59" ht="15.75" customHeight="1" x14ac:dyDescent="0.2">
      <c r="A497" s="162"/>
      <c r="B497" s="162"/>
      <c r="C497" s="206"/>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147"/>
      <c r="AG497" s="147"/>
      <c r="AH497" s="189"/>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row>
    <row r="498" spans="1:59" ht="15.75" customHeight="1" x14ac:dyDescent="0.2">
      <c r="A498" s="162"/>
      <c r="B498" s="162"/>
      <c r="C498" s="206"/>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147"/>
      <c r="AG498" s="147"/>
      <c r="AH498" s="189"/>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row>
    <row r="499" spans="1:59" ht="15.75" customHeight="1" x14ac:dyDescent="0.2">
      <c r="A499" s="162"/>
      <c r="B499" s="162"/>
      <c r="C499" s="206"/>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row>
    <row r="500" spans="1:59" ht="15.75" customHeight="1" x14ac:dyDescent="0.2">
      <c r="A500" s="162"/>
      <c r="B500" s="162"/>
      <c r="C500" s="206"/>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row>
    <row r="501" spans="1:59" ht="15.75" customHeight="1" x14ac:dyDescent="0.2">
      <c r="A501" s="162"/>
      <c r="B501" s="162"/>
      <c r="C501" s="206"/>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147"/>
      <c r="AG501" s="147"/>
      <c r="AH501" s="195"/>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row>
    <row r="502" spans="1:59" ht="15.75" customHeight="1" x14ac:dyDescent="0.2">
      <c r="A502" s="162"/>
      <c r="B502" s="162"/>
      <c r="C502" s="206"/>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147"/>
      <c r="AG502" s="147"/>
      <c r="AH502" s="195"/>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row>
    <row r="503" spans="1:59" ht="15.75" customHeight="1" x14ac:dyDescent="0.2">
      <c r="A503" s="162"/>
      <c r="B503" s="162"/>
      <c r="C503" s="206"/>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147"/>
      <c r="AG503" s="147"/>
      <c r="AH503" s="195"/>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row>
    <row r="504" spans="1:59" ht="15.75" customHeight="1" x14ac:dyDescent="0.2">
      <c r="A504" s="162"/>
      <c r="B504" s="162"/>
      <c r="C504" s="206"/>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147"/>
      <c r="AG504" s="147"/>
      <c r="AH504" s="195"/>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row>
    <row r="505" spans="1:59" ht="15.75" customHeight="1" x14ac:dyDescent="0.2">
      <c r="A505" s="162"/>
      <c r="B505" s="162"/>
      <c r="C505" s="206"/>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147"/>
      <c r="AG505" s="147"/>
      <c r="AH505" s="195"/>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row>
    <row r="506" spans="1:59" ht="15.75" customHeight="1" x14ac:dyDescent="0.2">
      <c r="A506" s="162"/>
      <c r="B506" s="162"/>
      <c r="C506" s="206"/>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147"/>
      <c r="AG506" s="147"/>
      <c r="AH506" s="195"/>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row>
    <row r="507" spans="1:59" ht="15.75" customHeight="1" x14ac:dyDescent="0.2">
      <c r="A507" s="162"/>
      <c r="B507" s="162"/>
      <c r="C507" s="206"/>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147"/>
      <c r="AG507" s="147"/>
      <c r="AH507" s="195"/>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row>
    <row r="508" spans="1:59" ht="15.75" customHeight="1" x14ac:dyDescent="0.2">
      <c r="A508" s="162"/>
      <c r="B508" s="162"/>
      <c r="C508" s="206"/>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147"/>
      <c r="AG508" s="147"/>
      <c r="AH508" s="195"/>
      <c r="AI508" s="161"/>
      <c r="AJ508" s="161"/>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row>
    <row r="509" spans="1:59" ht="15.75" customHeight="1" x14ac:dyDescent="0.2">
      <c r="A509" s="162"/>
      <c r="B509" s="162"/>
      <c r="C509" s="206"/>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147"/>
      <c r="AG509" s="147"/>
      <c r="AH509" s="147"/>
      <c r="AI509" s="195"/>
      <c r="AJ509" s="195"/>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row>
    <row r="510" spans="1:59" ht="15.75" customHeight="1" x14ac:dyDescent="0.2">
      <c r="A510" s="162"/>
      <c r="B510" s="162"/>
      <c r="C510" s="206"/>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row>
    <row r="511" spans="1:59" ht="15.75" customHeight="1" x14ac:dyDescent="0.2">
      <c r="A511" s="162"/>
      <c r="B511" s="162"/>
      <c r="C511" s="206"/>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147"/>
      <c r="AG511" s="147"/>
      <c r="AH511" s="147"/>
      <c r="AI511" s="157"/>
      <c r="AJ511" s="15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row>
    <row r="512" spans="1:59" ht="15.75" customHeight="1" x14ac:dyDescent="0.2">
      <c r="A512" s="162"/>
      <c r="B512" s="162"/>
      <c r="C512" s="206"/>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147"/>
      <c r="AG512" s="147"/>
      <c r="AH512" s="147"/>
      <c r="AI512" s="195"/>
      <c r="AJ512" s="195"/>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row>
    <row r="513" spans="1:59" ht="15.75" customHeight="1" x14ac:dyDescent="0.2">
      <c r="A513" s="162"/>
      <c r="B513" s="162"/>
      <c r="C513" s="206"/>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147"/>
      <c r="AG513" s="147"/>
      <c r="AH513" s="147"/>
      <c r="AI513" s="220"/>
      <c r="AJ513" s="220"/>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row>
    <row r="514" spans="1:59" ht="15.75" customHeight="1" x14ac:dyDescent="0.2">
      <c r="A514" s="162"/>
      <c r="B514" s="162"/>
      <c r="C514" s="206"/>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147"/>
      <c r="AG514" s="147"/>
      <c r="AH514" s="147"/>
      <c r="AI514" s="220"/>
      <c r="AJ514" s="220"/>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row>
    <row r="515" spans="1:59" ht="15.75" customHeight="1" x14ac:dyDescent="0.2">
      <c r="A515" s="162"/>
      <c r="B515" s="162"/>
      <c r="C515" s="206"/>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147"/>
      <c r="AG515" s="147"/>
      <c r="AH515" s="147"/>
      <c r="AI515" s="220"/>
      <c r="AJ515" s="220"/>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row>
    <row r="516" spans="1:59" ht="15.75" customHeight="1" x14ac:dyDescent="0.2">
      <c r="A516" s="162"/>
      <c r="B516" s="162"/>
      <c r="C516" s="206"/>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row>
    <row r="517" spans="1:59" ht="15.75" customHeight="1" x14ac:dyDescent="0.2">
      <c r="A517" s="162"/>
      <c r="B517" s="162"/>
      <c r="C517" s="206"/>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147"/>
      <c r="AG517" s="147"/>
      <c r="AH517" s="147"/>
      <c r="AI517" s="175"/>
      <c r="AJ517" s="175"/>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row>
    <row r="518" spans="1:59" ht="15.75" customHeight="1" x14ac:dyDescent="0.2">
      <c r="A518" s="162"/>
      <c r="B518" s="162"/>
      <c r="C518" s="206"/>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147"/>
      <c r="AG518" s="147"/>
      <c r="AH518" s="147"/>
      <c r="AI518" s="157"/>
      <c r="AJ518" s="161"/>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row>
    <row r="519" spans="1:59" ht="15.75" customHeight="1" x14ac:dyDescent="0.2">
      <c r="A519" s="162"/>
      <c r="B519" s="162"/>
      <c r="C519" s="206"/>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147"/>
      <c r="AG519" s="147"/>
      <c r="AH519" s="147"/>
      <c r="AI519" s="195"/>
      <c r="AJ519" s="195"/>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row>
    <row r="520" spans="1:59" ht="15.75" customHeight="1" x14ac:dyDescent="0.2">
      <c r="A520" s="162"/>
      <c r="B520" s="162"/>
      <c r="C520" s="206"/>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147"/>
      <c r="AG520" s="147"/>
      <c r="AH520" s="161"/>
      <c r="AI520" s="157"/>
      <c r="AJ520" s="15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row>
    <row r="521" spans="1:59" ht="15.75" customHeight="1" x14ac:dyDescent="0.2">
      <c r="A521" s="162"/>
      <c r="B521" s="162"/>
      <c r="C521" s="206"/>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147"/>
      <c r="AG521" s="147"/>
      <c r="AH521" s="195"/>
      <c r="AI521" s="225"/>
      <c r="AJ521" s="225"/>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row>
    <row r="522" spans="1:59" ht="15.75" customHeight="1" x14ac:dyDescent="0.2">
      <c r="A522" s="162"/>
      <c r="B522" s="162"/>
      <c r="C522" s="206"/>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147"/>
      <c r="AG522" s="147"/>
      <c r="AH522" s="147"/>
      <c r="AI522" s="157"/>
      <c r="AJ522" s="15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row>
    <row r="523" spans="1:59" ht="15.75" customHeight="1" x14ac:dyDescent="0.2">
      <c r="A523" s="162"/>
      <c r="B523" s="162"/>
      <c r="C523" s="206"/>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147"/>
      <c r="AG523" s="147"/>
      <c r="AH523" s="157"/>
      <c r="AI523" s="225"/>
      <c r="AJ523" s="225"/>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row>
    <row r="524" spans="1:59" ht="15.75" customHeight="1" x14ac:dyDescent="0.2">
      <c r="A524" s="162"/>
      <c r="B524" s="162"/>
      <c r="C524" s="206"/>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147"/>
      <c r="AG524" s="147"/>
      <c r="AH524" s="195"/>
      <c r="AI524" s="195"/>
      <c r="AJ524" s="195"/>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row>
    <row r="525" spans="1:59" ht="15.75" customHeight="1" x14ac:dyDescent="0.2">
      <c r="A525" s="162"/>
      <c r="B525" s="162"/>
      <c r="C525" s="206"/>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147"/>
      <c r="AG525" s="147"/>
      <c r="AH525" s="220"/>
      <c r="AI525" s="195"/>
      <c r="AJ525" s="195"/>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row>
    <row r="526" spans="1:59" ht="15.75" customHeight="1" x14ac:dyDescent="0.2">
      <c r="A526" s="162"/>
      <c r="B526" s="162"/>
      <c r="C526" s="206"/>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147"/>
      <c r="AG526" s="147"/>
      <c r="AH526" s="220"/>
      <c r="AI526" s="195"/>
      <c r="AJ526" s="195"/>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row>
    <row r="527" spans="1:59" ht="15.75" customHeight="1" x14ac:dyDescent="0.2">
      <c r="A527" s="162"/>
      <c r="B527" s="162"/>
      <c r="C527" s="206"/>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147"/>
      <c r="AG527" s="147"/>
      <c r="AH527" s="220"/>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row>
    <row r="528" spans="1:59" ht="15.75" customHeight="1" x14ac:dyDescent="0.2">
      <c r="A528" s="162"/>
      <c r="B528" s="162"/>
      <c r="C528" s="206"/>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147"/>
      <c r="AG528" s="147"/>
      <c r="AH528" s="147"/>
      <c r="AI528" s="195"/>
      <c r="AJ528" s="195"/>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row>
    <row r="529" spans="1:59" ht="15.75" customHeight="1" x14ac:dyDescent="0.2">
      <c r="A529" s="162"/>
      <c r="B529" s="162"/>
      <c r="C529" s="206"/>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147"/>
      <c r="AG529" s="147"/>
      <c r="AH529" s="175"/>
      <c r="AI529" s="195"/>
      <c r="AJ529" s="195"/>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row>
    <row r="530" spans="1:59" ht="15.75" customHeight="1" x14ac:dyDescent="0.2">
      <c r="A530" s="162"/>
      <c r="B530" s="162"/>
      <c r="C530" s="206"/>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147"/>
      <c r="AG530" s="147"/>
      <c r="AH530" s="157"/>
      <c r="AI530" s="195"/>
      <c r="AJ530" s="195"/>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row>
    <row r="531" spans="1:59" ht="15.75" customHeight="1" x14ac:dyDescent="0.2">
      <c r="A531" s="162"/>
      <c r="B531" s="162"/>
      <c r="C531" s="206"/>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147"/>
      <c r="AG531" s="147"/>
      <c r="AH531" s="195"/>
      <c r="AI531" s="195"/>
      <c r="AJ531" s="195"/>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row>
    <row r="532" spans="1:59" ht="15.75" customHeight="1" x14ac:dyDescent="0.2">
      <c r="A532" s="162"/>
      <c r="B532" s="162"/>
      <c r="C532" s="206"/>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147"/>
      <c r="AG532" s="147"/>
      <c r="AH532" s="157"/>
      <c r="AI532" s="195"/>
      <c r="AJ532" s="195"/>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row>
    <row r="533" spans="1:59" ht="15.75" customHeight="1" x14ac:dyDescent="0.2">
      <c r="A533" s="162"/>
      <c r="B533" s="162"/>
      <c r="C533" s="206"/>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147"/>
      <c r="AG533" s="147"/>
      <c r="AH533" s="225"/>
      <c r="AI533" s="195"/>
      <c r="AJ533" s="195"/>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row>
    <row r="534" spans="1:59" ht="15.75" customHeight="1" x14ac:dyDescent="0.2">
      <c r="A534" s="162"/>
      <c r="B534" s="162"/>
      <c r="C534" s="206"/>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147"/>
      <c r="AG534" s="147"/>
      <c r="AH534" s="15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row>
    <row r="535" spans="1:59" ht="15.75" customHeight="1" x14ac:dyDescent="0.2">
      <c r="A535" s="162"/>
      <c r="B535" s="162"/>
      <c r="C535" s="206"/>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147"/>
      <c r="AG535" s="147"/>
      <c r="AH535" s="225"/>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row>
    <row r="536" spans="1:59" ht="15.75" customHeight="1" x14ac:dyDescent="0.2">
      <c r="A536" s="162"/>
      <c r="B536" s="162"/>
      <c r="C536" s="206"/>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147"/>
      <c r="AG536" s="147"/>
      <c r="AH536" s="195"/>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row>
    <row r="537" spans="1:59" ht="15.75" customHeight="1" x14ac:dyDescent="0.2">
      <c r="A537" s="162"/>
      <c r="B537" s="162"/>
      <c r="C537" s="206"/>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147"/>
      <c r="AG537" s="147"/>
      <c r="AH537" s="195"/>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row>
    <row r="538" spans="1:59" ht="15.75" customHeight="1" x14ac:dyDescent="0.2">
      <c r="A538" s="162"/>
      <c r="B538" s="162"/>
      <c r="C538" s="206"/>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147"/>
      <c r="AG538" s="147"/>
      <c r="AH538" s="195"/>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row>
    <row r="539" spans="1:59" ht="15.75" customHeight="1" x14ac:dyDescent="0.2">
      <c r="A539" s="162"/>
      <c r="B539" s="162"/>
      <c r="C539" s="206"/>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row>
    <row r="540" spans="1:59" ht="15.75" customHeight="1" x14ac:dyDescent="0.2">
      <c r="A540" s="162"/>
      <c r="B540" s="162"/>
      <c r="C540" s="206"/>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147"/>
      <c r="AG540" s="147"/>
      <c r="AH540" s="195"/>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row>
    <row r="541" spans="1:59" ht="15.75" customHeight="1" x14ac:dyDescent="0.2">
      <c r="A541" s="162"/>
      <c r="B541" s="162"/>
      <c r="C541" s="206"/>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147"/>
      <c r="AG541" s="147"/>
      <c r="AH541" s="195"/>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row>
    <row r="542" spans="1:59" ht="15.75" customHeight="1" x14ac:dyDescent="0.2">
      <c r="A542" s="162"/>
      <c r="B542" s="162"/>
      <c r="C542" s="206"/>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147"/>
      <c r="AG542" s="147"/>
      <c r="AH542" s="195"/>
      <c r="AI542" s="209"/>
      <c r="AJ542" s="209"/>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row>
    <row r="543" spans="1:59" ht="15.75" customHeight="1" x14ac:dyDescent="0.2">
      <c r="A543" s="162"/>
      <c r="B543" s="162"/>
      <c r="C543" s="206"/>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147"/>
      <c r="AG543" s="147"/>
      <c r="AH543" s="195"/>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row>
    <row r="544" spans="1:59" ht="15.75" customHeight="1" x14ac:dyDescent="0.2">
      <c r="A544" s="162"/>
      <c r="B544" s="162"/>
      <c r="C544" s="206"/>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147"/>
      <c r="AG544" s="147"/>
      <c r="AH544" s="195"/>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row>
    <row r="545" spans="1:59" ht="15.75" customHeight="1" x14ac:dyDescent="0.2">
      <c r="A545" s="162"/>
      <c r="B545" s="162"/>
      <c r="C545" s="206"/>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147"/>
      <c r="AG545" s="147"/>
      <c r="AH545" s="195"/>
      <c r="AI545" s="189"/>
      <c r="AJ545" s="189"/>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row>
    <row r="546" spans="1:59" ht="15.75" customHeight="1" x14ac:dyDescent="0.2">
      <c r="A546" s="162"/>
      <c r="B546" s="162"/>
      <c r="C546" s="206"/>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147"/>
      <c r="AG546" s="147"/>
      <c r="AH546" s="147"/>
      <c r="AI546" s="189"/>
      <c r="AJ546" s="189"/>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row>
    <row r="547" spans="1:59" ht="15.75" customHeight="1" x14ac:dyDescent="0.2">
      <c r="A547" s="162"/>
      <c r="B547" s="162"/>
      <c r="C547" s="206"/>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147"/>
      <c r="AG547" s="147"/>
      <c r="AH547" s="147"/>
      <c r="AI547" s="195"/>
      <c r="AJ547" s="195"/>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row>
    <row r="548" spans="1:59" ht="15.75" customHeight="1" x14ac:dyDescent="0.2">
      <c r="A548" s="162"/>
      <c r="B548" s="162"/>
      <c r="C548" s="206"/>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147"/>
      <c r="AG548" s="147"/>
      <c r="AH548" s="147"/>
      <c r="AI548" s="189"/>
      <c r="AJ548" s="189"/>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row>
    <row r="549" spans="1:59" ht="15.75" customHeight="1" x14ac:dyDescent="0.2">
      <c r="A549" s="162"/>
      <c r="B549" s="162"/>
      <c r="C549" s="206"/>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147"/>
      <c r="AG549" s="147"/>
      <c r="AH549" s="147"/>
      <c r="AI549" s="189"/>
      <c r="AJ549" s="189"/>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row>
    <row r="550" spans="1:59" ht="15.75" customHeight="1" x14ac:dyDescent="0.2">
      <c r="A550" s="162"/>
      <c r="B550" s="162"/>
      <c r="C550" s="206"/>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147"/>
      <c r="AG550" s="147"/>
      <c r="AH550" s="147"/>
      <c r="AI550" s="189"/>
      <c r="AJ550" s="189"/>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row>
    <row r="551" spans="1:59" ht="15.75" customHeight="1" x14ac:dyDescent="0.2">
      <c r="A551" s="162"/>
      <c r="B551" s="162"/>
      <c r="C551" s="206"/>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147"/>
      <c r="AG551" s="147"/>
      <c r="AH551" s="147"/>
      <c r="AI551" s="195"/>
      <c r="AJ551" s="195"/>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row>
    <row r="552" spans="1:59" ht="15.75" customHeight="1" x14ac:dyDescent="0.2">
      <c r="A552" s="162"/>
      <c r="B552" s="162"/>
      <c r="C552" s="206"/>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147"/>
      <c r="AG552" s="147"/>
      <c r="AH552" s="147"/>
      <c r="AI552" s="195"/>
      <c r="AJ552" s="195"/>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row>
    <row r="553" spans="1:59" ht="15.75" customHeight="1" x14ac:dyDescent="0.2">
      <c r="A553" s="162"/>
      <c r="B553" s="162"/>
      <c r="C553" s="206"/>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147"/>
      <c r="AG553" s="147"/>
      <c r="AH553" s="147"/>
      <c r="AI553" s="189"/>
      <c r="AJ553" s="189"/>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row>
    <row r="554" spans="1:59" ht="15.75" customHeight="1" x14ac:dyDescent="0.2">
      <c r="A554" s="162"/>
      <c r="B554" s="162"/>
      <c r="C554" s="206"/>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147"/>
      <c r="AG554" s="147"/>
      <c r="AH554" s="209"/>
      <c r="AI554" s="189"/>
      <c r="AJ554" s="189"/>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row>
    <row r="555" spans="1:59" ht="15.75" customHeight="1" x14ac:dyDescent="0.2">
      <c r="A555" s="162"/>
      <c r="B555" s="162"/>
      <c r="C555" s="206"/>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147"/>
      <c r="AG555" s="147"/>
      <c r="AH555" s="147"/>
      <c r="AI555" s="189"/>
      <c r="AJ555" s="189"/>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row>
    <row r="556" spans="1:59" ht="15.75" customHeight="1" x14ac:dyDescent="0.2">
      <c r="A556" s="162"/>
      <c r="B556" s="162"/>
      <c r="C556" s="206"/>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147"/>
      <c r="AG556" s="147"/>
      <c r="AH556" s="147"/>
      <c r="AI556" s="189"/>
      <c r="AJ556" s="189"/>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row>
    <row r="557" spans="1:59" ht="15.75" customHeight="1" x14ac:dyDescent="0.2">
      <c r="A557" s="162"/>
      <c r="B557" s="162"/>
      <c r="C557" s="206"/>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147"/>
      <c r="AG557" s="147"/>
      <c r="AH557" s="189"/>
      <c r="AI557" s="189"/>
      <c r="AJ557" s="189"/>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row>
    <row r="558" spans="1:59" ht="15.75" customHeight="1" x14ac:dyDescent="0.2">
      <c r="A558" s="162"/>
      <c r="B558" s="162"/>
      <c r="C558" s="206"/>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147"/>
      <c r="AG558" s="147"/>
      <c r="AH558" s="189"/>
      <c r="AI558" s="195"/>
      <c r="AJ558" s="195"/>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row>
    <row r="559" spans="1:59" ht="15.75" customHeight="1" x14ac:dyDescent="0.2">
      <c r="A559" s="162"/>
      <c r="B559" s="162"/>
      <c r="C559" s="206"/>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147"/>
      <c r="AG559" s="147"/>
      <c r="AH559" s="195"/>
      <c r="AI559" s="189"/>
      <c r="AJ559" s="189"/>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row>
    <row r="560" spans="1:59" ht="15.75" customHeight="1" x14ac:dyDescent="0.2">
      <c r="A560" s="162"/>
      <c r="B560" s="162"/>
      <c r="C560" s="206"/>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147"/>
      <c r="AG560" s="147"/>
      <c r="AH560" s="189"/>
      <c r="AI560" s="189"/>
      <c r="AJ560" s="189"/>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row>
    <row r="561" spans="1:59" ht="15.75" customHeight="1" x14ac:dyDescent="0.2">
      <c r="A561" s="162"/>
      <c r="B561" s="162"/>
      <c r="C561" s="206"/>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147"/>
      <c r="AG561" s="147"/>
      <c r="AH561" s="189"/>
      <c r="AI561" s="84"/>
      <c r="AJ561" s="84"/>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row>
    <row r="562" spans="1:59" ht="15.75" customHeight="1" x14ac:dyDescent="0.2">
      <c r="A562" s="162"/>
      <c r="B562" s="162"/>
      <c r="C562" s="206"/>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147"/>
      <c r="AG562" s="147"/>
      <c r="AH562" s="189"/>
      <c r="AI562" s="84"/>
      <c r="AJ562" s="84"/>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row>
    <row r="563" spans="1:59" ht="15.75" customHeight="1" x14ac:dyDescent="0.2">
      <c r="A563" s="162"/>
      <c r="B563" s="162"/>
      <c r="C563" s="206"/>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147"/>
      <c r="AG563" s="147"/>
      <c r="AH563" s="195"/>
      <c r="AI563" s="189"/>
      <c r="AJ563" s="189"/>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row>
    <row r="564" spans="1:59" ht="15.75" customHeight="1" x14ac:dyDescent="0.2">
      <c r="A564" s="162"/>
      <c r="B564" s="162"/>
      <c r="C564" s="206"/>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147"/>
      <c r="AG564" s="147"/>
      <c r="AH564" s="195"/>
      <c r="AI564" s="189"/>
      <c r="AJ564" s="189"/>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row>
    <row r="565" spans="1:59" ht="15.75" customHeight="1" x14ac:dyDescent="0.2">
      <c r="A565" s="162"/>
      <c r="B565" s="162"/>
      <c r="C565" s="206"/>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147"/>
      <c r="AG565" s="147"/>
      <c r="AH565" s="189"/>
      <c r="AI565" s="195"/>
      <c r="AJ565" s="195"/>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row>
    <row r="566" spans="1:59" ht="15.75" customHeight="1" x14ac:dyDescent="0.2">
      <c r="A566" s="162"/>
      <c r="B566" s="162"/>
      <c r="C566" s="206"/>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147"/>
      <c r="AG566" s="147"/>
      <c r="AH566" s="189"/>
      <c r="AI566" s="189"/>
      <c r="AJ566" s="189"/>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row>
    <row r="567" spans="1:59" ht="15.75" customHeight="1" x14ac:dyDescent="0.2">
      <c r="A567" s="162"/>
      <c r="B567" s="162"/>
      <c r="C567" s="206"/>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147"/>
      <c r="AG567" s="147"/>
      <c r="AH567" s="189"/>
      <c r="AI567" s="189"/>
      <c r="AJ567" s="189"/>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row>
    <row r="568" spans="1:59" ht="15.75" customHeight="1" x14ac:dyDescent="0.2">
      <c r="A568" s="162"/>
      <c r="B568" s="162"/>
      <c r="C568" s="206"/>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147"/>
      <c r="AG568" s="147"/>
      <c r="AH568" s="189"/>
      <c r="AI568" s="189"/>
      <c r="AJ568" s="189"/>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row>
    <row r="569" spans="1:59" ht="15.75" customHeight="1" x14ac:dyDescent="0.2">
      <c r="A569" s="162"/>
      <c r="B569" s="162"/>
      <c r="C569" s="206"/>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147"/>
      <c r="AG569" s="147"/>
      <c r="AH569" s="189"/>
      <c r="AI569" s="195"/>
      <c r="AJ569" s="195"/>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row>
    <row r="570" spans="1:59" ht="15.75" customHeight="1" x14ac:dyDescent="0.2">
      <c r="A570" s="162"/>
      <c r="B570" s="162"/>
      <c r="C570" s="206"/>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147"/>
      <c r="AG570" s="147"/>
      <c r="AH570" s="195"/>
      <c r="AI570" s="195"/>
      <c r="AJ570" s="195"/>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row>
    <row r="571" spans="1:59" ht="15.75" customHeight="1" x14ac:dyDescent="0.2">
      <c r="A571" s="162"/>
      <c r="B571" s="162"/>
      <c r="C571" s="206"/>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147"/>
      <c r="AG571" s="147"/>
      <c r="AH571" s="189"/>
      <c r="AI571" s="189"/>
      <c r="AJ571" s="189"/>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row>
    <row r="572" spans="1:59" ht="15.75" customHeight="1" x14ac:dyDescent="0.2">
      <c r="A572" s="162"/>
      <c r="B572" s="162"/>
      <c r="C572" s="206"/>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147"/>
      <c r="AG572" s="147"/>
      <c r="AH572" s="189"/>
      <c r="AI572" s="189"/>
      <c r="AJ572" s="189"/>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row>
    <row r="573" spans="1:59" ht="15.75" customHeight="1" x14ac:dyDescent="0.2">
      <c r="A573" s="162"/>
      <c r="B573" s="162"/>
      <c r="C573" s="206"/>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147"/>
      <c r="AG573" s="147"/>
      <c r="AH573" s="84"/>
      <c r="AI573" s="189"/>
      <c r="AJ573" s="189"/>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row>
    <row r="574" spans="1:59" ht="15.75" customHeight="1" x14ac:dyDescent="0.2">
      <c r="A574" s="162"/>
      <c r="B574" s="162"/>
      <c r="C574" s="206"/>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147"/>
      <c r="AG574" s="147"/>
      <c r="AH574" s="84"/>
      <c r="AI574" s="189"/>
      <c r="AJ574" s="189"/>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row>
    <row r="575" spans="1:59" ht="15.75" customHeight="1" x14ac:dyDescent="0.2">
      <c r="A575" s="162"/>
      <c r="B575" s="162"/>
      <c r="C575" s="206"/>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147"/>
      <c r="AG575" s="147"/>
      <c r="AH575" s="189"/>
      <c r="AI575" s="189"/>
      <c r="AJ575" s="189"/>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row>
    <row r="576" spans="1:59" ht="15.75" customHeight="1" x14ac:dyDescent="0.2">
      <c r="A576" s="162"/>
      <c r="B576" s="162"/>
      <c r="C576" s="206"/>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147"/>
      <c r="AG576" s="147"/>
      <c r="AH576" s="189"/>
      <c r="AI576" s="195"/>
      <c r="AJ576" s="195"/>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row>
    <row r="577" spans="1:59" ht="15.75" customHeight="1" x14ac:dyDescent="0.2">
      <c r="A577" s="162"/>
      <c r="B577" s="162"/>
      <c r="C577" s="206"/>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147"/>
      <c r="AG577" s="147"/>
      <c r="AH577" s="195"/>
      <c r="AI577" s="189"/>
      <c r="AJ577" s="189"/>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row>
    <row r="578" spans="1:59" ht="15.75" customHeight="1" x14ac:dyDescent="0.2">
      <c r="A578" s="162"/>
      <c r="B578" s="162"/>
      <c r="C578" s="206"/>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147"/>
      <c r="AG578" s="147"/>
      <c r="AH578" s="189"/>
      <c r="AI578" s="189"/>
      <c r="AJ578" s="189"/>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row>
    <row r="579" spans="1:59" ht="15.75" customHeight="1" x14ac:dyDescent="0.2">
      <c r="A579" s="162"/>
      <c r="B579" s="162"/>
      <c r="C579" s="206"/>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147"/>
      <c r="AG579" s="147"/>
      <c r="AH579" s="189"/>
      <c r="AI579" s="84"/>
      <c r="AJ579" s="84"/>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row>
    <row r="580" spans="1:59" ht="15.75" customHeight="1" x14ac:dyDescent="0.2">
      <c r="A580" s="162"/>
      <c r="B580" s="162"/>
      <c r="C580" s="206"/>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147"/>
      <c r="AG580" s="147"/>
      <c r="AH580" s="189"/>
      <c r="AI580" s="189"/>
      <c r="AJ580" s="189"/>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row>
    <row r="581" spans="1:59" ht="15.75" customHeight="1" x14ac:dyDescent="0.2">
      <c r="A581" s="162"/>
      <c r="B581" s="162"/>
      <c r="C581" s="206"/>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147"/>
      <c r="AG581" s="147"/>
      <c r="AH581" s="195"/>
      <c r="AI581" s="189"/>
      <c r="AJ581" s="189"/>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row>
    <row r="582" spans="1:59" ht="15.75" customHeight="1" x14ac:dyDescent="0.2">
      <c r="A582" s="162"/>
      <c r="B582" s="162"/>
      <c r="C582" s="206"/>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147"/>
      <c r="AG582" s="147"/>
      <c r="AH582" s="195"/>
      <c r="AI582" s="189"/>
      <c r="AJ582" s="189"/>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row>
    <row r="583" spans="1:59" ht="15.75" customHeight="1" x14ac:dyDescent="0.2">
      <c r="A583" s="162"/>
      <c r="B583" s="162"/>
      <c r="C583" s="206"/>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147"/>
      <c r="AG583" s="147"/>
      <c r="AH583" s="189"/>
      <c r="AI583" s="195"/>
      <c r="AJ583" s="195"/>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row>
    <row r="584" spans="1:59" ht="15.75" customHeight="1" x14ac:dyDescent="0.2">
      <c r="A584" s="162"/>
      <c r="B584" s="162"/>
      <c r="C584" s="206"/>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147"/>
      <c r="AG584" s="147"/>
      <c r="AH584" s="189"/>
      <c r="AI584" s="189"/>
      <c r="AJ584" s="189"/>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row>
    <row r="585" spans="1:59" ht="15.75" customHeight="1" x14ac:dyDescent="0.2">
      <c r="A585" s="162"/>
      <c r="B585" s="162"/>
      <c r="C585" s="206"/>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147"/>
      <c r="AG585" s="147"/>
      <c r="AH585" s="189"/>
      <c r="AI585" s="189"/>
      <c r="AJ585" s="189"/>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row>
    <row r="586" spans="1:59" ht="15.75" customHeight="1" x14ac:dyDescent="0.2">
      <c r="A586" s="162"/>
      <c r="B586" s="162"/>
      <c r="C586" s="206"/>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147"/>
      <c r="AG586" s="147"/>
      <c r="AH586" s="189"/>
      <c r="AI586" s="189"/>
      <c r="AJ586" s="189"/>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row>
    <row r="587" spans="1:59" ht="15.75" customHeight="1" x14ac:dyDescent="0.2">
      <c r="A587" s="162"/>
      <c r="B587" s="162"/>
      <c r="C587" s="206"/>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147"/>
      <c r="AG587" s="147"/>
      <c r="AH587" s="189"/>
      <c r="AI587" s="189"/>
      <c r="AJ587" s="189"/>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row>
    <row r="588" spans="1:59" ht="15.75" customHeight="1" x14ac:dyDescent="0.2">
      <c r="A588" s="162"/>
      <c r="B588" s="162"/>
      <c r="C588" s="206"/>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147"/>
      <c r="AG588" s="147"/>
      <c r="AH588" s="195"/>
      <c r="AI588" s="195"/>
      <c r="AJ588" s="195"/>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row>
    <row r="589" spans="1:59" ht="15.75" customHeight="1" x14ac:dyDescent="0.2">
      <c r="A589" s="162"/>
      <c r="B589" s="162"/>
      <c r="C589" s="206"/>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147"/>
      <c r="AG589" s="147"/>
      <c r="AH589" s="189"/>
      <c r="AI589" s="189"/>
      <c r="AJ589" s="189"/>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row>
    <row r="590" spans="1:59" ht="15.75" customHeight="1" x14ac:dyDescent="0.2">
      <c r="A590" s="162"/>
      <c r="B590" s="162"/>
      <c r="C590" s="206"/>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147"/>
      <c r="AG590" s="147"/>
      <c r="AH590" s="189"/>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row>
    <row r="591" spans="1:59" ht="15.75" customHeight="1" x14ac:dyDescent="0.2">
      <c r="A591" s="162"/>
      <c r="B591" s="162"/>
      <c r="C591" s="206"/>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147"/>
      <c r="AG591" s="147"/>
      <c r="AH591" s="84"/>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row>
    <row r="592" spans="1:59" ht="15.75" customHeight="1" x14ac:dyDescent="0.2">
      <c r="A592" s="162"/>
      <c r="B592" s="162"/>
      <c r="C592" s="206"/>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147"/>
      <c r="AG592" s="147"/>
      <c r="AH592" s="189"/>
      <c r="AI592" s="189"/>
      <c r="AJ592" s="189"/>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row>
    <row r="593" spans="1:59" ht="15.75" customHeight="1" x14ac:dyDescent="0.2">
      <c r="A593" s="162"/>
      <c r="B593" s="162"/>
      <c r="C593" s="206"/>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147"/>
      <c r="AG593" s="147"/>
      <c r="AH593" s="189"/>
      <c r="AI593" s="189"/>
      <c r="AJ593" s="189"/>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row>
    <row r="594" spans="1:59" ht="15.75" customHeight="1" x14ac:dyDescent="0.2">
      <c r="A594" s="162"/>
      <c r="B594" s="162"/>
      <c r="C594" s="206"/>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c r="AA594" s="262"/>
      <c r="AB594" s="262"/>
      <c r="AC594" s="262"/>
      <c r="AD594" s="262"/>
      <c r="AE594" s="262"/>
      <c r="AF594" s="147"/>
      <c r="AG594" s="147"/>
      <c r="AH594" s="189"/>
      <c r="AI594" s="189"/>
      <c r="AJ594" s="189"/>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row>
    <row r="595" spans="1:59" ht="15.75" customHeight="1" x14ac:dyDescent="0.2">
      <c r="A595" s="162"/>
      <c r="B595" s="162"/>
      <c r="C595" s="206"/>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147"/>
      <c r="AG595" s="147"/>
      <c r="AH595" s="195"/>
      <c r="AI595" s="189"/>
      <c r="AJ595" s="189"/>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row>
    <row r="596" spans="1:59" ht="15.75" customHeight="1" x14ac:dyDescent="0.2">
      <c r="A596" s="162"/>
      <c r="B596" s="162"/>
      <c r="C596" s="206"/>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c r="AA596" s="262"/>
      <c r="AB596" s="262"/>
      <c r="AC596" s="262"/>
      <c r="AD596" s="262"/>
      <c r="AE596" s="262"/>
      <c r="AF596" s="147"/>
      <c r="AG596" s="147"/>
      <c r="AH596" s="189"/>
      <c r="AI596" s="189"/>
      <c r="AJ596" s="189"/>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row>
    <row r="597" spans="1:59" ht="15.75" customHeight="1" x14ac:dyDescent="0.2">
      <c r="A597" s="162"/>
      <c r="B597" s="162"/>
      <c r="C597" s="206"/>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147"/>
      <c r="AG597" s="147"/>
      <c r="AH597" s="189"/>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row>
    <row r="598" spans="1:59" ht="15.75" customHeight="1" x14ac:dyDescent="0.2">
      <c r="A598" s="162"/>
      <c r="B598" s="162"/>
      <c r="C598" s="206"/>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c r="AA598" s="262"/>
      <c r="AB598" s="262"/>
      <c r="AC598" s="262"/>
      <c r="AD598" s="262"/>
      <c r="AE598" s="262"/>
      <c r="AF598" s="147"/>
      <c r="AG598" s="147"/>
      <c r="AH598" s="189"/>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row>
    <row r="599" spans="1:59" ht="15.75" customHeight="1" x14ac:dyDescent="0.2">
      <c r="A599" s="162"/>
      <c r="B599" s="162"/>
      <c r="C599" s="206"/>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c r="AA599" s="262"/>
      <c r="AB599" s="262"/>
      <c r="AC599" s="262"/>
      <c r="AD599" s="262"/>
      <c r="AE599" s="262"/>
      <c r="AF599" s="147"/>
      <c r="AG599" s="147"/>
      <c r="AH599" s="189"/>
      <c r="AI599" s="189"/>
      <c r="AJ599" s="189"/>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row>
    <row r="600" spans="1:59" ht="15.75" customHeight="1" x14ac:dyDescent="0.2">
      <c r="A600" s="162"/>
      <c r="B600" s="162"/>
      <c r="C600" s="206"/>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c r="AA600" s="262"/>
      <c r="AB600" s="262"/>
      <c r="AC600" s="262"/>
      <c r="AD600" s="262"/>
      <c r="AE600" s="262"/>
      <c r="AF600" s="147"/>
      <c r="AG600" s="147"/>
      <c r="AH600" s="195"/>
      <c r="AI600" s="189"/>
      <c r="AJ600" s="189"/>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row>
    <row r="601" spans="1:59" ht="15.75" customHeight="1" x14ac:dyDescent="0.2">
      <c r="A601" s="162"/>
      <c r="B601" s="162"/>
      <c r="C601" s="206"/>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c r="AA601" s="262"/>
      <c r="AB601" s="262"/>
      <c r="AC601" s="262"/>
      <c r="AD601" s="262"/>
      <c r="AE601" s="262"/>
      <c r="AF601" s="147"/>
      <c r="AG601" s="147"/>
      <c r="AH601" s="189"/>
      <c r="AI601" s="195"/>
      <c r="AJ601" s="195"/>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row>
    <row r="602" spans="1:59" ht="15.75" customHeight="1" x14ac:dyDescent="0.2">
      <c r="A602" s="162"/>
      <c r="B602" s="162"/>
      <c r="C602" s="206"/>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c r="AA602" s="262"/>
      <c r="AB602" s="262"/>
      <c r="AC602" s="262"/>
      <c r="AD602" s="262"/>
      <c r="AE602" s="262"/>
      <c r="AF602" s="147"/>
      <c r="AG602" s="147"/>
      <c r="AH602" s="147"/>
      <c r="AI602" s="189"/>
      <c r="AJ602" s="189"/>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row>
    <row r="603" spans="1:59" ht="15.75" customHeight="1" x14ac:dyDescent="0.2">
      <c r="A603" s="162"/>
      <c r="B603" s="162"/>
      <c r="C603" s="206"/>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c r="AA603" s="262"/>
      <c r="AB603" s="262"/>
      <c r="AC603" s="262"/>
      <c r="AD603" s="262"/>
      <c r="AE603" s="262"/>
      <c r="AF603" s="147"/>
      <c r="AG603" s="147"/>
      <c r="AH603" s="147"/>
      <c r="AI603" s="189"/>
      <c r="AJ603" s="189"/>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row>
    <row r="604" spans="1:59" ht="15.75" customHeight="1" x14ac:dyDescent="0.2">
      <c r="A604" s="162"/>
      <c r="B604" s="162"/>
      <c r="C604" s="206"/>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c r="AA604" s="262"/>
      <c r="AB604" s="262"/>
      <c r="AC604" s="262"/>
      <c r="AD604" s="262"/>
      <c r="AE604" s="262"/>
      <c r="AF604" s="147"/>
      <c r="AG604" s="147"/>
      <c r="AH604" s="189"/>
      <c r="AI604" s="189"/>
      <c r="AJ604" s="189"/>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row>
    <row r="605" spans="1:59" ht="15.75" customHeight="1" x14ac:dyDescent="0.2">
      <c r="A605" s="162"/>
      <c r="B605" s="162"/>
      <c r="C605" s="206"/>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c r="AA605" s="262"/>
      <c r="AB605" s="262"/>
      <c r="AC605" s="262"/>
      <c r="AD605" s="262"/>
      <c r="AE605" s="262"/>
      <c r="AF605" s="147"/>
      <c r="AG605" s="147"/>
      <c r="AH605" s="189"/>
      <c r="AI605" s="189"/>
      <c r="AJ605" s="189"/>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row>
    <row r="606" spans="1:59" ht="15.75" customHeight="1" x14ac:dyDescent="0.2">
      <c r="A606" s="162"/>
      <c r="B606" s="162"/>
      <c r="C606" s="206"/>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2"/>
      <c r="AC606" s="262"/>
      <c r="AD606" s="262"/>
      <c r="AE606" s="262"/>
      <c r="AF606" s="147"/>
      <c r="AG606" s="147"/>
      <c r="AH606" s="189"/>
      <c r="AI606" s="195"/>
      <c r="AJ606" s="195"/>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row>
    <row r="607" spans="1:59" ht="15.75" customHeight="1" x14ac:dyDescent="0.2">
      <c r="A607" s="162"/>
      <c r="B607" s="162"/>
      <c r="C607" s="206"/>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c r="AA607" s="262"/>
      <c r="AB607" s="262"/>
      <c r="AC607" s="262"/>
      <c r="AD607" s="262"/>
      <c r="AE607" s="262"/>
      <c r="AF607" s="147"/>
      <c r="AG607" s="147"/>
      <c r="AH607" s="189"/>
      <c r="AI607" s="189"/>
      <c r="AJ607" s="189"/>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row>
    <row r="608" spans="1:59" ht="15.75" customHeight="1" x14ac:dyDescent="0.2">
      <c r="A608" s="162"/>
      <c r="B608" s="162"/>
      <c r="C608" s="206"/>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c r="AA608" s="262"/>
      <c r="AB608" s="262"/>
      <c r="AC608" s="262"/>
      <c r="AD608" s="262"/>
      <c r="AE608" s="262"/>
      <c r="AF608" s="147"/>
      <c r="AG608" s="147"/>
      <c r="AH608" s="189"/>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row>
    <row r="609" spans="1:59" ht="15.75" customHeight="1" x14ac:dyDescent="0.2">
      <c r="A609" s="162"/>
      <c r="B609" s="162"/>
      <c r="C609" s="206"/>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c r="AA609" s="262"/>
      <c r="AB609" s="262"/>
      <c r="AC609" s="262"/>
      <c r="AD609" s="262"/>
      <c r="AE609" s="262"/>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row>
    <row r="610" spans="1:59" ht="15.75" customHeight="1" x14ac:dyDescent="0.2">
      <c r="A610" s="162"/>
      <c r="B610" s="162"/>
      <c r="C610" s="206"/>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c r="AA610" s="262"/>
      <c r="AB610" s="262"/>
      <c r="AC610" s="262"/>
      <c r="AD610" s="262"/>
      <c r="AE610" s="262"/>
      <c r="AF610" s="147"/>
      <c r="AG610" s="147"/>
      <c r="AH610" s="147"/>
      <c r="AI610" s="189"/>
      <c r="AJ610" s="189"/>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row>
    <row r="611" spans="1:59" ht="15.75" customHeight="1" x14ac:dyDescent="0.2">
      <c r="A611" s="162"/>
      <c r="B611" s="162"/>
      <c r="C611" s="206"/>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c r="AA611" s="262"/>
      <c r="AB611" s="262"/>
      <c r="AC611" s="262"/>
      <c r="AD611" s="262"/>
      <c r="AE611" s="262"/>
      <c r="AF611" s="147"/>
      <c r="AG611" s="147"/>
      <c r="AH611" s="189"/>
      <c r="AI611" s="189"/>
      <c r="AJ611" s="189"/>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row>
    <row r="612" spans="1:59" ht="15.75" customHeight="1" x14ac:dyDescent="0.2">
      <c r="A612" s="162"/>
      <c r="B612" s="162"/>
      <c r="C612" s="206"/>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c r="AA612" s="262"/>
      <c r="AB612" s="262"/>
      <c r="AC612" s="262"/>
      <c r="AD612" s="262"/>
      <c r="AE612" s="262"/>
      <c r="AF612" s="147"/>
      <c r="AG612" s="147"/>
      <c r="AH612" s="189"/>
      <c r="AI612" s="189"/>
      <c r="AJ612" s="189"/>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row>
    <row r="613" spans="1:59" ht="15.75" customHeight="1" x14ac:dyDescent="0.2">
      <c r="A613" s="162"/>
      <c r="B613" s="162"/>
      <c r="C613" s="206"/>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c r="AA613" s="262"/>
      <c r="AB613" s="262"/>
      <c r="AC613" s="262"/>
      <c r="AD613" s="262"/>
      <c r="AE613" s="262"/>
      <c r="AF613" s="147"/>
      <c r="AG613" s="147"/>
      <c r="AH613" s="195"/>
      <c r="AI613" s="189"/>
      <c r="AJ613" s="189"/>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row>
    <row r="614" spans="1:59" ht="15.75" customHeight="1" x14ac:dyDescent="0.2">
      <c r="A614" s="162"/>
      <c r="B614" s="162"/>
      <c r="C614" s="206"/>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c r="AA614" s="262"/>
      <c r="AB614" s="262"/>
      <c r="AC614" s="262"/>
      <c r="AD614" s="262"/>
      <c r="AE614" s="262"/>
      <c r="AF614" s="147"/>
      <c r="AG614" s="147"/>
      <c r="AH614" s="189"/>
      <c r="AI614" s="189"/>
      <c r="AJ614" s="189"/>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row>
    <row r="615" spans="1:59" ht="15.75" customHeight="1" x14ac:dyDescent="0.2">
      <c r="A615" s="162"/>
      <c r="B615" s="162"/>
      <c r="C615" s="206"/>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c r="AA615" s="262"/>
      <c r="AB615" s="262"/>
      <c r="AC615" s="262"/>
      <c r="AD615" s="262"/>
      <c r="AE615" s="262"/>
      <c r="AF615" s="147"/>
      <c r="AG615" s="147"/>
      <c r="AH615" s="189"/>
      <c r="AI615" s="84"/>
      <c r="AJ615" s="84"/>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row>
    <row r="616" spans="1:59" ht="15.75" customHeight="1" x14ac:dyDescent="0.2">
      <c r="A616" s="162"/>
      <c r="B616" s="162"/>
      <c r="C616" s="206"/>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c r="AA616" s="262"/>
      <c r="AB616" s="262"/>
      <c r="AC616" s="262"/>
      <c r="AD616" s="262"/>
      <c r="AE616" s="262"/>
      <c r="AF616" s="147"/>
      <c r="AG616" s="147"/>
      <c r="AH616" s="189"/>
      <c r="AI616" s="189"/>
      <c r="AJ616" s="189"/>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row>
    <row r="617" spans="1:59" ht="15.75" customHeight="1" x14ac:dyDescent="0.2">
      <c r="A617" s="162"/>
      <c r="B617" s="162"/>
      <c r="C617" s="206"/>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c r="AA617" s="262"/>
      <c r="AB617" s="262"/>
      <c r="AC617" s="262"/>
      <c r="AD617" s="262"/>
      <c r="AE617" s="262"/>
      <c r="AF617" s="147"/>
      <c r="AG617" s="147"/>
      <c r="AH617" s="189"/>
      <c r="AI617" s="189"/>
      <c r="AJ617" s="189"/>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row>
    <row r="618" spans="1:59" ht="15.75" customHeight="1" x14ac:dyDescent="0.2">
      <c r="A618" s="162"/>
      <c r="B618" s="162"/>
      <c r="C618" s="206"/>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c r="AA618" s="262"/>
      <c r="AB618" s="262"/>
      <c r="AC618" s="262"/>
      <c r="AD618" s="262"/>
      <c r="AE618" s="262"/>
      <c r="AF618" s="147"/>
      <c r="AG618" s="147"/>
      <c r="AH618" s="195"/>
      <c r="AI618" s="189"/>
      <c r="AJ618" s="189"/>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row>
    <row r="619" spans="1:59" ht="15.75" customHeight="1" x14ac:dyDescent="0.2">
      <c r="A619" s="162"/>
      <c r="B619" s="162"/>
      <c r="C619" s="206"/>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c r="AA619" s="262"/>
      <c r="AB619" s="262"/>
      <c r="AC619" s="262"/>
      <c r="AD619" s="262"/>
      <c r="AE619" s="262"/>
      <c r="AF619" s="147"/>
      <c r="AG619" s="147"/>
      <c r="AH619" s="189"/>
      <c r="AI619" s="195"/>
      <c r="AJ619" s="195"/>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row>
    <row r="620" spans="1:59" ht="15.75" customHeight="1" x14ac:dyDescent="0.2">
      <c r="A620" s="162"/>
      <c r="B620" s="162"/>
      <c r="C620" s="206"/>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c r="AA620" s="262"/>
      <c r="AB620" s="262"/>
      <c r="AC620" s="262"/>
      <c r="AD620" s="262"/>
      <c r="AE620" s="262"/>
      <c r="AF620" s="147"/>
      <c r="AG620" s="147"/>
      <c r="AH620" s="147"/>
      <c r="AI620" s="189"/>
      <c r="AJ620" s="189"/>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row>
    <row r="621" spans="1:59" ht="15.75" customHeight="1" x14ac:dyDescent="0.2">
      <c r="A621" s="162"/>
      <c r="B621" s="162"/>
      <c r="C621" s="206"/>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c r="AA621" s="262"/>
      <c r="AB621" s="262"/>
      <c r="AC621" s="262"/>
      <c r="AD621" s="262"/>
      <c r="AE621" s="262"/>
      <c r="AF621" s="147"/>
      <c r="AG621" s="147"/>
      <c r="AH621" s="147"/>
      <c r="AI621" s="189"/>
      <c r="AJ621" s="189"/>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row>
    <row r="622" spans="1:59" ht="15.75" customHeight="1" x14ac:dyDescent="0.2">
      <c r="A622" s="162"/>
      <c r="B622" s="162"/>
      <c r="C622" s="206"/>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62"/>
      <c r="AD622" s="262"/>
      <c r="AE622" s="262"/>
      <c r="AF622" s="147"/>
      <c r="AG622" s="147"/>
      <c r="AH622" s="189"/>
      <c r="AI622" s="189"/>
      <c r="AJ622" s="189"/>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row>
    <row r="623" spans="1:59" ht="15.75" customHeight="1" x14ac:dyDescent="0.2">
      <c r="A623" s="162"/>
      <c r="B623" s="162"/>
      <c r="C623" s="206"/>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147"/>
      <c r="AG623" s="147"/>
      <c r="AH623" s="189"/>
      <c r="AI623" s="189"/>
      <c r="AJ623" s="189"/>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row>
    <row r="624" spans="1:59" ht="15.75" customHeight="1" x14ac:dyDescent="0.2">
      <c r="A624" s="162"/>
      <c r="B624" s="162"/>
      <c r="C624" s="206"/>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147"/>
      <c r="AG624" s="147"/>
      <c r="AH624" s="189"/>
      <c r="AI624" s="195"/>
      <c r="AJ624" s="195"/>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row>
    <row r="625" spans="1:59" ht="15.75" customHeight="1" x14ac:dyDescent="0.2">
      <c r="A625" s="162"/>
      <c r="B625" s="162"/>
      <c r="C625" s="206"/>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c r="AA625" s="262"/>
      <c r="AB625" s="262"/>
      <c r="AC625" s="262"/>
      <c r="AD625" s="262"/>
      <c r="AE625" s="262"/>
      <c r="AF625" s="147"/>
      <c r="AG625" s="147"/>
      <c r="AH625" s="189"/>
      <c r="AI625" s="189"/>
      <c r="AJ625" s="189"/>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row>
    <row r="626" spans="1:59" ht="15.75" customHeight="1" x14ac:dyDescent="0.2">
      <c r="A626" s="162"/>
      <c r="B626" s="162"/>
      <c r="C626" s="206"/>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c r="AA626" s="262"/>
      <c r="AB626" s="262"/>
      <c r="AC626" s="262"/>
      <c r="AD626" s="262"/>
      <c r="AE626" s="262"/>
      <c r="AF626" s="147"/>
      <c r="AG626" s="147"/>
      <c r="AH626" s="189"/>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row>
    <row r="627" spans="1:59" ht="15.75" customHeight="1" x14ac:dyDescent="0.2">
      <c r="A627" s="162"/>
      <c r="B627" s="162"/>
      <c r="C627" s="206"/>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147"/>
      <c r="AG627" s="147"/>
      <c r="AH627" s="84"/>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row>
    <row r="628" spans="1:59" ht="15.75" customHeight="1" x14ac:dyDescent="0.2">
      <c r="A628" s="162"/>
      <c r="B628" s="162"/>
      <c r="C628" s="206"/>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c r="AA628" s="262"/>
      <c r="AB628" s="262"/>
      <c r="AC628" s="262"/>
      <c r="AD628" s="262"/>
      <c r="AE628" s="262"/>
      <c r="AF628" s="147"/>
      <c r="AG628" s="147"/>
      <c r="AH628" s="189"/>
      <c r="AI628" s="189"/>
      <c r="AJ628" s="189"/>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row>
    <row r="629" spans="1:59" ht="15.75" customHeight="1" x14ac:dyDescent="0.2">
      <c r="A629" s="162"/>
      <c r="B629" s="162"/>
      <c r="C629" s="206"/>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c r="AA629" s="262"/>
      <c r="AB629" s="262"/>
      <c r="AC629" s="262"/>
      <c r="AD629" s="262"/>
      <c r="AE629" s="262"/>
      <c r="AF629" s="147"/>
      <c r="AG629" s="147"/>
      <c r="AH629" s="189"/>
      <c r="AI629" s="189"/>
      <c r="AJ629" s="189"/>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row>
    <row r="630" spans="1:59" ht="15.75" customHeight="1" x14ac:dyDescent="0.2">
      <c r="A630" s="162"/>
      <c r="B630" s="162"/>
      <c r="C630" s="206"/>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c r="AA630" s="262"/>
      <c r="AB630" s="262"/>
      <c r="AC630" s="262"/>
      <c r="AD630" s="262"/>
      <c r="AE630" s="262"/>
      <c r="AF630" s="147"/>
      <c r="AG630" s="147"/>
      <c r="AH630" s="189"/>
      <c r="AI630" s="189"/>
      <c r="AJ630" s="189"/>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row>
    <row r="631" spans="1:59" ht="15.75" customHeight="1" x14ac:dyDescent="0.2">
      <c r="A631" s="162"/>
      <c r="B631" s="162"/>
      <c r="C631" s="206"/>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c r="AA631" s="262"/>
      <c r="AB631" s="262"/>
      <c r="AC631" s="262"/>
      <c r="AD631" s="262"/>
      <c r="AE631" s="262"/>
      <c r="AF631" s="147"/>
      <c r="AG631" s="147"/>
      <c r="AH631" s="195"/>
      <c r="AI631" s="189"/>
      <c r="AJ631" s="189"/>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row>
    <row r="632" spans="1:59" ht="15.75" customHeight="1" x14ac:dyDescent="0.2">
      <c r="A632" s="162"/>
      <c r="B632" s="162"/>
      <c r="C632" s="206"/>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c r="AA632" s="262"/>
      <c r="AB632" s="262"/>
      <c r="AC632" s="262"/>
      <c r="AD632" s="262"/>
      <c r="AE632" s="262"/>
      <c r="AF632" s="147"/>
      <c r="AG632" s="147"/>
      <c r="AH632" s="189"/>
      <c r="AI632" s="189"/>
      <c r="AJ632" s="189"/>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row>
    <row r="633" spans="1:59" ht="15.75" customHeight="1" x14ac:dyDescent="0.2">
      <c r="A633" s="162"/>
      <c r="B633" s="162"/>
      <c r="C633" s="206"/>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c r="AA633" s="262"/>
      <c r="AB633" s="262"/>
      <c r="AC633" s="262"/>
      <c r="AD633" s="262"/>
      <c r="AE633" s="262"/>
      <c r="AF633" s="147"/>
      <c r="AG633" s="147"/>
      <c r="AH633" s="189"/>
      <c r="AI633" s="84"/>
      <c r="AJ633" s="84"/>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row>
    <row r="634" spans="1:59" ht="15.75" customHeight="1" x14ac:dyDescent="0.2">
      <c r="A634" s="162"/>
      <c r="B634" s="162"/>
      <c r="C634" s="206"/>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c r="AA634" s="262"/>
      <c r="AB634" s="262"/>
      <c r="AC634" s="262"/>
      <c r="AD634" s="262"/>
      <c r="AE634" s="262"/>
      <c r="AF634" s="147"/>
      <c r="AG634" s="147"/>
      <c r="AH634" s="189"/>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row>
    <row r="635" spans="1:59" ht="15.75" customHeight="1" x14ac:dyDescent="0.2">
      <c r="A635" s="162"/>
      <c r="B635" s="162"/>
      <c r="C635" s="206"/>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c r="AA635" s="262"/>
      <c r="AB635" s="262"/>
      <c r="AC635" s="262"/>
      <c r="AD635" s="262"/>
      <c r="AE635" s="262"/>
      <c r="AF635" s="147"/>
      <c r="AG635" s="147"/>
      <c r="AH635" s="189"/>
      <c r="AI635" s="189"/>
      <c r="AJ635" s="189"/>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row>
    <row r="636" spans="1:59" ht="15.75" customHeight="1" x14ac:dyDescent="0.2">
      <c r="A636" s="162"/>
      <c r="B636" s="162"/>
      <c r="C636" s="206"/>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c r="AA636" s="262"/>
      <c r="AB636" s="262"/>
      <c r="AC636" s="262"/>
      <c r="AD636" s="262"/>
      <c r="AE636" s="262"/>
      <c r="AF636" s="147"/>
      <c r="AG636" s="147"/>
      <c r="AH636" s="195"/>
      <c r="AI636" s="189"/>
      <c r="AJ636" s="189"/>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row>
    <row r="637" spans="1:59" ht="15.75" customHeight="1" x14ac:dyDescent="0.2">
      <c r="A637" s="162"/>
      <c r="B637" s="162"/>
      <c r="C637" s="206"/>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c r="AA637" s="262"/>
      <c r="AB637" s="262"/>
      <c r="AC637" s="262"/>
      <c r="AD637" s="262"/>
      <c r="AE637" s="262"/>
      <c r="AF637" s="147"/>
      <c r="AG637" s="147"/>
      <c r="AH637" s="189"/>
      <c r="AI637" s="195"/>
      <c r="AJ637" s="195"/>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row>
    <row r="638" spans="1:59" ht="15.75" customHeight="1" x14ac:dyDescent="0.2">
      <c r="A638" s="162"/>
      <c r="B638" s="162"/>
      <c r="C638" s="206"/>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c r="AA638" s="262"/>
      <c r="AB638" s="262"/>
      <c r="AC638" s="262"/>
      <c r="AD638" s="262"/>
      <c r="AE638" s="262"/>
      <c r="AF638" s="147"/>
      <c r="AG638" s="147"/>
      <c r="AH638" s="147"/>
      <c r="AI638" s="189"/>
      <c r="AJ638" s="189"/>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row>
    <row r="639" spans="1:59" ht="15.75" customHeight="1" x14ac:dyDescent="0.2">
      <c r="A639" s="162"/>
      <c r="B639" s="162"/>
      <c r="C639" s="206"/>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c r="AA639" s="262"/>
      <c r="AB639" s="262"/>
      <c r="AC639" s="262"/>
      <c r="AD639" s="262"/>
      <c r="AE639" s="262"/>
      <c r="AF639" s="147"/>
      <c r="AG639" s="147"/>
      <c r="AH639" s="147"/>
      <c r="AI639" s="189"/>
      <c r="AJ639" s="189"/>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row>
    <row r="640" spans="1:59" ht="15.75" customHeight="1" x14ac:dyDescent="0.2">
      <c r="A640" s="162"/>
      <c r="B640" s="162"/>
      <c r="C640" s="206"/>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c r="AA640" s="262"/>
      <c r="AB640" s="262"/>
      <c r="AC640" s="262"/>
      <c r="AD640" s="262"/>
      <c r="AE640" s="262"/>
      <c r="AF640" s="147"/>
      <c r="AG640" s="147"/>
      <c r="AH640" s="189"/>
      <c r="AI640" s="189"/>
      <c r="AJ640" s="189"/>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row>
    <row r="641" spans="1:59" ht="15.75" customHeight="1" x14ac:dyDescent="0.2">
      <c r="A641" s="162"/>
      <c r="B641" s="162"/>
      <c r="C641" s="206"/>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c r="AA641" s="262"/>
      <c r="AB641" s="262"/>
      <c r="AC641" s="262"/>
      <c r="AD641" s="262"/>
      <c r="AE641" s="262"/>
      <c r="AF641" s="147"/>
      <c r="AG641" s="147"/>
      <c r="AH641" s="189"/>
      <c r="AI641" s="195"/>
      <c r="AJ641" s="195"/>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row>
    <row r="642" spans="1:59" ht="15.75" customHeight="1" x14ac:dyDescent="0.2">
      <c r="A642" s="162"/>
      <c r="B642" s="162"/>
      <c r="C642" s="206"/>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c r="AA642" s="262"/>
      <c r="AB642" s="262"/>
      <c r="AC642" s="262"/>
      <c r="AD642" s="262"/>
      <c r="AE642" s="262"/>
      <c r="AF642" s="147"/>
      <c r="AG642" s="147"/>
      <c r="AH642" s="189"/>
      <c r="AI642" s="195"/>
      <c r="AJ642" s="195"/>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row>
    <row r="643" spans="1:59" ht="15.75" customHeight="1" x14ac:dyDescent="0.2">
      <c r="A643" s="162"/>
      <c r="B643" s="162"/>
      <c r="C643" s="206"/>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c r="AA643" s="262"/>
      <c r="AB643" s="262"/>
      <c r="AC643" s="262"/>
      <c r="AD643" s="262"/>
      <c r="AE643" s="262"/>
      <c r="AF643" s="147"/>
      <c r="AG643" s="147"/>
      <c r="AH643" s="189"/>
      <c r="AI643" s="189"/>
      <c r="AJ643" s="189"/>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row>
    <row r="644" spans="1:59" ht="15.75" customHeight="1" x14ac:dyDescent="0.2">
      <c r="A644" s="162"/>
      <c r="B644" s="162"/>
      <c r="C644" s="206"/>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c r="AA644" s="262"/>
      <c r="AB644" s="262"/>
      <c r="AC644" s="262"/>
      <c r="AD644" s="262"/>
      <c r="AE644" s="262"/>
      <c r="AF644" s="147"/>
      <c r="AG644" s="147"/>
      <c r="AH644" s="189"/>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row>
    <row r="645" spans="1:59" ht="15.75" customHeight="1" x14ac:dyDescent="0.2">
      <c r="A645" s="162"/>
      <c r="B645" s="162"/>
      <c r="C645" s="206"/>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c r="AA645" s="262"/>
      <c r="AB645" s="262"/>
      <c r="AC645" s="262"/>
      <c r="AD645" s="262"/>
      <c r="AE645" s="262"/>
      <c r="AF645" s="147"/>
      <c r="AG645" s="147"/>
      <c r="AH645" s="84"/>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row>
    <row r="646" spans="1:59" ht="15.75" customHeight="1" x14ac:dyDescent="0.2">
      <c r="A646" s="162"/>
      <c r="B646" s="162"/>
      <c r="C646" s="206"/>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c r="AA646" s="262"/>
      <c r="AB646" s="262"/>
      <c r="AC646" s="262"/>
      <c r="AD646" s="262"/>
      <c r="AE646" s="262"/>
      <c r="AF646" s="147"/>
      <c r="AG646" s="147"/>
      <c r="AH646" s="147"/>
      <c r="AI646" s="189"/>
      <c r="AJ646" s="189"/>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row>
    <row r="647" spans="1:59" ht="15.75" customHeight="1" x14ac:dyDescent="0.2">
      <c r="A647" s="162"/>
      <c r="B647" s="162"/>
      <c r="C647" s="206"/>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c r="AA647" s="262"/>
      <c r="AB647" s="262"/>
      <c r="AC647" s="262"/>
      <c r="AD647" s="262"/>
      <c r="AE647" s="262"/>
      <c r="AF647" s="147"/>
      <c r="AG647" s="147"/>
      <c r="AH647" s="189"/>
      <c r="AI647" s="189"/>
      <c r="AJ647" s="189"/>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row>
    <row r="648" spans="1:59" ht="15.75" customHeight="1" x14ac:dyDescent="0.2">
      <c r="A648" s="162"/>
      <c r="B648" s="162"/>
      <c r="C648" s="206"/>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c r="AA648" s="262"/>
      <c r="AB648" s="262"/>
      <c r="AC648" s="262"/>
      <c r="AD648" s="262"/>
      <c r="AE648" s="262"/>
      <c r="AF648" s="147"/>
      <c r="AG648" s="147"/>
      <c r="AH648" s="189"/>
      <c r="AI648" s="195"/>
      <c r="AJ648" s="195"/>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row>
    <row r="649" spans="1:59" ht="15.75" customHeight="1" x14ac:dyDescent="0.2">
      <c r="A649" s="162"/>
      <c r="B649" s="162"/>
      <c r="C649" s="206"/>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c r="AA649" s="262"/>
      <c r="AB649" s="262"/>
      <c r="AC649" s="262"/>
      <c r="AD649" s="262"/>
      <c r="AE649" s="262"/>
      <c r="AF649" s="147"/>
      <c r="AG649" s="147"/>
      <c r="AH649" s="195"/>
      <c r="AI649" s="189"/>
      <c r="AJ649" s="189"/>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row>
    <row r="650" spans="1:59" ht="15.75" customHeight="1" x14ac:dyDescent="0.2">
      <c r="A650" s="162"/>
      <c r="B650" s="162"/>
      <c r="C650" s="206"/>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147"/>
      <c r="AG650" s="147"/>
      <c r="AH650" s="189"/>
      <c r="AI650" s="231"/>
      <c r="AJ650" s="189"/>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row>
    <row r="651" spans="1:59" ht="15.75" customHeight="1" x14ac:dyDescent="0.2">
      <c r="A651" s="162"/>
      <c r="B651" s="162"/>
      <c r="C651" s="206"/>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c r="AA651" s="262"/>
      <c r="AB651" s="262"/>
      <c r="AC651" s="262"/>
      <c r="AD651" s="262"/>
      <c r="AE651" s="262"/>
      <c r="AF651" s="147"/>
      <c r="AG651" s="147"/>
      <c r="AH651" s="189"/>
      <c r="AI651" s="84"/>
      <c r="AJ651" s="84"/>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row>
    <row r="652" spans="1:59" ht="15.75" customHeight="1" x14ac:dyDescent="0.2">
      <c r="A652" s="162"/>
      <c r="B652" s="162"/>
      <c r="C652" s="206"/>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c r="AA652" s="262"/>
      <c r="AB652" s="262"/>
      <c r="AC652" s="262"/>
      <c r="AD652" s="262"/>
      <c r="AE652" s="262"/>
      <c r="AF652" s="147"/>
      <c r="AG652" s="147"/>
      <c r="AH652" s="189"/>
      <c r="AI652" s="189"/>
      <c r="AJ652" s="189"/>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row>
    <row r="653" spans="1:59" ht="15.75" customHeight="1" x14ac:dyDescent="0.2">
      <c r="A653" s="162"/>
      <c r="B653" s="162"/>
      <c r="C653" s="206"/>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c r="AA653" s="262"/>
      <c r="AB653" s="262"/>
      <c r="AC653" s="262"/>
      <c r="AD653" s="262"/>
      <c r="AE653" s="262"/>
      <c r="AF653" s="147"/>
      <c r="AG653" s="147"/>
      <c r="AH653" s="195"/>
      <c r="AI653" s="189"/>
      <c r="AJ653" s="189"/>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row>
    <row r="654" spans="1:59" ht="15.75" customHeight="1" x14ac:dyDescent="0.2">
      <c r="A654" s="162"/>
      <c r="B654" s="162"/>
      <c r="C654" s="206"/>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c r="AA654" s="262"/>
      <c r="AB654" s="262"/>
      <c r="AC654" s="262"/>
      <c r="AD654" s="262"/>
      <c r="AE654" s="262"/>
      <c r="AF654" s="147"/>
      <c r="AG654" s="147"/>
      <c r="AH654" s="195"/>
      <c r="AI654" s="189"/>
      <c r="AJ654" s="189"/>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row>
    <row r="655" spans="1:59" ht="15.75" customHeight="1" x14ac:dyDescent="0.2">
      <c r="A655" s="162"/>
      <c r="B655" s="162"/>
      <c r="C655" s="206"/>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c r="AA655" s="262"/>
      <c r="AB655" s="262"/>
      <c r="AC655" s="262"/>
      <c r="AD655" s="262"/>
      <c r="AE655" s="262"/>
      <c r="AF655" s="147"/>
      <c r="AG655" s="147"/>
      <c r="AH655" s="189"/>
      <c r="AI655" s="189"/>
      <c r="AJ655" s="189"/>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row>
    <row r="656" spans="1:59" ht="15.75" customHeight="1" x14ac:dyDescent="0.2">
      <c r="A656" s="162"/>
      <c r="B656" s="162"/>
      <c r="C656" s="206"/>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c r="AA656" s="262"/>
      <c r="AB656" s="262"/>
      <c r="AC656" s="262"/>
      <c r="AD656" s="262"/>
      <c r="AE656" s="262"/>
      <c r="AF656" s="147"/>
      <c r="AG656" s="147"/>
      <c r="AH656" s="147"/>
      <c r="AI656" s="189"/>
      <c r="AJ656" s="189"/>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row>
    <row r="657" spans="1:59" ht="15.75" customHeight="1" x14ac:dyDescent="0.2">
      <c r="A657" s="162"/>
      <c r="B657" s="162"/>
      <c r="C657" s="206"/>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c r="AA657" s="262"/>
      <c r="AB657" s="262"/>
      <c r="AC657" s="262"/>
      <c r="AD657" s="262"/>
      <c r="AE657" s="262"/>
      <c r="AF657" s="147"/>
      <c r="AG657" s="147"/>
      <c r="AH657" s="147"/>
      <c r="AI657" s="195"/>
      <c r="AJ657" s="195"/>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row>
    <row r="658" spans="1:59" ht="15.75" customHeight="1" x14ac:dyDescent="0.2">
      <c r="A658" s="162"/>
      <c r="B658" s="162"/>
      <c r="C658" s="206"/>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c r="AA658" s="262"/>
      <c r="AB658" s="262"/>
      <c r="AC658" s="262"/>
      <c r="AD658" s="262"/>
      <c r="AE658" s="262"/>
      <c r="AF658" s="147"/>
      <c r="AG658" s="147"/>
      <c r="AH658" s="189"/>
      <c r="AI658" s="189"/>
      <c r="AJ658" s="189"/>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row>
    <row r="659" spans="1:59" ht="15.75" customHeight="1" x14ac:dyDescent="0.2">
      <c r="A659" s="162"/>
      <c r="B659" s="162"/>
      <c r="C659" s="206"/>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c r="AA659" s="262"/>
      <c r="AB659" s="262"/>
      <c r="AC659" s="262"/>
      <c r="AD659" s="262"/>
      <c r="AE659" s="262"/>
      <c r="AF659" s="147"/>
      <c r="AG659" s="147"/>
      <c r="AH659" s="189"/>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row>
    <row r="660" spans="1:59" ht="15.75" customHeight="1" x14ac:dyDescent="0.2">
      <c r="A660" s="162"/>
      <c r="B660" s="162"/>
      <c r="C660" s="206"/>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c r="AA660" s="262"/>
      <c r="AB660" s="262"/>
      <c r="AC660" s="262"/>
      <c r="AD660" s="262"/>
      <c r="AE660" s="262"/>
      <c r="AF660" s="147"/>
      <c r="AG660" s="147"/>
      <c r="AH660" s="195"/>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row>
    <row r="661" spans="1:59" ht="15.75" customHeight="1" x14ac:dyDescent="0.2">
      <c r="A661" s="162"/>
      <c r="B661" s="162"/>
      <c r="C661" s="206"/>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c r="AA661" s="262"/>
      <c r="AB661" s="262"/>
      <c r="AC661" s="262"/>
      <c r="AD661" s="262"/>
      <c r="AE661" s="262"/>
      <c r="AF661" s="147"/>
      <c r="AG661" s="147"/>
      <c r="AH661" s="189"/>
      <c r="AI661" s="189"/>
      <c r="AJ661" s="189"/>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row>
    <row r="662" spans="1:59" ht="15.75" customHeight="1" x14ac:dyDescent="0.2">
      <c r="A662" s="162"/>
      <c r="B662" s="162"/>
      <c r="C662" s="206"/>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c r="AA662" s="262"/>
      <c r="AB662" s="262"/>
      <c r="AC662" s="262"/>
      <c r="AD662" s="262"/>
      <c r="AE662" s="262"/>
      <c r="AF662" s="147"/>
      <c r="AG662" s="147"/>
      <c r="AH662" s="231"/>
      <c r="AI662" s="189"/>
      <c r="AJ662" s="189"/>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row>
    <row r="663" spans="1:59" ht="15.75" customHeight="1" x14ac:dyDescent="0.2">
      <c r="A663" s="162"/>
      <c r="B663" s="162"/>
      <c r="C663" s="206"/>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c r="AA663" s="262"/>
      <c r="AB663" s="262"/>
      <c r="AC663" s="262"/>
      <c r="AD663" s="262"/>
      <c r="AE663" s="262"/>
      <c r="AF663" s="147"/>
      <c r="AG663" s="147"/>
      <c r="AH663" s="84"/>
      <c r="AI663" s="189"/>
      <c r="AJ663" s="189"/>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row>
    <row r="664" spans="1:59" ht="15.75" customHeight="1" x14ac:dyDescent="0.2">
      <c r="A664" s="162"/>
      <c r="B664" s="162"/>
      <c r="C664" s="206"/>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c r="AA664" s="262"/>
      <c r="AB664" s="262"/>
      <c r="AC664" s="262"/>
      <c r="AD664" s="262"/>
      <c r="AE664" s="262"/>
      <c r="AF664" s="147"/>
      <c r="AG664" s="147"/>
      <c r="AH664" s="189"/>
      <c r="AI664" s="189"/>
      <c r="AJ664" s="189"/>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row>
    <row r="665" spans="1:59" ht="15.75" customHeight="1" x14ac:dyDescent="0.2">
      <c r="A665" s="162"/>
      <c r="B665" s="162"/>
      <c r="C665" s="206"/>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c r="AA665" s="262"/>
      <c r="AB665" s="262"/>
      <c r="AC665" s="262"/>
      <c r="AD665" s="262"/>
      <c r="AE665" s="262"/>
      <c r="AF665" s="147"/>
      <c r="AG665" s="147"/>
      <c r="AH665" s="189"/>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row>
    <row r="666" spans="1:59" ht="15.75" customHeight="1" x14ac:dyDescent="0.2">
      <c r="A666" s="162"/>
      <c r="B666" s="162"/>
      <c r="C666" s="206"/>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c r="AA666" s="262"/>
      <c r="AB666" s="262"/>
      <c r="AC666" s="262"/>
      <c r="AD666" s="262"/>
      <c r="AE666" s="262"/>
      <c r="AF666" s="147"/>
      <c r="AG666" s="147"/>
      <c r="AH666" s="189"/>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row>
    <row r="667" spans="1:59" ht="15.75" customHeight="1" x14ac:dyDescent="0.2">
      <c r="A667" s="162"/>
      <c r="B667" s="162"/>
      <c r="C667" s="206"/>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c r="AA667" s="262"/>
      <c r="AB667" s="262"/>
      <c r="AC667" s="262"/>
      <c r="AD667" s="262"/>
      <c r="AE667" s="262"/>
      <c r="AF667" s="147"/>
      <c r="AG667" s="147"/>
      <c r="AH667" s="189"/>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row>
    <row r="668" spans="1:59" ht="15.75" customHeight="1" x14ac:dyDescent="0.2">
      <c r="A668" s="162"/>
      <c r="B668" s="162"/>
      <c r="C668" s="206"/>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c r="AA668" s="262"/>
      <c r="AB668" s="262"/>
      <c r="AC668" s="262"/>
      <c r="AD668" s="262"/>
      <c r="AE668" s="262"/>
      <c r="AF668" s="147"/>
      <c r="AG668" s="147"/>
      <c r="AH668" s="189"/>
      <c r="AI668" s="189"/>
      <c r="AJ668" s="189"/>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row>
    <row r="669" spans="1:59" ht="15.75" customHeight="1" x14ac:dyDescent="0.2">
      <c r="A669" s="162"/>
      <c r="B669" s="162"/>
      <c r="C669" s="206"/>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c r="AA669" s="262"/>
      <c r="AB669" s="262"/>
      <c r="AC669" s="262"/>
      <c r="AD669" s="262"/>
      <c r="AE669" s="262"/>
      <c r="AF669" s="147"/>
      <c r="AG669" s="147"/>
      <c r="AH669" s="195"/>
      <c r="AI669" s="189"/>
      <c r="AJ669" s="189"/>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row>
    <row r="670" spans="1:59" ht="15.75" customHeight="1" x14ac:dyDescent="0.2">
      <c r="A670" s="162"/>
      <c r="B670" s="162"/>
      <c r="C670" s="206"/>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c r="AA670" s="262"/>
      <c r="AB670" s="262"/>
      <c r="AC670" s="262"/>
      <c r="AD670" s="262"/>
      <c r="AE670" s="262"/>
      <c r="AF670" s="147"/>
      <c r="AG670" s="147"/>
      <c r="AH670" s="189"/>
      <c r="AI670" s="189"/>
      <c r="AJ670" s="189"/>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row>
    <row r="671" spans="1:59" ht="15.75" customHeight="1" x14ac:dyDescent="0.2">
      <c r="A671" s="162"/>
      <c r="B671" s="162"/>
      <c r="C671" s="206"/>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c r="AA671" s="262"/>
      <c r="AB671" s="262"/>
      <c r="AC671" s="262"/>
      <c r="AD671" s="262"/>
      <c r="AE671" s="262"/>
      <c r="AF671" s="147"/>
      <c r="AG671" s="147"/>
      <c r="AH671" s="147"/>
      <c r="AI671" s="189"/>
      <c r="AJ671" s="189"/>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row>
    <row r="672" spans="1:59" ht="15.75" customHeight="1" x14ac:dyDescent="0.2">
      <c r="A672" s="162"/>
      <c r="B672" s="162"/>
      <c r="C672" s="206"/>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c r="AA672" s="262"/>
      <c r="AB672" s="262"/>
      <c r="AC672" s="262"/>
      <c r="AD672" s="262"/>
      <c r="AE672" s="262"/>
      <c r="AF672" s="147"/>
      <c r="AG672" s="147"/>
      <c r="AH672" s="147"/>
      <c r="AI672" s="189"/>
      <c r="AJ672" s="189"/>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row>
    <row r="673" spans="1:59" ht="15.75" customHeight="1" x14ac:dyDescent="0.2">
      <c r="A673" s="162"/>
      <c r="B673" s="162"/>
      <c r="C673" s="206"/>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c r="AA673" s="262"/>
      <c r="AB673" s="262"/>
      <c r="AC673" s="262"/>
      <c r="AD673" s="262"/>
      <c r="AE673" s="262"/>
      <c r="AF673" s="147"/>
      <c r="AG673" s="147"/>
      <c r="AH673" s="189"/>
      <c r="AI673" s="189"/>
      <c r="AJ673" s="189"/>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row>
    <row r="674" spans="1:59" ht="15.75" customHeight="1" x14ac:dyDescent="0.2">
      <c r="A674" s="162"/>
      <c r="B674" s="162"/>
      <c r="C674" s="206"/>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c r="AA674" s="262"/>
      <c r="AB674" s="262"/>
      <c r="AC674" s="262"/>
      <c r="AD674" s="262"/>
      <c r="AE674" s="262"/>
      <c r="AF674" s="147"/>
      <c r="AG674" s="147"/>
      <c r="AH674" s="189"/>
      <c r="AI674" s="189"/>
      <c r="AJ674" s="189"/>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row>
    <row r="675" spans="1:59" ht="15.75" customHeight="1" x14ac:dyDescent="0.2">
      <c r="A675" s="162"/>
      <c r="B675" s="162"/>
      <c r="C675" s="206"/>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c r="AA675" s="262"/>
      <c r="AB675" s="262"/>
      <c r="AC675" s="262"/>
      <c r="AD675" s="262"/>
      <c r="AE675" s="262"/>
      <c r="AF675" s="147"/>
      <c r="AG675" s="147"/>
      <c r="AH675" s="189"/>
      <c r="AI675" s="162"/>
      <c r="AJ675" s="162"/>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row>
    <row r="676" spans="1:59" ht="15.75" customHeight="1" x14ac:dyDescent="0.2">
      <c r="A676" s="162"/>
      <c r="B676" s="162"/>
      <c r="C676" s="206"/>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c r="AA676" s="262"/>
      <c r="AB676" s="262"/>
      <c r="AC676" s="262"/>
      <c r="AD676" s="262"/>
      <c r="AE676" s="262"/>
      <c r="AF676" s="147"/>
      <c r="AG676" s="147"/>
      <c r="AH676" s="189"/>
      <c r="AI676" s="189"/>
      <c r="AJ676" s="189"/>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row>
    <row r="677" spans="1:59" ht="15.75" customHeight="1" x14ac:dyDescent="0.2">
      <c r="A677" s="162"/>
      <c r="B677" s="162"/>
      <c r="C677" s="206"/>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c r="AA677" s="262"/>
      <c r="AB677" s="262"/>
      <c r="AC677" s="262"/>
      <c r="AD677" s="262"/>
      <c r="AE677" s="262"/>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row>
    <row r="678" spans="1:59" ht="15.75" customHeight="1" x14ac:dyDescent="0.2">
      <c r="A678" s="162"/>
      <c r="B678" s="162"/>
      <c r="C678" s="206"/>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c r="AA678" s="262"/>
      <c r="AB678" s="262"/>
      <c r="AC678" s="262"/>
      <c r="AD678" s="262"/>
      <c r="AE678" s="262"/>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row>
    <row r="679" spans="1:59" ht="15.75" customHeight="1" x14ac:dyDescent="0.2">
      <c r="A679" s="162"/>
      <c r="B679" s="162"/>
      <c r="C679" s="206"/>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c r="AA679" s="262"/>
      <c r="AB679" s="262"/>
      <c r="AC679" s="262"/>
      <c r="AD679" s="262"/>
      <c r="AE679" s="262"/>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row>
    <row r="680" spans="1:59" ht="15.75" customHeight="1" x14ac:dyDescent="0.2">
      <c r="A680" s="162"/>
      <c r="B680" s="162"/>
      <c r="C680" s="206"/>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c r="AA680" s="262"/>
      <c r="AB680" s="262"/>
      <c r="AC680" s="262"/>
      <c r="AD680" s="262"/>
      <c r="AE680" s="262"/>
      <c r="AF680" s="147"/>
      <c r="AG680" s="147"/>
      <c r="AH680" s="189"/>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row>
    <row r="681" spans="1:59" ht="15.75" customHeight="1" x14ac:dyDescent="0.2">
      <c r="A681" s="162"/>
      <c r="B681" s="162"/>
      <c r="C681" s="206"/>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c r="AA681" s="262"/>
      <c r="AB681" s="262"/>
      <c r="AC681" s="262"/>
      <c r="AD681" s="262"/>
      <c r="AE681" s="262"/>
      <c r="AF681" s="147"/>
      <c r="AG681" s="147"/>
      <c r="AH681" s="189"/>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row>
    <row r="682" spans="1:59" ht="15.75" customHeight="1" x14ac:dyDescent="0.2">
      <c r="A682" s="162"/>
      <c r="B682" s="162"/>
      <c r="C682" s="206"/>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2"/>
      <c r="AD682" s="262"/>
      <c r="AE682" s="262"/>
      <c r="AF682" s="147"/>
      <c r="AG682" s="147"/>
      <c r="AH682" s="189"/>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row>
    <row r="683" spans="1:59" ht="15.75" customHeight="1" x14ac:dyDescent="0.2">
      <c r="A683" s="162"/>
      <c r="B683" s="162"/>
      <c r="C683" s="206"/>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c r="AA683" s="262"/>
      <c r="AB683" s="262"/>
      <c r="AC683" s="262"/>
      <c r="AD683" s="262"/>
      <c r="AE683" s="262"/>
      <c r="AF683" s="147"/>
      <c r="AG683" s="147"/>
      <c r="AH683" s="189"/>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row>
    <row r="684" spans="1:59" ht="15.75" customHeight="1" x14ac:dyDescent="0.2">
      <c r="A684" s="162"/>
      <c r="B684" s="162"/>
      <c r="C684" s="206"/>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c r="AA684" s="262"/>
      <c r="AB684" s="262"/>
      <c r="AC684" s="262"/>
      <c r="AD684" s="262"/>
      <c r="AE684" s="262"/>
      <c r="AF684" s="147"/>
      <c r="AG684" s="147"/>
      <c r="AH684" s="189"/>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row>
    <row r="685" spans="1:59" ht="15.75" customHeight="1" x14ac:dyDescent="0.2">
      <c r="A685" s="162"/>
      <c r="B685" s="162"/>
      <c r="C685" s="206"/>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c r="AA685" s="262"/>
      <c r="AB685" s="262"/>
      <c r="AC685" s="262"/>
      <c r="AD685" s="262"/>
      <c r="AE685" s="262"/>
      <c r="AF685" s="147"/>
      <c r="AG685" s="147"/>
      <c r="AH685" s="189"/>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row>
    <row r="686" spans="1:59" ht="15.75" customHeight="1" x14ac:dyDescent="0.2">
      <c r="A686" s="162"/>
      <c r="B686" s="162"/>
      <c r="C686" s="206"/>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147"/>
      <c r="AG686" s="147"/>
      <c r="AH686" s="189"/>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row>
    <row r="687" spans="1:59" ht="15.75" customHeight="1" x14ac:dyDescent="0.2">
      <c r="A687" s="162"/>
      <c r="B687" s="162"/>
      <c r="C687" s="206"/>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c r="AA687" s="262"/>
      <c r="AB687" s="262"/>
      <c r="AC687" s="262"/>
      <c r="AD687" s="262"/>
      <c r="AE687" s="262"/>
      <c r="AF687" s="147"/>
      <c r="AG687" s="147"/>
      <c r="AH687" s="162"/>
      <c r="AI687" s="195"/>
      <c r="AJ687" s="195"/>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row>
    <row r="688" spans="1:59" ht="15.75" customHeight="1" x14ac:dyDescent="0.2">
      <c r="A688" s="162"/>
      <c r="B688" s="162"/>
      <c r="C688" s="206"/>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c r="AA688" s="262"/>
      <c r="AB688" s="262"/>
      <c r="AC688" s="262"/>
      <c r="AD688" s="262"/>
      <c r="AE688" s="262"/>
      <c r="AF688" s="147"/>
      <c r="AG688" s="147"/>
      <c r="AH688" s="189"/>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row>
    <row r="689" spans="1:59" ht="15.75" customHeight="1" x14ac:dyDescent="0.2">
      <c r="A689" s="162"/>
      <c r="B689" s="162"/>
      <c r="C689" s="206"/>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c r="AA689" s="262"/>
      <c r="AB689" s="262"/>
      <c r="AC689" s="262"/>
      <c r="AD689" s="262"/>
      <c r="AE689" s="262"/>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row>
    <row r="690" spans="1:59" ht="15.75" customHeight="1" x14ac:dyDescent="0.2">
      <c r="A690" s="162"/>
      <c r="B690" s="162"/>
      <c r="C690" s="206"/>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262"/>
      <c r="AE690" s="262"/>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row>
    <row r="691" spans="1:59" ht="15.75" customHeight="1" x14ac:dyDescent="0.2">
      <c r="A691" s="162"/>
      <c r="B691" s="162"/>
      <c r="C691" s="206"/>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262"/>
      <c r="AE691" s="262"/>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row>
    <row r="692" spans="1:59" ht="15.75" customHeight="1" x14ac:dyDescent="0.2">
      <c r="A692" s="162"/>
      <c r="B692" s="162"/>
      <c r="C692" s="206"/>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262"/>
      <c r="AD692" s="262"/>
      <c r="AE692" s="262"/>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row>
    <row r="693" spans="1:59" ht="15.75" customHeight="1" x14ac:dyDescent="0.2">
      <c r="A693" s="162"/>
      <c r="B693" s="162"/>
      <c r="C693" s="206"/>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262"/>
      <c r="AD693" s="262"/>
      <c r="AE693" s="262"/>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row>
    <row r="694" spans="1:59" ht="15.75" customHeight="1" x14ac:dyDescent="0.2">
      <c r="A694" s="162"/>
      <c r="B694" s="162"/>
      <c r="C694" s="206"/>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c r="AA694" s="262"/>
      <c r="AB694" s="262"/>
      <c r="AC694" s="262"/>
      <c r="AD694" s="262"/>
      <c r="AE694" s="262"/>
      <c r="AF694" s="147"/>
      <c r="AG694" s="147"/>
      <c r="AH694" s="147"/>
      <c r="AI694" s="209"/>
      <c r="AJ694" s="209"/>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row>
    <row r="695" spans="1:59" ht="15.75" customHeight="1" x14ac:dyDescent="0.2">
      <c r="A695" s="162"/>
      <c r="B695" s="162"/>
      <c r="C695" s="206"/>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c r="AA695" s="262"/>
      <c r="AB695" s="262"/>
      <c r="AC695" s="262"/>
      <c r="AD695" s="262"/>
      <c r="AE695" s="262"/>
      <c r="AF695" s="147"/>
      <c r="AG695" s="147"/>
      <c r="AH695" s="147"/>
      <c r="AI695" s="84"/>
      <c r="AJ695" s="84"/>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row>
    <row r="696" spans="1:59" ht="15.75" customHeight="1" x14ac:dyDescent="0.2">
      <c r="A696" s="162"/>
      <c r="B696" s="162"/>
      <c r="C696" s="206"/>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c r="AA696" s="262"/>
      <c r="AB696" s="262"/>
      <c r="AC696" s="262"/>
      <c r="AD696" s="262"/>
      <c r="AE696" s="262"/>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row>
    <row r="697" spans="1:59" ht="15.75" customHeight="1" x14ac:dyDescent="0.2">
      <c r="A697" s="162"/>
      <c r="B697" s="162"/>
      <c r="C697" s="206"/>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147"/>
      <c r="AG697" s="147"/>
      <c r="AH697" s="147"/>
      <c r="AI697" s="189"/>
      <c r="AJ697" s="189"/>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row>
    <row r="698" spans="1:59" ht="15.75" customHeight="1" x14ac:dyDescent="0.2">
      <c r="A698" s="162"/>
      <c r="B698" s="162"/>
      <c r="C698" s="206"/>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262"/>
      <c r="AE698" s="262"/>
      <c r="AF698" s="147"/>
      <c r="AG698" s="147"/>
      <c r="AH698" s="147"/>
      <c r="AI698" s="189"/>
      <c r="AJ698" s="189"/>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row>
    <row r="699" spans="1:59" ht="15.75" customHeight="1" x14ac:dyDescent="0.2">
      <c r="A699" s="162"/>
      <c r="B699" s="162"/>
      <c r="C699" s="206"/>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147"/>
      <c r="AG699" s="147"/>
      <c r="AH699" s="195"/>
      <c r="AI699" s="189"/>
      <c r="AJ699" s="189"/>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row>
    <row r="700" spans="1:59" ht="15.75" customHeight="1" x14ac:dyDescent="0.2">
      <c r="A700" s="162"/>
      <c r="B700" s="162"/>
      <c r="C700" s="206"/>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c r="AA700" s="262"/>
      <c r="AB700" s="262"/>
      <c r="AC700" s="262"/>
      <c r="AD700" s="262"/>
      <c r="AE700" s="262"/>
      <c r="AF700" s="147"/>
      <c r="AG700" s="147"/>
      <c r="AH700" s="147"/>
      <c r="AI700" s="189"/>
      <c r="AJ700" s="189"/>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row>
    <row r="701" spans="1:59" ht="15.75" customHeight="1" x14ac:dyDescent="0.2">
      <c r="A701" s="162"/>
      <c r="B701" s="162"/>
      <c r="C701" s="206"/>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c r="AA701" s="262"/>
      <c r="AB701" s="262"/>
      <c r="AC701" s="262"/>
      <c r="AD701" s="262"/>
      <c r="AE701" s="262"/>
      <c r="AF701" s="147"/>
      <c r="AG701" s="147"/>
      <c r="AH701" s="147"/>
      <c r="AI701" s="189"/>
      <c r="AJ701" s="189"/>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row>
    <row r="702" spans="1:59" ht="15.75" customHeight="1" x14ac:dyDescent="0.2">
      <c r="A702" s="162"/>
      <c r="B702" s="162"/>
      <c r="C702" s="206"/>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c r="AA702" s="262"/>
      <c r="AB702" s="262"/>
      <c r="AC702" s="262"/>
      <c r="AD702" s="262"/>
      <c r="AE702" s="262"/>
      <c r="AF702" s="147"/>
      <c r="AG702" s="147"/>
      <c r="AH702" s="147"/>
      <c r="AI702" s="189"/>
      <c r="AJ702" s="189"/>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row>
    <row r="703" spans="1:59" ht="15.75" customHeight="1" x14ac:dyDescent="0.2">
      <c r="A703" s="162"/>
      <c r="B703" s="162"/>
      <c r="C703" s="206"/>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c r="AA703" s="262"/>
      <c r="AB703" s="262"/>
      <c r="AC703" s="262"/>
      <c r="AD703" s="262"/>
      <c r="AE703" s="262"/>
      <c r="AF703" s="147"/>
      <c r="AG703" s="147"/>
      <c r="AH703" s="147"/>
      <c r="AI703" s="189"/>
      <c r="AJ703" s="189"/>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row>
    <row r="704" spans="1:59" ht="15.75" customHeight="1" x14ac:dyDescent="0.2">
      <c r="A704" s="162"/>
      <c r="B704" s="162"/>
      <c r="C704" s="206"/>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c r="AA704" s="262"/>
      <c r="AB704" s="262"/>
      <c r="AC704" s="262"/>
      <c r="AD704" s="262"/>
      <c r="AE704" s="262"/>
      <c r="AF704" s="147"/>
      <c r="AG704" s="147"/>
      <c r="AH704" s="147"/>
      <c r="AI704" s="162"/>
      <c r="AJ704" s="162"/>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row>
    <row r="705" spans="1:59" ht="15.75" customHeight="1" x14ac:dyDescent="0.2">
      <c r="A705" s="162"/>
      <c r="B705" s="162"/>
      <c r="C705" s="206"/>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c r="AA705" s="262"/>
      <c r="AB705" s="262"/>
      <c r="AC705" s="262"/>
      <c r="AD705" s="262"/>
      <c r="AE705" s="262"/>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row>
    <row r="706" spans="1:59" ht="15.75" customHeight="1" x14ac:dyDescent="0.2">
      <c r="A706" s="162"/>
      <c r="B706" s="162"/>
      <c r="C706" s="206"/>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c r="AA706" s="262"/>
      <c r="AB706" s="262"/>
      <c r="AC706" s="262"/>
      <c r="AD706" s="262"/>
      <c r="AE706" s="262"/>
      <c r="AF706" s="147"/>
      <c r="AG706" s="147"/>
      <c r="AH706" s="209"/>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row>
    <row r="707" spans="1:59" ht="15.75" customHeight="1" x14ac:dyDescent="0.2">
      <c r="A707" s="162"/>
      <c r="B707" s="162"/>
      <c r="C707" s="206"/>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c r="AA707" s="262"/>
      <c r="AB707" s="262"/>
      <c r="AC707" s="262"/>
      <c r="AD707" s="262"/>
      <c r="AE707" s="262"/>
      <c r="AF707" s="147"/>
      <c r="AG707" s="147"/>
      <c r="AH707" s="84"/>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row>
    <row r="708" spans="1:59" ht="15.75" customHeight="1" x14ac:dyDescent="0.2">
      <c r="A708" s="162"/>
      <c r="B708" s="162"/>
      <c r="C708" s="206"/>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c r="AA708" s="262"/>
      <c r="AB708" s="262"/>
      <c r="AC708" s="262"/>
      <c r="AD708" s="262"/>
      <c r="AE708" s="262"/>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row>
    <row r="709" spans="1:59" ht="15.75" customHeight="1" x14ac:dyDescent="0.2">
      <c r="A709" s="162"/>
      <c r="B709" s="162"/>
      <c r="C709" s="206"/>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c r="AA709" s="262"/>
      <c r="AB709" s="262"/>
      <c r="AC709" s="262"/>
      <c r="AD709" s="262"/>
      <c r="AE709" s="262"/>
      <c r="AF709" s="147"/>
      <c r="AG709" s="147"/>
      <c r="AH709" s="189"/>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row>
    <row r="710" spans="1:59" ht="15.75" customHeight="1" x14ac:dyDescent="0.2">
      <c r="A710" s="162"/>
      <c r="B710" s="162"/>
      <c r="C710" s="206"/>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c r="AA710" s="262"/>
      <c r="AB710" s="262"/>
      <c r="AC710" s="262"/>
      <c r="AD710" s="262"/>
      <c r="AE710" s="262"/>
      <c r="AF710" s="147"/>
      <c r="AG710" s="147"/>
      <c r="AH710" s="189"/>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row>
    <row r="711" spans="1:59" ht="15.75" customHeight="1" x14ac:dyDescent="0.2">
      <c r="A711" s="162"/>
      <c r="B711" s="162"/>
      <c r="C711" s="206"/>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c r="AA711" s="262"/>
      <c r="AB711" s="262"/>
      <c r="AC711" s="262"/>
      <c r="AD711" s="262"/>
      <c r="AE711" s="262"/>
      <c r="AF711" s="147"/>
      <c r="AG711" s="147"/>
      <c r="AH711" s="189"/>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row>
    <row r="712" spans="1:59" ht="15.75" customHeight="1" x14ac:dyDescent="0.2">
      <c r="A712" s="162"/>
      <c r="B712" s="162"/>
      <c r="C712" s="206"/>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c r="AA712" s="262"/>
      <c r="AB712" s="262"/>
      <c r="AC712" s="262"/>
      <c r="AD712" s="262"/>
      <c r="AE712" s="262"/>
      <c r="AF712" s="147"/>
      <c r="AG712" s="147"/>
      <c r="AH712" s="189"/>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row>
    <row r="713" spans="1:59" ht="15.75" customHeight="1" x14ac:dyDescent="0.2">
      <c r="A713" s="162"/>
      <c r="B713" s="162"/>
      <c r="C713" s="206"/>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c r="AA713" s="262"/>
      <c r="AB713" s="262"/>
      <c r="AC713" s="262"/>
      <c r="AD713" s="262"/>
      <c r="AE713" s="262"/>
      <c r="AF713" s="147"/>
      <c r="AG713" s="147"/>
      <c r="AH713" s="189"/>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row>
    <row r="714" spans="1:59" ht="15.75" customHeight="1" x14ac:dyDescent="0.2">
      <c r="A714" s="162"/>
      <c r="B714" s="162"/>
      <c r="C714" s="206"/>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c r="AA714" s="262"/>
      <c r="AB714" s="262"/>
      <c r="AC714" s="262"/>
      <c r="AD714" s="262"/>
      <c r="AE714" s="262"/>
      <c r="AF714" s="147"/>
      <c r="AG714" s="147"/>
      <c r="AH714" s="189"/>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row>
    <row r="715" spans="1:59" ht="15.75" customHeight="1" x14ac:dyDescent="0.2">
      <c r="A715" s="162"/>
      <c r="B715" s="162"/>
      <c r="C715" s="206"/>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c r="AA715" s="262"/>
      <c r="AB715" s="262"/>
      <c r="AC715" s="262"/>
      <c r="AD715" s="262"/>
      <c r="AE715" s="262"/>
      <c r="AF715" s="147"/>
      <c r="AG715" s="147"/>
      <c r="AH715" s="189"/>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row>
    <row r="716" spans="1:59" ht="15.75" customHeight="1" x14ac:dyDescent="0.2">
      <c r="A716" s="162"/>
      <c r="B716" s="162"/>
      <c r="C716" s="206"/>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c r="AA716" s="262"/>
      <c r="AB716" s="262"/>
      <c r="AC716" s="262"/>
      <c r="AD716" s="262"/>
      <c r="AE716" s="262"/>
      <c r="AF716" s="147"/>
      <c r="AG716" s="147"/>
      <c r="AH716" s="162"/>
      <c r="AI716" s="241"/>
      <c r="AJ716" s="241"/>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row>
    <row r="717" spans="1:59" ht="15.75" customHeight="1" x14ac:dyDescent="0.2">
      <c r="A717" s="162"/>
      <c r="B717" s="162"/>
      <c r="C717" s="206"/>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c r="AA717" s="262"/>
      <c r="AB717" s="262"/>
      <c r="AC717" s="262"/>
      <c r="AD717" s="262"/>
      <c r="AE717" s="262"/>
      <c r="AF717" s="147"/>
      <c r="AG717" s="147"/>
      <c r="AH717" s="147"/>
      <c r="AI717" s="241"/>
      <c r="AJ717" s="241"/>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row>
    <row r="718" spans="1:59" ht="15.75" customHeight="1" x14ac:dyDescent="0.2">
      <c r="A718" s="162"/>
      <c r="B718" s="162"/>
      <c r="C718" s="206"/>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c r="AA718" s="262"/>
      <c r="AB718" s="262"/>
      <c r="AC718" s="262"/>
      <c r="AD718" s="262"/>
      <c r="AE718" s="262"/>
      <c r="AF718" s="147"/>
      <c r="AG718" s="147"/>
      <c r="AH718" s="147"/>
      <c r="AI718" s="241"/>
      <c r="AJ718" s="241"/>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row>
    <row r="719" spans="1:59" ht="15.75" customHeight="1" x14ac:dyDescent="0.2">
      <c r="A719" s="162"/>
      <c r="B719" s="162"/>
      <c r="C719" s="206"/>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c r="AA719" s="262"/>
      <c r="AB719" s="262"/>
      <c r="AC719" s="262"/>
      <c r="AD719" s="262"/>
      <c r="AE719" s="262"/>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row>
    <row r="720" spans="1:59" ht="15.75" customHeight="1" x14ac:dyDescent="0.2">
      <c r="A720" s="162"/>
      <c r="B720" s="162"/>
      <c r="C720" s="206"/>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c r="AA720" s="262"/>
      <c r="AB720" s="262"/>
      <c r="AC720" s="262"/>
      <c r="AD720" s="262"/>
      <c r="AE720" s="262"/>
      <c r="AF720" s="147"/>
      <c r="AG720" s="147"/>
      <c r="AH720" s="147"/>
      <c r="AI720" s="241"/>
      <c r="AJ720" s="241"/>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row>
    <row r="721" spans="1:59" ht="15.75" customHeight="1" x14ac:dyDescent="0.2">
      <c r="A721" s="162"/>
      <c r="B721" s="162"/>
      <c r="C721" s="206"/>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c r="AA721" s="262"/>
      <c r="AB721" s="262"/>
      <c r="AC721" s="262"/>
      <c r="AD721" s="262"/>
      <c r="AE721" s="262"/>
      <c r="AF721" s="147"/>
      <c r="AG721" s="147"/>
      <c r="AH721" s="147"/>
      <c r="AI721" s="241"/>
      <c r="AJ721" s="241"/>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row>
    <row r="722" spans="1:59" ht="15.75" customHeight="1" x14ac:dyDescent="0.2">
      <c r="A722" s="162"/>
      <c r="B722" s="162"/>
      <c r="C722" s="206"/>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c r="AA722" s="262"/>
      <c r="AB722" s="262"/>
      <c r="AC722" s="262"/>
      <c r="AD722" s="262"/>
      <c r="AE722" s="262"/>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row>
    <row r="723" spans="1:59" ht="15.75" customHeight="1" x14ac:dyDescent="0.2">
      <c r="A723" s="162"/>
      <c r="B723" s="162"/>
      <c r="C723" s="206"/>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c r="AA723" s="262"/>
      <c r="AB723" s="262"/>
      <c r="AC723" s="262"/>
      <c r="AD723" s="262"/>
      <c r="AE723" s="262"/>
      <c r="AF723" s="147"/>
      <c r="AG723" s="147"/>
      <c r="AH723" s="147"/>
      <c r="AI723" s="241"/>
      <c r="AJ723" s="241"/>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row>
    <row r="724" spans="1:59" ht="15.75" customHeight="1" x14ac:dyDescent="0.2">
      <c r="A724" s="162"/>
      <c r="B724" s="162"/>
      <c r="C724" s="206"/>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c r="AA724" s="262"/>
      <c r="AB724" s="262"/>
      <c r="AC724" s="262"/>
      <c r="AD724" s="262"/>
      <c r="AE724" s="262"/>
      <c r="AF724" s="147"/>
      <c r="AG724" s="147"/>
      <c r="AH724" s="147"/>
      <c r="AI724" s="241"/>
      <c r="AJ724" s="241"/>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row>
    <row r="725" spans="1:59" ht="15.75" customHeight="1" x14ac:dyDescent="0.2">
      <c r="A725" s="162"/>
      <c r="B725" s="162"/>
      <c r="C725" s="206"/>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c r="AA725" s="262"/>
      <c r="AB725" s="262"/>
      <c r="AC725" s="262"/>
      <c r="AD725" s="262"/>
      <c r="AE725" s="262"/>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row>
    <row r="726" spans="1:59" ht="15.75" customHeight="1" x14ac:dyDescent="0.2">
      <c r="A726" s="162"/>
      <c r="B726" s="162"/>
      <c r="C726" s="206"/>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c r="AA726" s="262"/>
      <c r="AB726" s="262"/>
      <c r="AC726" s="262"/>
      <c r="AD726" s="262"/>
      <c r="AE726" s="262"/>
      <c r="AF726" s="147"/>
      <c r="AG726" s="147"/>
      <c r="AH726" s="147"/>
      <c r="AI726" s="241"/>
      <c r="AJ726" s="241"/>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row>
    <row r="727" spans="1:59" ht="15.75" customHeight="1" x14ac:dyDescent="0.2">
      <c r="A727" s="162"/>
      <c r="B727" s="162"/>
      <c r="C727" s="206"/>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147"/>
      <c r="AG727" s="147"/>
      <c r="AH727" s="147"/>
      <c r="AI727" s="241"/>
      <c r="AJ727" s="241"/>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row>
    <row r="728" spans="1:59" ht="15.75" customHeight="1" x14ac:dyDescent="0.2">
      <c r="A728" s="162"/>
      <c r="B728" s="162"/>
      <c r="C728" s="206"/>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c r="AA728" s="262"/>
      <c r="AB728" s="262"/>
      <c r="AC728" s="262"/>
      <c r="AD728" s="262"/>
      <c r="AE728" s="262"/>
      <c r="AF728" s="147"/>
      <c r="AG728" s="147"/>
      <c r="AH728" s="241"/>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row>
    <row r="729" spans="1:59" ht="15.75" customHeight="1" x14ac:dyDescent="0.2">
      <c r="A729" s="162"/>
      <c r="B729" s="162"/>
      <c r="C729" s="206"/>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c r="AA729" s="262"/>
      <c r="AB729" s="262"/>
      <c r="AC729" s="262"/>
      <c r="AD729" s="262"/>
      <c r="AE729" s="262"/>
      <c r="AF729" s="147"/>
      <c r="AG729" s="147"/>
      <c r="AH729" s="241"/>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row>
    <row r="730" spans="1:59" ht="15.75" customHeight="1" x14ac:dyDescent="0.2">
      <c r="A730" s="162"/>
      <c r="B730" s="162"/>
      <c r="C730" s="206"/>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c r="AA730" s="262"/>
      <c r="AB730" s="262"/>
      <c r="AC730" s="262"/>
      <c r="AD730" s="262"/>
      <c r="AE730" s="262"/>
      <c r="AF730" s="147"/>
      <c r="AG730" s="147"/>
      <c r="AH730" s="241"/>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row>
    <row r="731" spans="1:59" ht="15.75" customHeight="1" x14ac:dyDescent="0.2">
      <c r="A731" s="162"/>
      <c r="B731" s="162"/>
      <c r="C731" s="206"/>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c r="AA731" s="262"/>
      <c r="AB731" s="262"/>
      <c r="AC731" s="262"/>
      <c r="AD731" s="262"/>
      <c r="AE731" s="262"/>
      <c r="AF731" s="147"/>
      <c r="AG731" s="147"/>
      <c r="AH731" s="147"/>
      <c r="AI731" s="241"/>
      <c r="AJ731" s="241"/>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row>
    <row r="732" spans="1:59" ht="15.75" customHeight="1" x14ac:dyDescent="0.2">
      <c r="A732" s="162"/>
      <c r="B732" s="162"/>
      <c r="C732" s="206"/>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c r="AA732" s="262"/>
      <c r="AB732" s="262"/>
      <c r="AC732" s="262"/>
      <c r="AD732" s="262"/>
      <c r="AE732" s="262"/>
      <c r="AF732" s="147"/>
      <c r="AG732" s="147"/>
      <c r="AH732" s="241"/>
      <c r="AI732" s="241"/>
      <c r="AJ732" s="241"/>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row>
    <row r="733" spans="1:59" ht="15.75" customHeight="1" x14ac:dyDescent="0.2">
      <c r="A733" s="162"/>
      <c r="B733" s="162"/>
      <c r="C733" s="206"/>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c r="AA733" s="262"/>
      <c r="AB733" s="262"/>
      <c r="AC733" s="262"/>
      <c r="AD733" s="262"/>
      <c r="AE733" s="262"/>
      <c r="AF733" s="147"/>
      <c r="AG733" s="147"/>
      <c r="AH733" s="241"/>
      <c r="AI733" s="161"/>
      <c r="AJ733" s="161"/>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row>
    <row r="734" spans="1:59" ht="15.75" customHeight="1" x14ac:dyDescent="0.2">
      <c r="A734" s="162"/>
      <c r="B734" s="162"/>
      <c r="C734" s="206"/>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c r="AA734" s="262"/>
      <c r="AB734" s="262"/>
      <c r="AC734" s="262"/>
      <c r="AD734" s="262"/>
      <c r="AE734" s="262"/>
      <c r="AF734" s="147"/>
      <c r="AG734" s="147"/>
      <c r="AH734" s="147"/>
      <c r="AI734" s="172"/>
      <c r="AJ734" s="172"/>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row>
    <row r="735" spans="1:59" ht="15.75" customHeight="1" x14ac:dyDescent="0.2">
      <c r="A735" s="162"/>
      <c r="B735" s="162"/>
      <c r="C735" s="206"/>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c r="AA735" s="262"/>
      <c r="AB735" s="262"/>
      <c r="AC735" s="262"/>
      <c r="AD735" s="262"/>
      <c r="AE735" s="262"/>
      <c r="AF735" s="147"/>
      <c r="AG735" s="147"/>
      <c r="AH735" s="241"/>
      <c r="AI735" s="161"/>
      <c r="AJ735" s="161"/>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row>
    <row r="736" spans="1:59" ht="15.75" customHeight="1" x14ac:dyDescent="0.2">
      <c r="A736" s="162"/>
      <c r="B736" s="162"/>
      <c r="C736" s="206"/>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c r="AA736" s="262"/>
      <c r="AB736" s="262"/>
      <c r="AC736" s="262"/>
      <c r="AD736" s="262"/>
      <c r="AE736" s="262"/>
      <c r="AF736" s="147"/>
      <c r="AG736" s="147"/>
      <c r="AH736" s="241"/>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row>
    <row r="737" spans="1:59" ht="15.75" customHeight="1" x14ac:dyDescent="0.2">
      <c r="A737" s="162"/>
      <c r="B737" s="162"/>
      <c r="C737" s="206"/>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c r="AA737" s="262"/>
      <c r="AB737" s="262"/>
      <c r="AC737" s="262"/>
      <c r="AD737" s="262"/>
      <c r="AE737" s="262"/>
      <c r="AF737" s="147"/>
      <c r="AG737" s="147"/>
      <c r="AH737" s="147"/>
      <c r="AI737" s="161"/>
      <c r="AJ737" s="161"/>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row>
    <row r="738" spans="1:59" ht="15.75" customHeight="1" x14ac:dyDescent="0.2">
      <c r="A738" s="162"/>
      <c r="B738" s="162"/>
      <c r="C738" s="206"/>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c r="AA738" s="262"/>
      <c r="AB738" s="262"/>
      <c r="AC738" s="262"/>
      <c r="AD738" s="262"/>
      <c r="AE738" s="262"/>
      <c r="AF738" s="147"/>
      <c r="AG738" s="147"/>
      <c r="AH738" s="241"/>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row>
    <row r="739" spans="1:59" ht="15.75" customHeight="1" x14ac:dyDescent="0.2">
      <c r="A739" s="162"/>
      <c r="B739" s="162"/>
      <c r="C739" s="206"/>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c r="AA739" s="262"/>
      <c r="AB739" s="262"/>
      <c r="AC739" s="262"/>
      <c r="AD739" s="262"/>
      <c r="AE739" s="262"/>
      <c r="AF739" s="147"/>
      <c r="AG739" s="147"/>
      <c r="AH739" s="241"/>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row>
    <row r="740" spans="1:59" ht="15.75" customHeight="1" x14ac:dyDescent="0.2">
      <c r="A740" s="162"/>
      <c r="B740" s="162"/>
      <c r="C740" s="206"/>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c r="AA740" s="262"/>
      <c r="AB740" s="262"/>
      <c r="AC740" s="262"/>
      <c r="AD740" s="262"/>
      <c r="AE740" s="262"/>
      <c r="AF740" s="147"/>
      <c r="AG740" s="147"/>
      <c r="AH740" s="147"/>
      <c r="AI740" s="161"/>
      <c r="AJ740" s="161"/>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row>
    <row r="741" spans="1:59" ht="15.75" customHeight="1" x14ac:dyDescent="0.2">
      <c r="A741" s="162"/>
      <c r="B741" s="162"/>
      <c r="C741" s="206"/>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c r="AA741" s="262"/>
      <c r="AB741" s="262"/>
      <c r="AC741" s="262"/>
      <c r="AD741" s="262"/>
      <c r="AE741" s="262"/>
      <c r="AF741" s="147"/>
      <c r="AG741" s="147"/>
      <c r="AH741" s="147"/>
      <c r="AI741" s="161"/>
      <c r="AJ741" s="161"/>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row>
    <row r="742" spans="1:59" ht="15.75" customHeight="1" x14ac:dyDescent="0.2">
      <c r="A742" s="162"/>
      <c r="B742" s="162"/>
      <c r="C742" s="206"/>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c r="AA742" s="262"/>
      <c r="AB742" s="262"/>
      <c r="AC742" s="262"/>
      <c r="AD742" s="262"/>
      <c r="AE742" s="262"/>
      <c r="AF742" s="147"/>
      <c r="AG742" s="147"/>
      <c r="AH742" s="147"/>
      <c r="AI742" s="161"/>
      <c r="AJ742" s="161"/>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row>
    <row r="743" spans="1:59" ht="15.75" customHeight="1" x14ac:dyDescent="0.2">
      <c r="A743" s="162"/>
      <c r="B743" s="162"/>
      <c r="C743" s="206"/>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147"/>
      <c r="AG743" s="147"/>
      <c r="AH743" s="241"/>
      <c r="AI743" s="161"/>
      <c r="AJ743" s="161"/>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row>
    <row r="744" spans="1:59" ht="15.75" customHeight="1" x14ac:dyDescent="0.2">
      <c r="A744" s="162"/>
      <c r="B744" s="162"/>
      <c r="C744" s="206"/>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c r="AA744" s="262"/>
      <c r="AB744" s="262"/>
      <c r="AC744" s="262"/>
      <c r="AD744" s="262"/>
      <c r="AE744" s="262"/>
      <c r="AF744" s="147"/>
      <c r="AG744" s="147"/>
      <c r="AH744" s="241"/>
      <c r="AI744" s="161"/>
      <c r="AJ744" s="161"/>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row>
    <row r="745" spans="1:59" ht="15.75" customHeight="1" x14ac:dyDescent="0.2">
      <c r="A745" s="162"/>
      <c r="B745" s="162"/>
      <c r="C745" s="206"/>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c r="AA745" s="262"/>
      <c r="AB745" s="262"/>
      <c r="AC745" s="262"/>
      <c r="AD745" s="262"/>
      <c r="AE745" s="262"/>
      <c r="AF745" s="147"/>
      <c r="AG745" s="147"/>
      <c r="AH745" s="161"/>
      <c r="AI745" s="157"/>
      <c r="AJ745" s="15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row>
    <row r="746" spans="1:59" ht="15.75" customHeight="1" x14ac:dyDescent="0.2">
      <c r="A746" s="162"/>
      <c r="B746" s="162"/>
      <c r="C746" s="206"/>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c r="AA746" s="262"/>
      <c r="AB746" s="262"/>
      <c r="AC746" s="262"/>
      <c r="AD746" s="262"/>
      <c r="AE746" s="262"/>
      <c r="AF746" s="147"/>
      <c r="AG746" s="147"/>
      <c r="AH746" s="172"/>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row>
    <row r="747" spans="1:59" ht="15.75" customHeight="1" x14ac:dyDescent="0.2">
      <c r="A747" s="162"/>
      <c r="B747" s="162"/>
      <c r="C747" s="206"/>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c r="AA747" s="262"/>
      <c r="AB747" s="262"/>
      <c r="AC747" s="262"/>
      <c r="AD747" s="262"/>
      <c r="AE747" s="262"/>
      <c r="AF747" s="147"/>
      <c r="AG747" s="147"/>
      <c r="AH747" s="161"/>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row>
    <row r="748" spans="1:59" ht="15.75" customHeight="1" x14ac:dyDescent="0.2">
      <c r="A748" s="162"/>
      <c r="B748" s="162"/>
      <c r="C748" s="206"/>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c r="AA748" s="262"/>
      <c r="AB748" s="262"/>
      <c r="AC748" s="262"/>
      <c r="AD748" s="262"/>
      <c r="AE748" s="262"/>
      <c r="AF748" s="147"/>
      <c r="AG748" s="147"/>
      <c r="AH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row>
    <row r="749" spans="1:59" ht="15.75" customHeight="1" x14ac:dyDescent="0.2">
      <c r="A749" s="162"/>
      <c r="B749" s="162"/>
      <c r="C749" s="206"/>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c r="AA749" s="262"/>
      <c r="AB749" s="262"/>
      <c r="AC749" s="262"/>
      <c r="AD749" s="262"/>
      <c r="AE749" s="262"/>
      <c r="AF749" s="147"/>
      <c r="AG749" s="147"/>
      <c r="AH749" s="161"/>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row>
    <row r="750" spans="1:59" ht="15.75" customHeight="1" x14ac:dyDescent="0.2">
      <c r="A750" s="162"/>
      <c r="B750" s="162"/>
      <c r="C750" s="206"/>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c r="AA750" s="262"/>
      <c r="AB750" s="262"/>
      <c r="AC750" s="262"/>
      <c r="AD750" s="262"/>
      <c r="AE750" s="262"/>
      <c r="AF750" s="147"/>
      <c r="AG750" s="147"/>
      <c r="AH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row>
    <row r="751" spans="1:59" ht="15.75" customHeight="1" x14ac:dyDescent="0.2">
      <c r="A751" s="162"/>
      <c r="B751" s="162"/>
      <c r="C751" s="206"/>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c r="AA751" s="262"/>
      <c r="AB751" s="262"/>
      <c r="AC751" s="262"/>
      <c r="AD751" s="262"/>
      <c r="AE751" s="262"/>
      <c r="AF751" s="147"/>
      <c r="AG751" s="147"/>
      <c r="AH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row>
    <row r="752" spans="1:59" ht="15.75" customHeight="1" x14ac:dyDescent="0.2">
      <c r="A752" s="162"/>
      <c r="B752" s="162"/>
      <c r="C752" s="206"/>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c r="AA752" s="262"/>
      <c r="AB752" s="262"/>
      <c r="AC752" s="262"/>
      <c r="AD752" s="262"/>
      <c r="AE752" s="262"/>
      <c r="AF752" s="147"/>
      <c r="AG752" s="147"/>
      <c r="AH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row>
    <row r="753" spans="1:59" ht="15.75" customHeight="1" x14ac:dyDescent="0.2">
      <c r="A753" s="162"/>
      <c r="B753" s="162"/>
      <c r="C753" s="206"/>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c r="AA753" s="262"/>
      <c r="AB753" s="262"/>
      <c r="AC753" s="262"/>
      <c r="AD753" s="262"/>
      <c r="AE753" s="262"/>
      <c r="AF753" s="147"/>
      <c r="AG753" s="147"/>
      <c r="AH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row>
    <row r="754" spans="1:59" ht="15.75" customHeight="1" x14ac:dyDescent="0.2">
      <c r="A754" s="162"/>
      <c r="B754" s="162"/>
      <c r="C754" s="206"/>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c r="AA754" s="262"/>
      <c r="AB754" s="262"/>
      <c r="AC754" s="262"/>
      <c r="AD754" s="262"/>
      <c r="AE754" s="262"/>
      <c r="AF754" s="147"/>
      <c r="AG754" s="147"/>
      <c r="AH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row>
    <row r="755" spans="1:59" ht="15.75" customHeight="1" x14ac:dyDescent="0.2">
      <c r="A755" s="162"/>
      <c r="B755" s="162"/>
      <c r="C755" s="206"/>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c r="AA755" s="262"/>
      <c r="AB755" s="262"/>
      <c r="AC755" s="262"/>
      <c r="AD755" s="262"/>
      <c r="AE755" s="262"/>
      <c r="AF755" s="147"/>
      <c r="AG755" s="147"/>
      <c r="AH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row>
    <row r="756" spans="1:59" ht="15.75" customHeight="1" x14ac:dyDescent="0.2">
      <c r="A756" s="162"/>
      <c r="B756" s="162"/>
      <c r="C756" s="206"/>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c r="AA756" s="262"/>
      <c r="AB756" s="262"/>
      <c r="AC756" s="262"/>
      <c r="AD756" s="262"/>
      <c r="AE756" s="262"/>
      <c r="AF756" s="147"/>
      <c r="AG756" s="147"/>
      <c r="AH756" s="147"/>
      <c r="AJ756" s="15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row>
    <row r="757" spans="1:59" ht="15.75" customHeight="1" x14ac:dyDescent="0.2">
      <c r="A757" s="162"/>
      <c r="B757" s="162"/>
      <c r="C757" s="206"/>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c r="AA757" s="262"/>
      <c r="AB757" s="262"/>
      <c r="AC757" s="262"/>
      <c r="AD757" s="262"/>
      <c r="AE757" s="262"/>
      <c r="AF757" s="147"/>
      <c r="AG757" s="147"/>
      <c r="AH757" s="147"/>
      <c r="AJ757" s="161"/>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row>
    <row r="758" spans="1:59" ht="15.75" customHeight="1" x14ac:dyDescent="0.2">
      <c r="A758" s="162"/>
      <c r="B758" s="162"/>
      <c r="C758" s="206"/>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c r="AA758" s="262"/>
      <c r="AB758" s="262"/>
      <c r="AC758" s="262"/>
      <c r="AD758" s="262"/>
      <c r="AE758" s="262"/>
      <c r="AF758" s="147"/>
      <c r="AG758" s="147"/>
      <c r="AH758" s="147"/>
      <c r="AJ758" s="161"/>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row>
    <row r="759" spans="1:59" ht="15.75" customHeight="1" x14ac:dyDescent="0.2">
      <c r="A759" s="162"/>
      <c r="B759" s="162"/>
      <c r="C759" s="206"/>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c r="AA759" s="262"/>
      <c r="AB759" s="262"/>
      <c r="AC759" s="262"/>
      <c r="AD759" s="262"/>
      <c r="AE759" s="262"/>
      <c r="AF759" s="147"/>
      <c r="AG759" s="147"/>
      <c r="AH759" s="84"/>
      <c r="AJ759" s="161"/>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row>
    <row r="760" spans="1:59" ht="15.75" customHeight="1" x14ac:dyDescent="0.2">
      <c r="A760" s="162"/>
      <c r="B760" s="162"/>
      <c r="C760" s="206"/>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c r="AA760" s="262"/>
      <c r="AB760" s="262"/>
      <c r="AC760" s="262"/>
      <c r="AD760" s="262"/>
      <c r="AE760" s="262"/>
      <c r="AF760" s="147"/>
      <c r="AG760" s="147"/>
      <c r="AH760" s="84"/>
      <c r="AJ760" s="169"/>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row>
    <row r="761" spans="1:59" ht="15.75" customHeight="1" x14ac:dyDescent="0.2">
      <c r="A761" s="162"/>
      <c r="B761" s="162"/>
      <c r="C761" s="206"/>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c r="AA761" s="262"/>
      <c r="AB761" s="262"/>
      <c r="AC761" s="262"/>
      <c r="AD761" s="262"/>
      <c r="AE761" s="262"/>
      <c r="AF761" s="147"/>
      <c r="AG761" s="147"/>
      <c r="AH761" s="84"/>
      <c r="AJ761" s="169"/>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row>
    <row r="762" spans="1:59" ht="15.75" customHeight="1" x14ac:dyDescent="0.2">
      <c r="A762" s="162"/>
      <c r="B762" s="162"/>
      <c r="C762" s="206"/>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c r="AA762" s="262"/>
      <c r="AB762" s="262"/>
      <c r="AC762" s="262"/>
      <c r="AD762" s="262"/>
      <c r="AE762" s="262"/>
      <c r="AF762" s="147"/>
      <c r="AG762" s="147"/>
      <c r="AH762" s="84"/>
      <c r="AJ762" s="169"/>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row>
    <row r="763" spans="1:59" ht="15.75" customHeight="1" x14ac:dyDescent="0.2">
      <c r="A763" s="162"/>
      <c r="B763" s="162"/>
      <c r="C763" s="206"/>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c r="AA763" s="262"/>
      <c r="AB763" s="262"/>
      <c r="AC763" s="262"/>
      <c r="AD763" s="262"/>
      <c r="AE763" s="262"/>
      <c r="AF763" s="147"/>
      <c r="AG763" s="147"/>
      <c r="AH763" s="84"/>
      <c r="AJ763" s="15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row>
    <row r="764" spans="1:59" ht="15.75" customHeight="1" x14ac:dyDescent="0.2">
      <c r="A764" s="162"/>
      <c r="B764" s="162"/>
      <c r="C764" s="206"/>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c r="AA764" s="262"/>
      <c r="AB764" s="262"/>
      <c r="AC764" s="262"/>
      <c r="AD764" s="262"/>
      <c r="AE764" s="262"/>
      <c r="AF764" s="147"/>
      <c r="AG764" s="147"/>
      <c r="AH764" s="84"/>
      <c r="AJ764" s="15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row>
    <row r="765" spans="1:59" ht="15.75" customHeight="1" x14ac:dyDescent="0.2">
      <c r="A765" s="162"/>
      <c r="B765" s="162"/>
      <c r="C765" s="206"/>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c r="AA765" s="262"/>
      <c r="AB765" s="262"/>
      <c r="AC765" s="262"/>
      <c r="AD765" s="262"/>
      <c r="AE765" s="262"/>
      <c r="AF765" s="147"/>
      <c r="AG765" s="147"/>
      <c r="AH765" s="84"/>
      <c r="AJ765" s="15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row>
    <row r="766" spans="1:59" ht="15.75" customHeight="1" x14ac:dyDescent="0.2">
      <c r="A766" s="162"/>
      <c r="B766" s="162"/>
      <c r="C766" s="206"/>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c r="AA766" s="262"/>
      <c r="AB766" s="262"/>
      <c r="AC766" s="262"/>
      <c r="AD766" s="262"/>
      <c r="AE766" s="262"/>
      <c r="AF766" s="147"/>
      <c r="AG766" s="147"/>
      <c r="AH766" s="84"/>
      <c r="AI766" s="147"/>
      <c r="AJ766" s="175"/>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row>
    <row r="767" spans="1:59" ht="15.75" customHeight="1" x14ac:dyDescent="0.2">
      <c r="A767" s="162"/>
      <c r="B767" s="162"/>
      <c r="C767" s="206"/>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c r="AA767" s="262"/>
      <c r="AB767" s="262"/>
      <c r="AC767" s="262"/>
      <c r="AD767" s="262"/>
      <c r="AE767" s="262"/>
      <c r="AF767" s="147"/>
      <c r="AG767" s="147"/>
      <c r="AH767" s="84"/>
      <c r="AI767" s="147"/>
      <c r="AJ767" s="15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row>
    <row r="768" spans="1:59" ht="15.75" customHeight="1" x14ac:dyDescent="0.2">
      <c r="A768" s="162"/>
      <c r="B768" s="162"/>
      <c r="C768" s="206"/>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c r="AA768" s="262"/>
      <c r="AB768" s="262"/>
      <c r="AC768" s="262"/>
      <c r="AD768" s="262"/>
      <c r="AE768" s="262"/>
      <c r="AF768" s="147"/>
      <c r="AG768" s="147"/>
      <c r="AH768" s="84"/>
      <c r="AI768" s="157"/>
      <c r="AJ768" s="15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row>
    <row r="769" spans="1:59" ht="15.75" customHeight="1" x14ac:dyDescent="0.2">
      <c r="A769" s="162"/>
      <c r="B769" s="162"/>
      <c r="C769" s="206"/>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c r="AA769" s="262"/>
      <c r="AB769" s="262"/>
      <c r="AC769" s="262"/>
      <c r="AD769" s="262"/>
      <c r="AE769" s="262"/>
      <c r="AF769" s="147"/>
      <c r="AG769" s="147"/>
      <c r="AH769" s="84"/>
      <c r="AI769" s="161"/>
      <c r="AJ769" s="15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row>
    <row r="770" spans="1:59" ht="15.75" customHeight="1" x14ac:dyDescent="0.2">
      <c r="A770" s="162"/>
      <c r="B770" s="162"/>
      <c r="C770" s="206"/>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c r="AA770" s="262"/>
      <c r="AB770" s="262"/>
      <c r="AC770" s="262"/>
      <c r="AD770" s="262"/>
      <c r="AE770" s="262"/>
      <c r="AF770" s="147"/>
      <c r="AG770" s="147"/>
      <c r="AH770" s="84"/>
      <c r="AI770" s="161"/>
      <c r="AJ770" s="15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row>
    <row r="771" spans="1:59" ht="15.75" customHeight="1" x14ac:dyDescent="0.2">
      <c r="A771" s="162"/>
      <c r="B771" s="162"/>
      <c r="C771" s="206"/>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c r="AA771" s="262"/>
      <c r="AB771" s="262"/>
      <c r="AC771" s="262"/>
      <c r="AD771" s="262"/>
      <c r="AE771" s="262"/>
      <c r="AF771" s="147"/>
      <c r="AG771" s="147"/>
      <c r="AH771" s="84"/>
      <c r="AI771" s="161"/>
      <c r="AJ771" s="15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row>
    <row r="772" spans="1:59" ht="15.75" customHeight="1" x14ac:dyDescent="0.2">
      <c r="A772" s="162"/>
      <c r="B772" s="162"/>
      <c r="C772" s="206"/>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c r="AA772" s="262"/>
      <c r="AB772" s="262"/>
      <c r="AC772" s="262"/>
      <c r="AD772" s="262"/>
      <c r="AE772" s="262"/>
      <c r="AF772" s="147"/>
      <c r="AG772" s="147"/>
      <c r="AH772" s="84"/>
      <c r="AI772" s="169"/>
      <c r="AJ772" s="15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row>
    <row r="773" spans="1:59" ht="15.75" customHeight="1" x14ac:dyDescent="0.2">
      <c r="A773" s="162"/>
      <c r="B773" s="162"/>
      <c r="C773" s="206"/>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c r="AA773" s="262"/>
      <c r="AB773" s="262"/>
      <c r="AC773" s="262"/>
      <c r="AD773" s="262"/>
      <c r="AE773" s="262"/>
      <c r="AF773" s="147"/>
      <c r="AG773" s="147"/>
      <c r="AH773" s="84"/>
      <c r="AI773" s="169"/>
      <c r="AJ773" s="15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row>
    <row r="774" spans="1:59" ht="15.75" customHeight="1" x14ac:dyDescent="0.2">
      <c r="A774" s="162"/>
      <c r="B774" s="162"/>
      <c r="C774" s="206"/>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c r="AA774" s="262"/>
      <c r="AB774" s="262"/>
      <c r="AC774" s="262"/>
      <c r="AD774" s="262"/>
      <c r="AE774" s="262"/>
      <c r="AF774" s="147"/>
      <c r="AG774" s="147"/>
      <c r="AH774" s="84"/>
      <c r="AI774" s="169"/>
      <c r="AJ774" s="15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row>
    <row r="775" spans="1:59" ht="15.75" customHeight="1" x14ac:dyDescent="0.2">
      <c r="A775" s="162"/>
      <c r="B775" s="162"/>
      <c r="C775" s="206"/>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c r="AA775" s="262"/>
      <c r="AB775" s="262"/>
      <c r="AC775" s="262"/>
      <c r="AD775" s="262"/>
      <c r="AE775" s="262"/>
      <c r="AF775" s="147"/>
      <c r="AG775" s="147"/>
      <c r="AH775" s="84"/>
      <c r="AI775" s="157"/>
      <c r="AJ775" s="15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row>
    <row r="776" spans="1:59" ht="15.75" customHeight="1" x14ac:dyDescent="0.2">
      <c r="A776" s="162"/>
      <c r="B776" s="162"/>
      <c r="C776" s="206"/>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147"/>
      <c r="AG776" s="147"/>
      <c r="AH776" s="84"/>
      <c r="AI776" s="157"/>
      <c r="AJ776" s="161"/>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row>
    <row r="777" spans="1:59" ht="15.75" customHeight="1" x14ac:dyDescent="0.2">
      <c r="A777" s="162"/>
      <c r="B777" s="162"/>
      <c r="C777" s="206"/>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147"/>
      <c r="AG777" s="147"/>
      <c r="AH777" s="84"/>
      <c r="AI777" s="157"/>
      <c r="AJ777" s="161"/>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row>
    <row r="778" spans="1:59" ht="15.75" customHeight="1" x14ac:dyDescent="0.2">
      <c r="A778" s="162"/>
      <c r="B778" s="162"/>
      <c r="C778" s="206"/>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147"/>
      <c r="AG778" s="147"/>
      <c r="AH778" s="84"/>
      <c r="AI778" s="175"/>
      <c r="AJ778" s="161"/>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row>
    <row r="779" spans="1:59" ht="15.75" customHeight="1" x14ac:dyDescent="0.2">
      <c r="A779" s="162"/>
      <c r="B779" s="162"/>
      <c r="C779" s="206"/>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c r="AA779" s="262"/>
      <c r="AB779" s="262"/>
      <c r="AC779" s="262"/>
      <c r="AD779" s="262"/>
      <c r="AE779" s="262"/>
      <c r="AF779" s="147"/>
      <c r="AG779" s="147"/>
      <c r="AH779" s="84"/>
      <c r="AI779" s="157"/>
      <c r="AJ779" s="161"/>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row>
    <row r="780" spans="1:59" ht="15.75" customHeight="1" x14ac:dyDescent="0.2">
      <c r="A780" s="162"/>
      <c r="B780" s="162"/>
      <c r="C780" s="206"/>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c r="AA780" s="262"/>
      <c r="AB780" s="262"/>
      <c r="AC780" s="262"/>
      <c r="AD780" s="262"/>
      <c r="AE780" s="262"/>
      <c r="AF780" s="147"/>
      <c r="AG780" s="147"/>
      <c r="AH780" s="84"/>
      <c r="AI780" s="157"/>
      <c r="AJ780" s="161"/>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row>
    <row r="781" spans="1:59" ht="15.75" customHeight="1" x14ac:dyDescent="0.2">
      <c r="A781" s="162"/>
      <c r="B781" s="162"/>
      <c r="C781" s="206"/>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c r="AA781" s="262"/>
      <c r="AB781" s="262"/>
      <c r="AC781" s="262"/>
      <c r="AD781" s="262"/>
      <c r="AE781" s="262"/>
      <c r="AF781" s="147"/>
      <c r="AG781" s="147"/>
      <c r="AH781" s="84"/>
      <c r="AI781" s="157"/>
      <c r="AJ781" s="182"/>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row>
    <row r="782" spans="1:59" ht="15.75" customHeight="1" x14ac:dyDescent="0.2">
      <c r="A782" s="162"/>
      <c r="B782" s="162"/>
      <c r="C782" s="206"/>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c r="AA782" s="262"/>
      <c r="AB782" s="262"/>
      <c r="AC782" s="262"/>
      <c r="AD782" s="262"/>
      <c r="AE782" s="262"/>
      <c r="AF782" s="147"/>
      <c r="AG782" s="147"/>
      <c r="AH782" s="84"/>
      <c r="AI782" s="157"/>
      <c r="AJ782" s="161"/>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row>
    <row r="783" spans="1:59" ht="15.75" customHeight="1" x14ac:dyDescent="0.2">
      <c r="A783" s="162"/>
      <c r="B783" s="162"/>
      <c r="C783" s="206"/>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c r="AA783" s="262"/>
      <c r="AB783" s="262"/>
      <c r="AC783" s="262"/>
      <c r="AD783" s="262"/>
      <c r="AE783" s="262"/>
      <c r="AF783" s="147"/>
      <c r="AG783" s="147"/>
      <c r="AH783" s="84"/>
      <c r="AI783" s="157"/>
      <c r="AJ783" s="161"/>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row>
    <row r="784" spans="1:59" ht="15.75" customHeight="1" x14ac:dyDescent="0.2">
      <c r="A784" s="162"/>
      <c r="B784" s="162"/>
      <c r="C784" s="206"/>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c r="AA784" s="262"/>
      <c r="AB784" s="262"/>
      <c r="AC784" s="262"/>
      <c r="AD784" s="262"/>
      <c r="AE784" s="262"/>
      <c r="AF784" s="147"/>
      <c r="AG784" s="147"/>
      <c r="AH784" s="84"/>
      <c r="AI784" s="157"/>
      <c r="AJ784" s="161"/>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row>
    <row r="785" spans="1:59" ht="15.75" customHeight="1" x14ac:dyDescent="0.2">
      <c r="A785" s="162"/>
      <c r="B785" s="162"/>
      <c r="C785" s="206"/>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c r="AA785" s="262"/>
      <c r="AB785" s="262"/>
      <c r="AC785" s="262"/>
      <c r="AD785" s="262"/>
      <c r="AE785" s="262"/>
      <c r="AF785" s="147"/>
      <c r="AG785" s="147"/>
      <c r="AH785" s="84"/>
      <c r="AI785" s="15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row>
    <row r="786" spans="1:59" ht="15.75" customHeight="1" x14ac:dyDescent="0.2">
      <c r="A786" s="162"/>
      <c r="B786" s="162"/>
      <c r="C786" s="206"/>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c r="AA786" s="262"/>
      <c r="AB786" s="262"/>
      <c r="AC786" s="262"/>
      <c r="AD786" s="262"/>
      <c r="AE786" s="262"/>
      <c r="AF786" s="147"/>
      <c r="AG786" s="147"/>
      <c r="AH786" s="84"/>
      <c r="AI786" s="157"/>
      <c r="AJ786" s="15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row>
    <row r="787" spans="1:59" ht="15.75" customHeight="1" x14ac:dyDescent="0.2">
      <c r="A787" s="162"/>
      <c r="B787" s="162"/>
      <c r="C787" s="206"/>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c r="AA787" s="262"/>
      <c r="AB787" s="262"/>
      <c r="AC787" s="262"/>
      <c r="AD787" s="262"/>
      <c r="AE787" s="262"/>
      <c r="AF787" s="147"/>
      <c r="AG787" s="147"/>
      <c r="AH787" s="84"/>
      <c r="AI787" s="157"/>
      <c r="AJ787" s="161"/>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row>
    <row r="788" spans="1:59" ht="15.75" customHeight="1" x14ac:dyDescent="0.2">
      <c r="A788" s="162"/>
      <c r="B788" s="162"/>
      <c r="C788" s="206"/>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c r="AA788" s="262"/>
      <c r="AB788" s="262"/>
      <c r="AC788" s="262"/>
      <c r="AD788" s="262"/>
      <c r="AE788" s="262"/>
      <c r="AF788" s="147"/>
      <c r="AG788" s="147"/>
      <c r="AH788" s="84"/>
      <c r="AI788" s="161"/>
      <c r="AJ788" s="192"/>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row>
    <row r="789" spans="1:59" ht="15.75" customHeight="1" x14ac:dyDescent="0.2">
      <c r="A789" s="162"/>
      <c r="B789" s="162"/>
      <c r="C789" s="206"/>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c r="AA789" s="262"/>
      <c r="AB789" s="262"/>
      <c r="AC789" s="262"/>
      <c r="AD789" s="262"/>
      <c r="AE789" s="262"/>
      <c r="AF789" s="147"/>
      <c r="AG789" s="147"/>
      <c r="AH789" s="84"/>
      <c r="AI789" s="161"/>
      <c r="AJ789" s="192"/>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row>
    <row r="790" spans="1:59" ht="15.75" customHeight="1" x14ac:dyDescent="0.2">
      <c r="A790" s="162"/>
      <c r="B790" s="162"/>
      <c r="C790" s="206"/>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c r="AA790" s="262"/>
      <c r="AB790" s="262"/>
      <c r="AC790" s="262"/>
      <c r="AD790" s="262"/>
      <c r="AE790" s="262"/>
      <c r="AF790" s="147"/>
      <c r="AG790" s="147"/>
      <c r="AH790" s="84"/>
      <c r="AI790" s="161"/>
      <c r="AJ790" s="192"/>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row>
    <row r="791" spans="1:59" ht="15.75" customHeight="1" x14ac:dyDescent="0.2">
      <c r="A791" s="162"/>
      <c r="B791" s="162"/>
      <c r="C791" s="206"/>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c r="AA791" s="262"/>
      <c r="AB791" s="262"/>
      <c r="AC791" s="262"/>
      <c r="AD791" s="262"/>
      <c r="AE791" s="262"/>
      <c r="AF791" s="147"/>
      <c r="AG791" s="147"/>
      <c r="AH791" s="84"/>
      <c r="AI791" s="161"/>
      <c r="AJ791" s="192"/>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row>
    <row r="792" spans="1:59" ht="15.75" customHeight="1" x14ac:dyDescent="0.2">
      <c r="A792" s="162"/>
      <c r="B792" s="162"/>
      <c r="C792" s="206"/>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c r="AA792" s="262"/>
      <c r="AB792" s="262"/>
      <c r="AC792" s="262"/>
      <c r="AD792" s="262"/>
      <c r="AE792" s="262"/>
      <c r="AF792" s="147"/>
      <c r="AG792" s="147"/>
      <c r="AH792" s="84"/>
      <c r="AI792" s="161"/>
      <c r="AJ792" s="192"/>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row>
    <row r="793" spans="1:59" ht="15.75" customHeight="1" x14ac:dyDescent="0.2">
      <c r="A793" s="162"/>
      <c r="B793" s="162"/>
      <c r="C793" s="206"/>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c r="AA793" s="262"/>
      <c r="AB793" s="262"/>
      <c r="AC793" s="262"/>
      <c r="AD793" s="262"/>
      <c r="AE793" s="262"/>
      <c r="AF793" s="147"/>
      <c r="AG793" s="147"/>
      <c r="AH793" s="84"/>
      <c r="AI793" s="182"/>
      <c r="AJ793" s="192"/>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row>
    <row r="794" spans="1:59" ht="15.75" customHeight="1" x14ac:dyDescent="0.2">
      <c r="A794" s="162"/>
      <c r="B794" s="162"/>
      <c r="C794" s="206"/>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c r="AA794" s="262"/>
      <c r="AB794" s="262"/>
      <c r="AC794" s="262"/>
      <c r="AD794" s="262"/>
      <c r="AE794" s="262"/>
      <c r="AF794" s="147"/>
      <c r="AG794" s="147"/>
      <c r="AH794" s="84"/>
      <c r="AI794" s="161"/>
      <c r="AJ794" s="192"/>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row>
    <row r="795" spans="1:59" ht="15.75" customHeight="1" x14ac:dyDescent="0.2">
      <c r="A795" s="162"/>
      <c r="B795" s="162"/>
      <c r="C795" s="206"/>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c r="AA795" s="262"/>
      <c r="AB795" s="262"/>
      <c r="AC795" s="262"/>
      <c r="AD795" s="262"/>
      <c r="AE795" s="262"/>
      <c r="AF795" s="147"/>
      <c r="AG795" s="147"/>
      <c r="AH795" s="84"/>
      <c r="AI795" s="161"/>
      <c r="AJ795" s="161"/>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row>
    <row r="796" spans="1:59" ht="15.75" customHeight="1" x14ac:dyDescent="0.2">
      <c r="A796" s="162"/>
      <c r="B796" s="162"/>
      <c r="C796" s="206"/>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c r="AA796" s="262"/>
      <c r="AB796" s="262"/>
      <c r="AC796" s="262"/>
      <c r="AD796" s="262"/>
      <c r="AE796" s="262"/>
      <c r="AF796" s="147"/>
      <c r="AG796" s="147"/>
      <c r="AH796" s="84"/>
      <c r="AI796" s="161"/>
      <c r="AJ796" s="161"/>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row>
    <row r="797" spans="1:59" ht="15.75" customHeight="1" x14ac:dyDescent="0.2">
      <c r="A797" s="162"/>
      <c r="B797" s="162"/>
      <c r="C797" s="206"/>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c r="AA797" s="262"/>
      <c r="AB797" s="262"/>
      <c r="AC797" s="262"/>
      <c r="AD797" s="262"/>
      <c r="AE797" s="262"/>
      <c r="AF797" s="147"/>
      <c r="AG797" s="147"/>
      <c r="AH797" s="84"/>
      <c r="AI797" s="147"/>
      <c r="AJ797" s="161"/>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row>
    <row r="798" spans="1:59" ht="15.75" customHeight="1" x14ac:dyDescent="0.2">
      <c r="A798" s="162"/>
      <c r="B798" s="162"/>
      <c r="C798" s="206"/>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c r="AA798" s="262"/>
      <c r="AB798" s="262"/>
      <c r="AC798" s="262"/>
      <c r="AD798" s="262"/>
      <c r="AE798" s="262"/>
      <c r="AF798" s="147"/>
      <c r="AG798" s="147"/>
      <c r="AH798" s="84"/>
      <c r="AI798" s="157"/>
      <c r="AJ798" s="161"/>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row>
    <row r="799" spans="1:59" ht="15.75" customHeight="1" x14ac:dyDescent="0.2">
      <c r="A799" s="162"/>
      <c r="B799" s="162"/>
      <c r="C799" s="206"/>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c r="AA799" s="262"/>
      <c r="AB799" s="262"/>
      <c r="AC799" s="262"/>
      <c r="AD799" s="262"/>
      <c r="AE799" s="262"/>
      <c r="AF799" s="147"/>
      <c r="AG799" s="147"/>
      <c r="AH799" s="84"/>
      <c r="AI799" s="161"/>
      <c r="AJ799" s="161"/>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row>
    <row r="800" spans="1:59" ht="15.75" customHeight="1" x14ac:dyDescent="0.2">
      <c r="A800" s="162"/>
      <c r="B800" s="162"/>
      <c r="C800" s="206"/>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c r="AA800" s="262"/>
      <c r="AB800" s="262"/>
      <c r="AC800" s="262"/>
      <c r="AD800" s="262"/>
      <c r="AE800" s="262"/>
      <c r="AF800" s="147"/>
      <c r="AG800" s="147"/>
      <c r="AH800" s="84"/>
      <c r="AI800" s="192"/>
      <c r="AJ800" s="161"/>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row>
    <row r="801" spans="1:59" ht="15.75" customHeight="1" x14ac:dyDescent="0.2">
      <c r="A801" s="162"/>
      <c r="B801" s="162"/>
      <c r="C801" s="206"/>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c r="AA801" s="262"/>
      <c r="AB801" s="262"/>
      <c r="AC801" s="262"/>
      <c r="AD801" s="262"/>
      <c r="AE801" s="262"/>
      <c r="AF801" s="147"/>
      <c r="AG801" s="147"/>
      <c r="AH801" s="84"/>
      <c r="AI801" s="192"/>
      <c r="AJ801" s="161"/>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row>
    <row r="802" spans="1:59" ht="15.75" customHeight="1" x14ac:dyDescent="0.2">
      <c r="A802" s="162"/>
      <c r="B802" s="162"/>
      <c r="C802" s="206"/>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c r="AA802" s="262"/>
      <c r="AB802" s="262"/>
      <c r="AC802" s="262"/>
      <c r="AD802" s="262"/>
      <c r="AE802" s="262"/>
      <c r="AF802" s="147"/>
      <c r="AG802" s="147"/>
      <c r="AH802" s="84"/>
      <c r="AI802" s="192"/>
      <c r="AJ802" s="161"/>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row>
    <row r="803" spans="1:59" ht="15.75" customHeight="1" x14ac:dyDescent="0.2">
      <c r="A803" s="162"/>
      <c r="B803" s="162"/>
      <c r="C803" s="206"/>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c r="AA803" s="262"/>
      <c r="AB803" s="262"/>
      <c r="AC803" s="262"/>
      <c r="AD803" s="262"/>
      <c r="AE803" s="262"/>
      <c r="AF803" s="147"/>
      <c r="AG803" s="147"/>
      <c r="AH803" s="84"/>
      <c r="AI803" s="192"/>
      <c r="AJ803" s="161"/>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row>
    <row r="804" spans="1:59" ht="15.75" customHeight="1" x14ac:dyDescent="0.2">
      <c r="A804" s="162"/>
      <c r="B804" s="162"/>
      <c r="C804" s="206"/>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c r="AA804" s="262"/>
      <c r="AB804" s="262"/>
      <c r="AC804" s="262"/>
      <c r="AD804" s="262"/>
      <c r="AE804" s="262"/>
      <c r="AF804" s="147"/>
      <c r="AG804" s="147"/>
      <c r="AH804" s="84"/>
      <c r="AI804" s="192"/>
      <c r="AJ804" s="161"/>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row>
    <row r="805" spans="1:59" ht="15.75" customHeight="1" x14ac:dyDescent="0.2">
      <c r="A805" s="162"/>
      <c r="B805" s="162"/>
      <c r="C805" s="206"/>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c r="AA805" s="262"/>
      <c r="AB805" s="262"/>
      <c r="AC805" s="262"/>
      <c r="AD805" s="262"/>
      <c r="AE805" s="262"/>
      <c r="AF805" s="147"/>
      <c r="AG805" s="147"/>
      <c r="AH805" s="84"/>
      <c r="AI805" s="192"/>
      <c r="AJ805" s="161"/>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row>
    <row r="806" spans="1:59" ht="15.75" customHeight="1" x14ac:dyDescent="0.2">
      <c r="A806" s="162"/>
      <c r="B806" s="162"/>
      <c r="C806" s="206"/>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c r="AA806" s="262"/>
      <c r="AB806" s="262"/>
      <c r="AC806" s="262"/>
      <c r="AD806" s="262"/>
      <c r="AE806" s="262"/>
      <c r="AF806" s="147"/>
      <c r="AG806" s="147"/>
      <c r="AH806" s="84"/>
      <c r="AI806" s="192"/>
      <c r="AJ806" s="161"/>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row>
    <row r="807" spans="1:59" ht="15.75" customHeight="1" x14ac:dyDescent="0.2">
      <c r="A807" s="162"/>
      <c r="B807" s="162"/>
      <c r="C807" s="206"/>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c r="AA807" s="262"/>
      <c r="AB807" s="262"/>
      <c r="AC807" s="262"/>
      <c r="AD807" s="262"/>
      <c r="AE807" s="262"/>
      <c r="AF807" s="147"/>
      <c r="AG807" s="147"/>
      <c r="AH807" s="84"/>
      <c r="AI807" s="182"/>
      <c r="AJ807" s="161"/>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row>
    <row r="808" spans="1:59" ht="15.75" customHeight="1" x14ac:dyDescent="0.2">
      <c r="A808" s="162"/>
      <c r="B808" s="162"/>
      <c r="C808" s="206"/>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c r="AA808" s="262"/>
      <c r="AB808" s="262"/>
      <c r="AC808" s="262"/>
      <c r="AD808" s="262"/>
      <c r="AE808" s="262"/>
      <c r="AF808" s="147"/>
      <c r="AG808" s="147"/>
      <c r="AH808" s="84"/>
      <c r="AI808" s="182"/>
      <c r="AJ808" s="161"/>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row>
    <row r="809" spans="1:59" ht="15.75" customHeight="1" x14ac:dyDescent="0.2">
      <c r="A809" s="162"/>
      <c r="B809" s="162"/>
      <c r="C809" s="206"/>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c r="AA809" s="262"/>
      <c r="AB809" s="262"/>
      <c r="AC809" s="262"/>
      <c r="AD809" s="262"/>
      <c r="AE809" s="262"/>
      <c r="AF809" s="147"/>
      <c r="AG809" s="147"/>
      <c r="AH809" s="84"/>
      <c r="AI809" s="182"/>
      <c r="AJ809" s="161"/>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row>
    <row r="810" spans="1:59" ht="15.75" customHeight="1" x14ac:dyDescent="0.2">
      <c r="A810" s="162"/>
      <c r="B810" s="162"/>
      <c r="C810" s="206"/>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c r="AA810" s="262"/>
      <c r="AB810" s="262"/>
      <c r="AC810" s="262"/>
      <c r="AD810" s="262"/>
      <c r="AE810" s="262"/>
      <c r="AF810" s="147"/>
      <c r="AG810" s="147"/>
      <c r="AH810" s="84"/>
      <c r="AI810" s="182"/>
      <c r="AJ810" s="161"/>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row>
    <row r="811" spans="1:59" ht="15.75" customHeight="1" x14ac:dyDescent="0.2">
      <c r="A811" s="162"/>
      <c r="B811" s="162"/>
      <c r="C811" s="206"/>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c r="AA811" s="262"/>
      <c r="AB811" s="262"/>
      <c r="AC811" s="262"/>
      <c r="AD811" s="262"/>
      <c r="AE811" s="262"/>
      <c r="AF811" s="147"/>
      <c r="AG811" s="147"/>
      <c r="AH811" s="84"/>
      <c r="AI811" s="182"/>
      <c r="AJ811" s="161"/>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row>
    <row r="812" spans="1:59" ht="15.75" customHeight="1" x14ac:dyDescent="0.2">
      <c r="A812" s="162"/>
      <c r="B812" s="162"/>
      <c r="C812" s="206"/>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c r="AA812" s="262"/>
      <c r="AB812" s="262"/>
      <c r="AC812" s="262"/>
      <c r="AD812" s="262"/>
      <c r="AE812" s="262"/>
      <c r="AF812" s="147"/>
      <c r="AG812" s="147"/>
      <c r="AH812" s="84"/>
      <c r="AI812" s="182"/>
      <c r="AJ812" s="161"/>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row>
    <row r="813" spans="1:59" ht="15.75" customHeight="1" x14ac:dyDescent="0.2">
      <c r="A813" s="162"/>
      <c r="B813" s="162"/>
      <c r="C813" s="206"/>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c r="AA813" s="262"/>
      <c r="AB813" s="262"/>
      <c r="AC813" s="262"/>
      <c r="AD813" s="262"/>
      <c r="AE813" s="262"/>
      <c r="AF813" s="147"/>
      <c r="AG813" s="147"/>
      <c r="AH813" s="84"/>
      <c r="AI813" s="182"/>
      <c r="AJ813" s="161"/>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row>
    <row r="814" spans="1:59" ht="15.75" customHeight="1" x14ac:dyDescent="0.2">
      <c r="A814" s="162"/>
      <c r="B814" s="162"/>
      <c r="C814" s="206"/>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c r="AA814" s="262"/>
      <c r="AB814" s="262"/>
      <c r="AC814" s="262"/>
      <c r="AD814" s="262"/>
      <c r="AE814" s="262"/>
      <c r="AF814" s="147"/>
      <c r="AG814" s="147"/>
      <c r="AH814" s="84"/>
      <c r="AI814" s="182"/>
      <c r="AJ814" s="161"/>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row>
    <row r="815" spans="1:59" ht="15.75" customHeight="1" x14ac:dyDescent="0.2">
      <c r="A815" s="162"/>
      <c r="B815" s="162"/>
      <c r="C815" s="206"/>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c r="AA815" s="262"/>
      <c r="AB815" s="262"/>
      <c r="AC815" s="262"/>
      <c r="AD815" s="262"/>
      <c r="AE815" s="262"/>
      <c r="AF815" s="147"/>
      <c r="AG815" s="147"/>
      <c r="AH815" s="84"/>
      <c r="AI815" s="182"/>
      <c r="AJ815" s="161"/>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row>
    <row r="816" spans="1:59" ht="15.75" customHeight="1" x14ac:dyDescent="0.2">
      <c r="A816" s="162"/>
      <c r="B816" s="162"/>
      <c r="C816" s="206"/>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c r="AA816" s="262"/>
      <c r="AB816" s="262"/>
      <c r="AC816" s="262"/>
      <c r="AD816" s="262"/>
      <c r="AE816" s="262"/>
      <c r="AF816" s="147"/>
      <c r="AG816" s="147"/>
      <c r="AH816" s="84"/>
      <c r="AI816" s="182"/>
      <c r="AJ816" s="161"/>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row>
    <row r="817" spans="1:59" ht="15.75" customHeight="1" x14ac:dyDescent="0.2">
      <c r="A817" s="162"/>
      <c r="B817" s="162"/>
      <c r="C817" s="206"/>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c r="AA817" s="262"/>
      <c r="AB817" s="262"/>
      <c r="AC817" s="262"/>
      <c r="AD817" s="262"/>
      <c r="AE817" s="262"/>
      <c r="AF817" s="147"/>
      <c r="AG817" s="147"/>
      <c r="AH817" s="84"/>
      <c r="AI817" s="182"/>
      <c r="AJ817" s="161"/>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row>
    <row r="818" spans="1:59" ht="15.75" customHeight="1" x14ac:dyDescent="0.2">
      <c r="A818" s="162"/>
      <c r="B818" s="162"/>
      <c r="C818" s="206"/>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c r="AA818" s="262"/>
      <c r="AB818" s="262"/>
      <c r="AC818" s="262"/>
      <c r="AD818" s="262"/>
      <c r="AE818" s="262"/>
      <c r="AF818" s="147"/>
      <c r="AG818" s="147"/>
      <c r="AH818" s="84"/>
      <c r="AI818" s="182"/>
      <c r="AJ818" s="161"/>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row>
    <row r="819" spans="1:59" ht="15.75" customHeight="1" x14ac:dyDescent="0.2">
      <c r="A819" s="162"/>
      <c r="B819" s="162"/>
      <c r="C819" s="206"/>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c r="AA819" s="262"/>
      <c r="AB819" s="262"/>
      <c r="AC819" s="262"/>
      <c r="AD819" s="262"/>
      <c r="AE819" s="262"/>
      <c r="AF819" s="147"/>
      <c r="AG819" s="147"/>
      <c r="AH819" s="84"/>
      <c r="AI819" s="182"/>
      <c r="AJ819" s="161"/>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row>
    <row r="820" spans="1:59" ht="15.75" customHeight="1" x14ac:dyDescent="0.2">
      <c r="A820" s="162"/>
      <c r="B820" s="162"/>
      <c r="C820" s="206"/>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c r="AA820" s="262"/>
      <c r="AB820" s="262"/>
      <c r="AC820" s="262"/>
      <c r="AD820" s="262"/>
      <c r="AE820" s="262"/>
      <c r="AF820" s="147"/>
      <c r="AG820" s="147"/>
      <c r="AH820" s="84"/>
      <c r="AI820" s="182"/>
      <c r="AJ820" s="161"/>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row>
    <row r="821" spans="1:59" ht="15.75" customHeight="1" x14ac:dyDescent="0.2">
      <c r="A821" s="162"/>
      <c r="B821" s="162"/>
      <c r="C821" s="206"/>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c r="AA821" s="262"/>
      <c r="AB821" s="262"/>
      <c r="AC821" s="262"/>
      <c r="AD821" s="262"/>
      <c r="AE821" s="262"/>
      <c r="AF821" s="147"/>
      <c r="AG821" s="147"/>
      <c r="AH821" s="84"/>
      <c r="AI821" s="182"/>
      <c r="AJ821" s="161"/>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row>
    <row r="822" spans="1:59" ht="15.75" customHeight="1" x14ac:dyDescent="0.2">
      <c r="A822" s="162"/>
      <c r="B822" s="162"/>
      <c r="C822" s="206"/>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c r="AA822" s="262"/>
      <c r="AB822" s="262"/>
      <c r="AC822" s="262"/>
      <c r="AD822" s="262"/>
      <c r="AE822" s="262"/>
      <c r="AF822" s="147"/>
      <c r="AG822" s="147"/>
      <c r="AH822" s="84"/>
      <c r="AI822" s="182"/>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row>
    <row r="823" spans="1:59" ht="15.75" customHeight="1" x14ac:dyDescent="0.2">
      <c r="A823" s="162"/>
      <c r="B823" s="162"/>
      <c r="C823" s="206"/>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c r="AA823" s="262"/>
      <c r="AB823" s="262"/>
      <c r="AC823" s="262"/>
      <c r="AD823" s="262"/>
      <c r="AE823" s="262"/>
      <c r="AF823" s="147"/>
      <c r="AG823" s="147"/>
      <c r="AH823" s="189"/>
      <c r="AI823" s="182"/>
      <c r="AJ823" s="209"/>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row>
    <row r="824" spans="1:59" ht="15.75" customHeight="1" x14ac:dyDescent="0.2">
      <c r="A824" s="162"/>
      <c r="B824" s="162"/>
      <c r="C824" s="206"/>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c r="AA824" s="262"/>
      <c r="AB824" s="262"/>
      <c r="AC824" s="262"/>
      <c r="AD824" s="262"/>
      <c r="AE824" s="262"/>
      <c r="AF824" s="147"/>
      <c r="AG824" s="147"/>
      <c r="AH824" s="189"/>
      <c r="AI824" s="182"/>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row>
    <row r="825" spans="1:59" ht="15.75" customHeight="1" x14ac:dyDescent="0.2">
      <c r="A825" s="162"/>
      <c r="B825" s="162"/>
      <c r="C825" s="206"/>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c r="AA825" s="262"/>
      <c r="AB825" s="262"/>
      <c r="AC825" s="262"/>
      <c r="AD825" s="262"/>
      <c r="AE825" s="262"/>
      <c r="AF825" s="147"/>
      <c r="AG825" s="147"/>
      <c r="AH825" s="189"/>
      <c r="AI825" s="182"/>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row>
    <row r="826" spans="1:59" ht="15.75" customHeight="1" x14ac:dyDescent="0.2">
      <c r="A826" s="162"/>
      <c r="B826" s="162"/>
      <c r="C826" s="206"/>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c r="AA826" s="262"/>
      <c r="AB826" s="262"/>
      <c r="AC826" s="262"/>
      <c r="AD826" s="262"/>
      <c r="AE826" s="262"/>
      <c r="AF826" s="147"/>
      <c r="AG826" s="147"/>
      <c r="AH826" s="189"/>
      <c r="AI826" s="182"/>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row>
    <row r="827" spans="1:59" ht="15.75" customHeight="1" x14ac:dyDescent="0.2">
      <c r="A827" s="162"/>
      <c r="B827" s="162"/>
      <c r="C827" s="206"/>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c r="AA827" s="262"/>
      <c r="AB827" s="262"/>
      <c r="AC827" s="262"/>
      <c r="AD827" s="262"/>
      <c r="AE827" s="262"/>
      <c r="AF827" s="147"/>
      <c r="AG827" s="147"/>
      <c r="AH827" s="195"/>
      <c r="AI827" s="182"/>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row>
    <row r="828" spans="1:59" ht="15.75" customHeight="1" x14ac:dyDescent="0.2">
      <c r="A828" s="162"/>
      <c r="B828" s="162"/>
      <c r="C828" s="206"/>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c r="AA828" s="262"/>
      <c r="AB828" s="262"/>
      <c r="AC828" s="262"/>
      <c r="AD828" s="262"/>
      <c r="AE828" s="262"/>
      <c r="AF828" s="147"/>
      <c r="AG828" s="147"/>
      <c r="AH828" s="189"/>
      <c r="AI828" s="182"/>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row>
    <row r="829" spans="1:59" ht="15.75" customHeight="1" x14ac:dyDescent="0.2">
      <c r="A829" s="162"/>
      <c r="B829" s="162"/>
      <c r="C829" s="206"/>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c r="AA829" s="262"/>
      <c r="AB829" s="262"/>
      <c r="AC829" s="262"/>
      <c r="AD829" s="262"/>
      <c r="AE829" s="262"/>
      <c r="AF829" s="147"/>
      <c r="AG829" s="147"/>
      <c r="AH829" s="195"/>
      <c r="AI829" s="182"/>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row>
    <row r="830" spans="1:59" ht="15.75" customHeight="1" x14ac:dyDescent="0.2">
      <c r="A830" s="162"/>
      <c r="B830" s="162"/>
      <c r="C830" s="206"/>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c r="AA830" s="262"/>
      <c r="AB830" s="262"/>
      <c r="AC830" s="262"/>
      <c r="AD830" s="262"/>
      <c r="AE830" s="262"/>
      <c r="AF830" s="147"/>
      <c r="AG830" s="147"/>
      <c r="AH830" s="189"/>
      <c r="AI830" s="182"/>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row>
    <row r="831" spans="1:59" ht="15.75" customHeight="1" x14ac:dyDescent="0.2">
      <c r="A831" s="162"/>
      <c r="B831" s="162"/>
      <c r="C831" s="206"/>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c r="AA831" s="262"/>
      <c r="AB831" s="262"/>
      <c r="AC831" s="262"/>
      <c r="AD831" s="262"/>
      <c r="AE831" s="262"/>
      <c r="AF831" s="147"/>
      <c r="AG831" s="147"/>
      <c r="AH831" s="195"/>
      <c r="AI831" s="182"/>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row>
    <row r="832" spans="1:59" ht="15.75" customHeight="1" x14ac:dyDescent="0.2">
      <c r="A832" s="162"/>
      <c r="B832" s="162"/>
      <c r="C832" s="206"/>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c r="AA832" s="262"/>
      <c r="AB832" s="262"/>
      <c r="AC832" s="262"/>
      <c r="AD832" s="262"/>
      <c r="AE832" s="262"/>
      <c r="AF832" s="147"/>
      <c r="AG832" s="147"/>
      <c r="AH832" s="189"/>
      <c r="AI832" s="182"/>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row>
    <row r="833" spans="1:59" ht="15.75" customHeight="1" x14ac:dyDescent="0.2">
      <c r="A833" s="162"/>
      <c r="B833" s="162"/>
      <c r="C833" s="206"/>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c r="AA833" s="262"/>
      <c r="AB833" s="262"/>
      <c r="AC833" s="262"/>
      <c r="AD833" s="262"/>
      <c r="AE833" s="262"/>
      <c r="AF833" s="147"/>
      <c r="AG833" s="147"/>
      <c r="AH833" s="195"/>
      <c r="AI833" s="182"/>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row>
    <row r="834" spans="1:59" ht="15.75" customHeight="1" x14ac:dyDescent="0.2">
      <c r="A834" s="162"/>
      <c r="B834" s="162"/>
      <c r="C834" s="206"/>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c r="AA834" s="262"/>
      <c r="AB834" s="262"/>
      <c r="AC834" s="262"/>
      <c r="AD834" s="262"/>
      <c r="AE834" s="262"/>
      <c r="AF834" s="147"/>
      <c r="AG834" s="147"/>
      <c r="AH834" s="189"/>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row>
    <row r="835" spans="1:59" ht="15.75" customHeight="1" x14ac:dyDescent="0.2">
      <c r="A835" s="162"/>
      <c r="B835" s="162"/>
      <c r="C835" s="206"/>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c r="AA835" s="262"/>
      <c r="AB835" s="262"/>
      <c r="AC835" s="262"/>
      <c r="AD835" s="262"/>
      <c r="AE835" s="262"/>
      <c r="AF835" s="147"/>
      <c r="AG835" s="147"/>
      <c r="AH835" s="147"/>
      <c r="AI835" s="209"/>
      <c r="AJ835" s="189"/>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row>
    <row r="836" spans="1:59" ht="15.75" customHeight="1" x14ac:dyDescent="0.2">
      <c r="A836" s="162"/>
      <c r="B836" s="162"/>
      <c r="C836" s="206"/>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c r="AA836" s="262"/>
      <c r="AB836" s="262"/>
      <c r="AC836" s="262"/>
      <c r="AD836" s="262"/>
      <c r="AE836" s="262"/>
      <c r="AF836" s="147"/>
      <c r="AG836" s="147"/>
      <c r="AH836" s="147"/>
      <c r="AI836" s="147"/>
      <c r="AJ836" s="189"/>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row>
    <row r="837" spans="1:59" ht="15.75" customHeight="1" x14ac:dyDescent="0.2">
      <c r="A837" s="162"/>
      <c r="B837" s="162"/>
      <c r="C837" s="206"/>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c r="AA837" s="262"/>
      <c r="AB837" s="262"/>
      <c r="AC837" s="262"/>
      <c r="AD837" s="262"/>
      <c r="AE837" s="262"/>
      <c r="AF837" s="147"/>
      <c r="AG837" s="147"/>
      <c r="AH837" s="147"/>
      <c r="AI837" s="147"/>
      <c r="AJ837" s="189"/>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row>
    <row r="838" spans="1:59" ht="15.75" customHeight="1" x14ac:dyDescent="0.2">
      <c r="A838" s="162"/>
      <c r="B838" s="162"/>
      <c r="C838" s="206"/>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c r="AA838" s="262"/>
      <c r="AB838" s="262"/>
      <c r="AC838" s="262"/>
      <c r="AD838" s="262"/>
      <c r="AE838" s="262"/>
      <c r="AF838" s="147"/>
      <c r="AG838" s="147"/>
      <c r="AH838" s="147"/>
      <c r="AI838" s="147"/>
      <c r="AJ838" s="189"/>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row>
    <row r="839" spans="1:59" ht="15.75" customHeight="1" x14ac:dyDescent="0.2">
      <c r="A839" s="162"/>
      <c r="B839" s="162"/>
      <c r="C839" s="206"/>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c r="AA839" s="262"/>
      <c r="AB839" s="262"/>
      <c r="AC839" s="262"/>
      <c r="AD839" s="262"/>
      <c r="AE839" s="262"/>
      <c r="AF839" s="147"/>
      <c r="AG839" s="147"/>
      <c r="AH839" s="147"/>
      <c r="AI839" s="147"/>
      <c r="AJ839" s="189"/>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row>
    <row r="840" spans="1:59" ht="15.75" customHeight="1" x14ac:dyDescent="0.2">
      <c r="A840" s="162"/>
      <c r="B840" s="162"/>
      <c r="C840" s="206"/>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c r="AA840" s="262"/>
      <c r="AB840" s="262"/>
      <c r="AC840" s="262"/>
      <c r="AD840" s="262"/>
      <c r="AE840" s="262"/>
      <c r="AF840" s="147"/>
      <c r="AG840" s="147"/>
      <c r="AH840" s="147"/>
      <c r="AI840" s="147"/>
      <c r="AJ840" s="189"/>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row>
    <row r="841" spans="1:59" ht="15.75" customHeight="1" x14ac:dyDescent="0.2">
      <c r="A841" s="162"/>
      <c r="B841" s="162"/>
      <c r="C841" s="206"/>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c r="AA841" s="262"/>
      <c r="AB841" s="262"/>
      <c r="AC841" s="262"/>
      <c r="AD841" s="262"/>
      <c r="AE841" s="262"/>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row>
    <row r="842" spans="1:59" ht="15.75" customHeight="1" x14ac:dyDescent="0.2">
      <c r="A842" s="162"/>
      <c r="B842" s="162"/>
      <c r="C842" s="206"/>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c r="AA842" s="262"/>
      <c r="AB842" s="262"/>
      <c r="AC842" s="262"/>
      <c r="AD842" s="262"/>
      <c r="AE842" s="262"/>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row>
    <row r="843" spans="1:59" ht="15.75" customHeight="1" x14ac:dyDescent="0.2">
      <c r="A843" s="162"/>
      <c r="B843" s="162"/>
      <c r="C843" s="206"/>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c r="AA843" s="262"/>
      <c r="AB843" s="262"/>
      <c r="AC843" s="262"/>
      <c r="AD843" s="262"/>
      <c r="AE843" s="262"/>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row>
    <row r="844" spans="1:59" ht="15.75" customHeight="1" x14ac:dyDescent="0.2">
      <c r="A844" s="162"/>
      <c r="B844" s="162"/>
      <c r="C844" s="206"/>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c r="AA844" s="262"/>
      <c r="AB844" s="262"/>
      <c r="AC844" s="262"/>
      <c r="AD844" s="262"/>
      <c r="AE844" s="262"/>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row>
    <row r="845" spans="1:59" ht="15.75" customHeight="1" x14ac:dyDescent="0.2">
      <c r="A845" s="162"/>
      <c r="B845" s="162"/>
      <c r="C845" s="206"/>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c r="AA845" s="262"/>
      <c r="AB845" s="262"/>
      <c r="AC845" s="262"/>
      <c r="AD845" s="262"/>
      <c r="AE845" s="262"/>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row>
    <row r="846" spans="1:59" ht="15.75" customHeight="1" x14ac:dyDescent="0.2">
      <c r="A846" s="162"/>
      <c r="B846" s="162"/>
      <c r="C846" s="206"/>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c r="AA846" s="262"/>
      <c r="AB846" s="262"/>
      <c r="AC846" s="262"/>
      <c r="AD846" s="262"/>
      <c r="AE846" s="262"/>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row>
    <row r="847" spans="1:59" ht="15.75" customHeight="1" x14ac:dyDescent="0.2">
      <c r="A847" s="162"/>
      <c r="B847" s="162"/>
      <c r="C847" s="206"/>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c r="AA847" s="262"/>
      <c r="AB847" s="262"/>
      <c r="AC847" s="262"/>
      <c r="AD847" s="262"/>
      <c r="AE847" s="262"/>
      <c r="AF847" s="147"/>
      <c r="AG847" s="147"/>
      <c r="AH847" s="147"/>
      <c r="AI847" s="189"/>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row>
    <row r="848" spans="1:59" ht="15.75" customHeight="1" x14ac:dyDescent="0.2">
      <c r="A848" s="162"/>
      <c r="B848" s="162"/>
      <c r="C848" s="206"/>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c r="AA848" s="262"/>
      <c r="AB848" s="262"/>
      <c r="AC848" s="262"/>
      <c r="AD848" s="262"/>
      <c r="AE848" s="262"/>
      <c r="AF848" s="147"/>
      <c r="AG848" s="147"/>
      <c r="AH848" s="147"/>
      <c r="AI848" s="189"/>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row>
    <row r="849" spans="1:59" ht="15.75" customHeight="1" x14ac:dyDescent="0.2">
      <c r="A849" s="162"/>
      <c r="B849" s="162"/>
      <c r="C849" s="206"/>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c r="AA849" s="262"/>
      <c r="AB849" s="262"/>
      <c r="AC849" s="262"/>
      <c r="AD849" s="262"/>
      <c r="AE849" s="262"/>
      <c r="AF849" s="147"/>
      <c r="AG849" s="147"/>
      <c r="AH849" s="147"/>
      <c r="AI849" s="189"/>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row>
    <row r="850" spans="1:59" ht="15.75" customHeight="1" x14ac:dyDescent="0.2">
      <c r="A850" s="162"/>
      <c r="B850" s="162"/>
      <c r="C850" s="206"/>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c r="AA850" s="262"/>
      <c r="AB850" s="262"/>
      <c r="AC850" s="262"/>
      <c r="AD850" s="262"/>
      <c r="AE850" s="262"/>
      <c r="AF850" s="147"/>
      <c r="AG850" s="147"/>
      <c r="AH850" s="147"/>
      <c r="AI850" s="189"/>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row>
    <row r="851" spans="1:59" ht="15.75" customHeight="1" x14ac:dyDescent="0.2">
      <c r="A851" s="162"/>
      <c r="B851" s="162"/>
      <c r="C851" s="206"/>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c r="AA851" s="262"/>
      <c r="AB851" s="262"/>
      <c r="AC851" s="262"/>
      <c r="AD851" s="262"/>
      <c r="AE851" s="262"/>
      <c r="AF851" s="147"/>
      <c r="AG851" s="147"/>
      <c r="AH851" s="147"/>
      <c r="AI851" s="189"/>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row>
    <row r="852" spans="1:59" ht="15.75" customHeight="1" x14ac:dyDescent="0.2">
      <c r="A852" s="162"/>
      <c r="B852" s="162"/>
      <c r="C852" s="206"/>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c r="AA852" s="262"/>
      <c r="AB852" s="262"/>
      <c r="AC852" s="262"/>
      <c r="AD852" s="262"/>
      <c r="AE852" s="262"/>
      <c r="AF852" s="147"/>
      <c r="AG852" s="147"/>
      <c r="AH852" s="147"/>
      <c r="AI852" s="189"/>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row>
    <row r="853" spans="1:59" ht="15.75" customHeight="1" x14ac:dyDescent="0.2">
      <c r="A853" s="162"/>
      <c r="B853" s="162"/>
      <c r="C853" s="206"/>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c r="AA853" s="262"/>
      <c r="AB853" s="262"/>
      <c r="AC853" s="262"/>
      <c r="AD853" s="262"/>
      <c r="AE853" s="262"/>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row>
    <row r="854" spans="1:59" ht="15.75" customHeight="1" x14ac:dyDescent="0.2">
      <c r="A854" s="162"/>
      <c r="B854" s="162"/>
      <c r="C854" s="206"/>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c r="AA854" s="262"/>
      <c r="AB854" s="262"/>
      <c r="AC854" s="262"/>
      <c r="AD854" s="262"/>
      <c r="AE854" s="262"/>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row>
    <row r="855" spans="1:59" ht="15.75" customHeight="1" x14ac:dyDescent="0.2">
      <c r="A855" s="162"/>
      <c r="B855" s="162"/>
      <c r="C855" s="206"/>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c r="AA855" s="262"/>
      <c r="AB855" s="262"/>
      <c r="AC855" s="262"/>
      <c r="AD855" s="262"/>
      <c r="AE855" s="262"/>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row>
    <row r="856" spans="1:59" ht="15.75" customHeight="1" x14ac:dyDescent="0.2">
      <c r="A856" s="162"/>
      <c r="B856" s="162"/>
      <c r="C856" s="206"/>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c r="AA856" s="262"/>
      <c r="AB856" s="262"/>
      <c r="AC856" s="262"/>
      <c r="AD856" s="262"/>
      <c r="AE856" s="262"/>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row>
    <row r="857" spans="1:59" ht="15.75" customHeight="1" x14ac:dyDescent="0.2">
      <c r="A857" s="162"/>
      <c r="B857" s="162"/>
      <c r="C857" s="206"/>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c r="AA857" s="262"/>
      <c r="AB857" s="262"/>
      <c r="AC857" s="262"/>
      <c r="AD857" s="262"/>
      <c r="AE857" s="262"/>
      <c r="AF857" s="147"/>
      <c r="AG857" s="147"/>
      <c r="AH857" s="147"/>
      <c r="AI857" s="147"/>
      <c r="AJ857" s="189"/>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row>
    <row r="858" spans="1:59" ht="15.75" customHeight="1" x14ac:dyDescent="0.2">
      <c r="A858" s="162"/>
      <c r="B858" s="162"/>
      <c r="C858" s="206"/>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c r="AA858" s="262"/>
      <c r="AB858" s="262"/>
      <c r="AC858" s="262"/>
      <c r="AD858" s="262"/>
      <c r="AE858" s="262"/>
      <c r="AF858" s="147"/>
      <c r="AG858" s="147"/>
      <c r="AH858" s="147"/>
      <c r="AI858" s="147"/>
      <c r="AJ858" s="189"/>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row>
    <row r="859" spans="1:59" ht="15.75" customHeight="1" x14ac:dyDescent="0.2">
      <c r="A859" s="162"/>
      <c r="B859" s="162"/>
      <c r="C859" s="206"/>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c r="AA859" s="262"/>
      <c r="AB859" s="262"/>
      <c r="AC859" s="262"/>
      <c r="AD859" s="262"/>
      <c r="AE859" s="262"/>
      <c r="AF859" s="147"/>
      <c r="AG859" s="147"/>
      <c r="AH859" s="147"/>
      <c r="AI859" s="147"/>
      <c r="AJ859" s="189"/>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row>
    <row r="860" spans="1:59" ht="15.75" customHeight="1" x14ac:dyDescent="0.2">
      <c r="A860" s="162"/>
      <c r="B860" s="162"/>
      <c r="C860" s="206"/>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c r="AA860" s="262"/>
      <c r="AB860" s="262"/>
      <c r="AC860" s="262"/>
      <c r="AD860" s="262"/>
      <c r="AE860" s="262"/>
      <c r="AF860" s="147"/>
      <c r="AG860" s="147"/>
      <c r="AH860" s="147"/>
      <c r="AI860" s="147"/>
      <c r="AJ860" s="189"/>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row>
    <row r="861" spans="1:59" ht="15.75" customHeight="1" x14ac:dyDescent="0.2">
      <c r="A861" s="162"/>
      <c r="B861" s="162"/>
      <c r="C861" s="206"/>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c r="AA861" s="262"/>
      <c r="AB861" s="262"/>
      <c r="AC861" s="262"/>
      <c r="AD861" s="262"/>
      <c r="AE861" s="262"/>
      <c r="AF861" s="147"/>
      <c r="AG861" s="147"/>
      <c r="AH861" s="147"/>
      <c r="AI861" s="147"/>
      <c r="AJ861" s="189"/>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row>
    <row r="862" spans="1:59" ht="15.75" customHeight="1" x14ac:dyDescent="0.2">
      <c r="A862" s="162"/>
      <c r="B862" s="162"/>
      <c r="C862" s="206"/>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c r="AA862" s="262"/>
      <c r="AB862" s="262"/>
      <c r="AC862" s="262"/>
      <c r="AD862" s="262"/>
      <c r="AE862" s="262"/>
      <c r="AF862" s="147"/>
      <c r="AG862" s="147"/>
      <c r="AH862" s="147"/>
      <c r="AI862" s="147"/>
      <c r="AJ862" s="189"/>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row>
    <row r="863" spans="1:59" ht="15.75" customHeight="1" x14ac:dyDescent="0.2">
      <c r="A863" s="162"/>
      <c r="B863" s="162"/>
      <c r="C863" s="206"/>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c r="AA863" s="262"/>
      <c r="AB863" s="262"/>
      <c r="AC863" s="262"/>
      <c r="AD863" s="262"/>
      <c r="AE863" s="262"/>
      <c r="AF863" s="147"/>
      <c r="AG863" s="147"/>
      <c r="AH863" s="147"/>
      <c r="AI863" s="147"/>
      <c r="AJ863" s="189"/>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row>
    <row r="864" spans="1:59" ht="15.75" customHeight="1" x14ac:dyDescent="0.2">
      <c r="A864" s="162"/>
      <c r="B864" s="162"/>
      <c r="C864" s="206"/>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c r="AA864" s="262"/>
      <c r="AB864" s="262"/>
      <c r="AC864" s="262"/>
      <c r="AD864" s="262"/>
      <c r="AE864" s="262"/>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row>
    <row r="865" spans="1:59" ht="15.75" customHeight="1" x14ac:dyDescent="0.2">
      <c r="A865" s="162"/>
      <c r="B865" s="162"/>
      <c r="C865" s="206"/>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c r="AA865" s="262"/>
      <c r="AB865" s="262"/>
      <c r="AC865" s="262"/>
      <c r="AD865" s="262"/>
      <c r="AE865" s="262"/>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row>
    <row r="866" spans="1:59" ht="15.75" customHeight="1" x14ac:dyDescent="0.2">
      <c r="A866" s="162"/>
      <c r="B866" s="162"/>
      <c r="C866" s="206"/>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c r="AA866" s="262"/>
      <c r="AB866" s="262"/>
      <c r="AC866" s="262"/>
      <c r="AD866" s="262"/>
      <c r="AE866" s="262"/>
      <c r="AF866" s="147"/>
      <c r="AG866" s="147"/>
      <c r="AH866" s="147"/>
      <c r="AI866" s="147"/>
      <c r="AJ866" s="195"/>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row>
    <row r="867" spans="1:59" ht="15.75" customHeight="1" x14ac:dyDescent="0.2">
      <c r="A867" s="162"/>
      <c r="B867" s="162"/>
      <c r="C867" s="206"/>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c r="AA867" s="262"/>
      <c r="AB867" s="262"/>
      <c r="AC867" s="262"/>
      <c r="AD867" s="262"/>
      <c r="AE867" s="262"/>
      <c r="AF867" s="147"/>
      <c r="AG867" s="147"/>
      <c r="AH867" s="147"/>
      <c r="AI867" s="147"/>
      <c r="AJ867" s="195"/>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row>
    <row r="868" spans="1:59" ht="15.75" customHeight="1" x14ac:dyDescent="0.2">
      <c r="A868" s="162"/>
      <c r="B868" s="162"/>
      <c r="C868" s="206"/>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c r="AA868" s="262"/>
      <c r="AB868" s="262"/>
      <c r="AC868" s="262"/>
      <c r="AD868" s="262"/>
      <c r="AE868" s="262"/>
      <c r="AF868" s="147"/>
      <c r="AG868" s="147"/>
      <c r="AH868" s="147"/>
      <c r="AI868" s="147"/>
      <c r="AJ868" s="195"/>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row>
    <row r="869" spans="1:59" ht="15.75" customHeight="1" x14ac:dyDescent="0.2">
      <c r="A869" s="162"/>
      <c r="B869" s="162"/>
      <c r="C869" s="206"/>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c r="AA869" s="262"/>
      <c r="AB869" s="262"/>
      <c r="AC869" s="262"/>
      <c r="AD869" s="262"/>
      <c r="AE869" s="262"/>
      <c r="AF869" s="147"/>
      <c r="AG869" s="147"/>
      <c r="AH869" s="147"/>
      <c r="AI869" s="189"/>
      <c r="AJ869" s="195"/>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row>
    <row r="870" spans="1:59" ht="15.75" customHeight="1" x14ac:dyDescent="0.2">
      <c r="A870" s="162"/>
      <c r="B870" s="162"/>
      <c r="C870" s="206"/>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c r="AA870" s="262"/>
      <c r="AB870" s="262"/>
      <c r="AC870" s="262"/>
      <c r="AD870" s="262"/>
      <c r="AE870" s="262"/>
      <c r="AF870" s="147"/>
      <c r="AG870" s="147"/>
      <c r="AH870" s="147"/>
      <c r="AI870" s="189"/>
      <c r="AJ870" s="195"/>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row>
    <row r="871" spans="1:59" ht="15.75" customHeight="1" x14ac:dyDescent="0.2">
      <c r="A871" s="162"/>
      <c r="B871" s="162"/>
      <c r="C871" s="206"/>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c r="AA871" s="262"/>
      <c r="AB871" s="262"/>
      <c r="AC871" s="262"/>
      <c r="AD871" s="262"/>
      <c r="AE871" s="262"/>
      <c r="AF871" s="147"/>
      <c r="AG871" s="147"/>
      <c r="AH871" s="147"/>
      <c r="AI871" s="189"/>
      <c r="AJ871" s="195"/>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row>
    <row r="872" spans="1:59" ht="15.75" customHeight="1" x14ac:dyDescent="0.2">
      <c r="A872" s="162"/>
      <c r="B872" s="162"/>
      <c r="C872" s="206"/>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c r="AA872" s="262"/>
      <c r="AB872" s="262"/>
      <c r="AC872" s="262"/>
      <c r="AD872" s="262"/>
      <c r="AE872" s="262"/>
      <c r="AF872" s="147"/>
      <c r="AG872" s="147"/>
      <c r="AH872" s="147"/>
      <c r="AI872" s="189"/>
      <c r="AJ872" s="195"/>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row>
    <row r="873" spans="1:59" ht="15.75" customHeight="1" x14ac:dyDescent="0.2">
      <c r="A873" s="162"/>
      <c r="B873" s="162"/>
      <c r="C873" s="206"/>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c r="AA873" s="262"/>
      <c r="AB873" s="262"/>
      <c r="AC873" s="262"/>
      <c r="AD873" s="262"/>
      <c r="AE873" s="262"/>
      <c r="AF873" s="147"/>
      <c r="AG873" s="147"/>
      <c r="AH873" s="147"/>
      <c r="AI873" s="189"/>
      <c r="AJ873" s="195"/>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row>
    <row r="874" spans="1:59" ht="15.75" customHeight="1" x14ac:dyDescent="0.2">
      <c r="A874" s="162"/>
      <c r="B874" s="162"/>
      <c r="C874" s="206"/>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c r="AA874" s="262"/>
      <c r="AB874" s="262"/>
      <c r="AC874" s="262"/>
      <c r="AD874" s="262"/>
      <c r="AE874" s="262"/>
      <c r="AF874" s="147"/>
      <c r="AG874" s="147"/>
      <c r="AH874" s="147"/>
      <c r="AI874" s="189"/>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row>
    <row r="875" spans="1:59" ht="15.75" customHeight="1" x14ac:dyDescent="0.2">
      <c r="A875" s="162"/>
      <c r="B875" s="162"/>
      <c r="C875" s="206"/>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c r="AA875" s="262"/>
      <c r="AB875" s="262"/>
      <c r="AC875" s="262"/>
      <c r="AD875" s="262"/>
      <c r="AE875" s="262"/>
      <c r="AF875" s="147"/>
      <c r="AG875" s="147"/>
      <c r="AH875" s="147"/>
      <c r="AI875" s="189"/>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row>
    <row r="876" spans="1:59" ht="15.75" customHeight="1" x14ac:dyDescent="0.2">
      <c r="A876" s="162"/>
      <c r="B876" s="162"/>
      <c r="C876" s="206"/>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c r="AA876" s="262"/>
      <c r="AB876" s="262"/>
      <c r="AC876" s="262"/>
      <c r="AD876" s="262"/>
      <c r="AE876" s="262"/>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row>
    <row r="877" spans="1:59" ht="15.75" customHeight="1" x14ac:dyDescent="0.2">
      <c r="A877" s="162"/>
      <c r="B877" s="162"/>
      <c r="C877" s="206"/>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c r="AA877" s="262"/>
      <c r="AB877" s="262"/>
      <c r="AC877" s="262"/>
      <c r="AD877" s="262"/>
      <c r="AE877" s="262"/>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row>
    <row r="878" spans="1:59" ht="15.75" customHeight="1" x14ac:dyDescent="0.2">
      <c r="A878" s="162"/>
      <c r="B878" s="162"/>
      <c r="C878" s="206"/>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c r="AA878" s="262"/>
      <c r="AB878" s="262"/>
      <c r="AC878" s="262"/>
      <c r="AD878" s="262"/>
      <c r="AE878" s="262"/>
      <c r="AF878" s="147"/>
      <c r="AG878" s="147"/>
      <c r="AH878" s="147"/>
      <c r="AI878" s="195"/>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row>
    <row r="879" spans="1:59" ht="15.75" customHeight="1" x14ac:dyDescent="0.2">
      <c r="A879" s="162"/>
      <c r="B879" s="162"/>
      <c r="C879" s="206"/>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c r="AA879" s="262"/>
      <c r="AB879" s="262"/>
      <c r="AC879" s="262"/>
      <c r="AD879" s="262"/>
      <c r="AE879" s="262"/>
      <c r="AF879" s="147"/>
      <c r="AG879" s="147"/>
      <c r="AH879" s="147"/>
      <c r="AI879" s="195"/>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row>
    <row r="880" spans="1:59" ht="15.75" customHeight="1" x14ac:dyDescent="0.2">
      <c r="A880" s="162"/>
      <c r="B880" s="162"/>
      <c r="C880" s="206"/>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c r="AA880" s="262"/>
      <c r="AB880" s="262"/>
      <c r="AC880" s="262"/>
      <c r="AD880" s="262"/>
      <c r="AE880" s="262"/>
      <c r="AF880" s="147"/>
      <c r="AG880" s="147"/>
      <c r="AH880" s="147"/>
      <c r="AI880" s="195"/>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row>
    <row r="881" spans="1:59" ht="15.75" customHeight="1" x14ac:dyDescent="0.2">
      <c r="A881" s="162"/>
      <c r="B881" s="162"/>
      <c r="C881" s="206"/>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c r="AA881" s="262"/>
      <c r="AB881" s="262"/>
      <c r="AC881" s="262"/>
      <c r="AD881" s="262"/>
      <c r="AE881" s="262"/>
      <c r="AF881" s="147"/>
      <c r="AG881" s="147"/>
      <c r="AH881" s="147"/>
      <c r="AI881" s="195"/>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row>
    <row r="882" spans="1:59" ht="15.75" customHeight="1" x14ac:dyDescent="0.2">
      <c r="A882" s="162"/>
      <c r="B882" s="162"/>
      <c r="C882" s="206"/>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c r="AA882" s="262"/>
      <c r="AB882" s="262"/>
      <c r="AC882" s="262"/>
      <c r="AD882" s="262"/>
      <c r="AE882" s="262"/>
      <c r="AF882" s="147"/>
      <c r="AG882" s="147"/>
      <c r="AH882" s="147"/>
      <c r="AI882" s="195"/>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row>
    <row r="883" spans="1:59" ht="15.75" customHeight="1" x14ac:dyDescent="0.2">
      <c r="A883" s="162"/>
      <c r="B883" s="162"/>
      <c r="C883" s="206"/>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c r="AA883" s="262"/>
      <c r="AB883" s="262"/>
      <c r="AC883" s="262"/>
      <c r="AD883" s="262"/>
      <c r="AE883" s="262"/>
      <c r="AF883" s="147"/>
      <c r="AG883" s="147"/>
      <c r="AH883" s="147"/>
      <c r="AI883" s="195"/>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row>
    <row r="884" spans="1:59" ht="15.75" customHeight="1" x14ac:dyDescent="0.2">
      <c r="A884" s="162"/>
      <c r="B884" s="162"/>
      <c r="C884" s="206"/>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c r="AA884" s="262"/>
      <c r="AB884" s="262"/>
      <c r="AC884" s="262"/>
      <c r="AD884" s="262"/>
      <c r="AE884" s="262"/>
      <c r="AF884" s="147"/>
      <c r="AG884" s="147"/>
      <c r="AH884" s="147"/>
      <c r="AI884" s="195"/>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row>
    <row r="885" spans="1:59" ht="15.75" customHeight="1" x14ac:dyDescent="0.2">
      <c r="A885" s="162"/>
      <c r="B885" s="162"/>
      <c r="C885" s="206"/>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c r="AA885" s="262"/>
      <c r="AB885" s="262"/>
      <c r="AC885" s="262"/>
      <c r="AD885" s="262"/>
      <c r="AE885" s="262"/>
      <c r="AF885" s="147"/>
      <c r="AG885" s="147"/>
      <c r="AH885" s="147"/>
      <c r="AI885" s="195"/>
      <c r="AJ885" s="161"/>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row>
    <row r="886" spans="1:59" ht="15.75" customHeight="1" x14ac:dyDescent="0.2">
      <c r="A886" s="162"/>
      <c r="B886" s="162"/>
      <c r="C886" s="206"/>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c r="AA886" s="262"/>
      <c r="AB886" s="262"/>
      <c r="AC886" s="262"/>
      <c r="AD886" s="262"/>
      <c r="AE886" s="262"/>
      <c r="AF886" s="147"/>
      <c r="AG886" s="147"/>
      <c r="AH886" s="147"/>
      <c r="AI886" s="147"/>
      <c r="AJ886" s="195"/>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row>
    <row r="887" spans="1:59" ht="15.75" customHeight="1" x14ac:dyDescent="0.2">
      <c r="A887" s="162"/>
      <c r="B887" s="162"/>
      <c r="C887" s="206"/>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c r="AA887" s="262"/>
      <c r="AB887" s="262"/>
      <c r="AC887" s="262"/>
      <c r="AD887" s="262"/>
      <c r="AE887" s="262"/>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row>
    <row r="888" spans="1:59" ht="15.75" customHeight="1" x14ac:dyDescent="0.2">
      <c r="A888" s="162"/>
      <c r="B888" s="162"/>
      <c r="C888" s="206"/>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c r="AA888" s="262"/>
      <c r="AB888" s="262"/>
      <c r="AC888" s="262"/>
      <c r="AD888" s="262"/>
      <c r="AE888" s="262"/>
      <c r="AF888" s="147"/>
      <c r="AG888" s="147"/>
      <c r="AH888" s="147"/>
      <c r="AI888" s="147"/>
      <c r="AJ888" s="15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row>
    <row r="889" spans="1:59" ht="15.75" customHeight="1" x14ac:dyDescent="0.2">
      <c r="A889" s="162"/>
      <c r="B889" s="162"/>
      <c r="C889" s="206"/>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c r="AA889" s="262"/>
      <c r="AB889" s="262"/>
      <c r="AC889" s="262"/>
      <c r="AD889" s="262"/>
      <c r="AE889" s="262"/>
      <c r="AF889" s="147"/>
      <c r="AG889" s="147"/>
      <c r="AH889" s="147"/>
      <c r="AI889" s="147"/>
      <c r="AJ889" s="195"/>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row>
    <row r="890" spans="1:59" ht="15.75" customHeight="1" x14ac:dyDescent="0.2">
      <c r="A890" s="162"/>
      <c r="B890" s="162"/>
      <c r="C890" s="206"/>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c r="AA890" s="262"/>
      <c r="AB890" s="262"/>
      <c r="AC890" s="262"/>
      <c r="AD890" s="262"/>
      <c r="AE890" s="262"/>
      <c r="AF890" s="147"/>
      <c r="AG890" s="147"/>
      <c r="AH890" s="147"/>
      <c r="AI890" s="147"/>
      <c r="AJ890" s="220"/>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row>
    <row r="891" spans="1:59" ht="15.75" customHeight="1" x14ac:dyDescent="0.2">
      <c r="A891" s="162"/>
      <c r="B891" s="162"/>
      <c r="C891" s="206"/>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c r="AA891" s="262"/>
      <c r="AB891" s="262"/>
      <c r="AC891" s="262"/>
      <c r="AD891" s="262"/>
      <c r="AE891" s="262"/>
      <c r="AF891" s="147"/>
      <c r="AG891" s="147"/>
      <c r="AH891" s="147"/>
      <c r="AI891" s="147"/>
      <c r="AJ891" s="220"/>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row>
    <row r="892" spans="1:59" ht="15.75" customHeight="1" x14ac:dyDescent="0.2">
      <c r="A892" s="162"/>
      <c r="B892" s="162"/>
      <c r="C892" s="206"/>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c r="AA892" s="262"/>
      <c r="AB892" s="262"/>
      <c r="AC892" s="262"/>
      <c r="AD892" s="262"/>
      <c r="AE892" s="262"/>
      <c r="AF892" s="147"/>
      <c r="AG892" s="147"/>
      <c r="AH892" s="147"/>
      <c r="AI892" s="147"/>
      <c r="AJ892" s="220"/>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row>
    <row r="893" spans="1:59" ht="15.75" customHeight="1" x14ac:dyDescent="0.2">
      <c r="A893" s="162"/>
      <c r="B893" s="162"/>
      <c r="C893" s="206"/>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c r="AA893" s="262"/>
      <c r="AB893" s="262"/>
      <c r="AC893" s="262"/>
      <c r="AD893" s="262"/>
      <c r="AE893" s="262"/>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row>
    <row r="894" spans="1:59" ht="15.75" customHeight="1" x14ac:dyDescent="0.2">
      <c r="A894" s="162"/>
      <c r="B894" s="162"/>
      <c r="C894" s="206"/>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c r="AA894" s="262"/>
      <c r="AB894" s="262"/>
      <c r="AC894" s="262"/>
      <c r="AD894" s="262"/>
      <c r="AE894" s="262"/>
      <c r="AF894" s="147"/>
      <c r="AG894" s="147"/>
      <c r="AH894" s="147"/>
      <c r="AI894" s="147"/>
      <c r="AJ894" s="175"/>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row>
    <row r="895" spans="1:59" ht="15.75" customHeight="1" x14ac:dyDescent="0.2">
      <c r="A895" s="162"/>
      <c r="B895" s="162"/>
      <c r="C895" s="206"/>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c r="AA895" s="262"/>
      <c r="AB895" s="262"/>
      <c r="AC895" s="262"/>
      <c r="AD895" s="262"/>
      <c r="AE895" s="262"/>
      <c r="AF895" s="147"/>
      <c r="AG895" s="147"/>
      <c r="AH895" s="147"/>
      <c r="AI895" s="147"/>
      <c r="AJ895" s="15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row>
    <row r="896" spans="1:59" ht="15.75" customHeight="1" x14ac:dyDescent="0.2">
      <c r="A896" s="162"/>
      <c r="B896" s="162"/>
      <c r="C896" s="206"/>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c r="AA896" s="262"/>
      <c r="AB896" s="262"/>
      <c r="AC896" s="262"/>
      <c r="AD896" s="262"/>
      <c r="AE896" s="262"/>
      <c r="AF896" s="147"/>
      <c r="AG896" s="147"/>
      <c r="AH896" s="147"/>
      <c r="AI896" s="147"/>
      <c r="AJ896" s="195"/>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row>
    <row r="897" spans="1:59" ht="15.75" customHeight="1" x14ac:dyDescent="0.2">
      <c r="A897" s="162"/>
      <c r="B897" s="162"/>
      <c r="C897" s="206"/>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c r="AA897" s="262"/>
      <c r="AB897" s="262"/>
      <c r="AC897" s="262"/>
      <c r="AD897" s="262"/>
      <c r="AE897" s="262"/>
      <c r="AF897" s="147"/>
      <c r="AG897" s="147"/>
      <c r="AH897" s="147"/>
      <c r="AI897" s="161"/>
      <c r="AJ897" s="15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row>
    <row r="898" spans="1:59" ht="15.75" customHeight="1" x14ac:dyDescent="0.2">
      <c r="A898" s="162"/>
      <c r="B898" s="162"/>
      <c r="C898" s="206"/>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c r="AA898" s="262"/>
      <c r="AB898" s="262"/>
      <c r="AC898" s="262"/>
      <c r="AD898" s="262"/>
      <c r="AE898" s="262"/>
      <c r="AF898" s="147"/>
      <c r="AG898" s="147"/>
      <c r="AH898" s="147"/>
      <c r="AI898" s="195"/>
      <c r="AJ898" s="225"/>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row>
    <row r="899" spans="1:59" ht="15.75" customHeight="1" x14ac:dyDescent="0.2">
      <c r="A899" s="162"/>
      <c r="B899" s="162"/>
      <c r="C899" s="206"/>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c r="AA899" s="262"/>
      <c r="AB899" s="262"/>
      <c r="AC899" s="262"/>
      <c r="AD899" s="262"/>
      <c r="AE899" s="262"/>
      <c r="AF899" s="147"/>
      <c r="AG899" s="147"/>
      <c r="AH899" s="147"/>
      <c r="AI899" s="147"/>
      <c r="AJ899" s="15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row>
    <row r="900" spans="1:59" ht="15.75" customHeight="1" x14ac:dyDescent="0.2">
      <c r="A900" s="162"/>
      <c r="B900" s="162"/>
      <c r="C900" s="206"/>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c r="AA900" s="262"/>
      <c r="AB900" s="262"/>
      <c r="AC900" s="262"/>
      <c r="AD900" s="262"/>
      <c r="AE900" s="262"/>
      <c r="AF900" s="147"/>
      <c r="AG900" s="147"/>
      <c r="AH900" s="147"/>
      <c r="AI900" s="157"/>
      <c r="AJ900" s="225"/>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row>
    <row r="901" spans="1:59" ht="15.75" customHeight="1" x14ac:dyDescent="0.2">
      <c r="A901" s="162"/>
      <c r="B901" s="162"/>
      <c r="C901" s="206"/>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c r="AA901" s="262"/>
      <c r="AB901" s="262"/>
      <c r="AC901" s="262"/>
      <c r="AD901" s="262"/>
      <c r="AE901" s="262"/>
      <c r="AF901" s="147"/>
      <c r="AG901" s="147"/>
      <c r="AH901" s="147"/>
      <c r="AI901" s="195"/>
      <c r="AJ901" s="195"/>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row>
    <row r="902" spans="1:59" ht="15.75" customHeight="1" x14ac:dyDescent="0.2">
      <c r="A902" s="162"/>
      <c r="B902" s="162"/>
      <c r="C902" s="206"/>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c r="AA902" s="262"/>
      <c r="AB902" s="262"/>
      <c r="AC902" s="262"/>
      <c r="AD902" s="262"/>
      <c r="AE902" s="262"/>
      <c r="AF902" s="147"/>
      <c r="AG902" s="147"/>
      <c r="AH902" s="147"/>
      <c r="AI902" s="220"/>
      <c r="AJ902" s="195"/>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row>
    <row r="903" spans="1:59" ht="15.75" customHeight="1" x14ac:dyDescent="0.2">
      <c r="A903" s="162"/>
      <c r="B903" s="162"/>
      <c r="C903" s="206"/>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147"/>
      <c r="AG903" s="147"/>
      <c r="AH903" s="147"/>
      <c r="AI903" s="220"/>
      <c r="AJ903" s="195"/>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row>
    <row r="904" spans="1:59" ht="15.75" customHeight="1" x14ac:dyDescent="0.2">
      <c r="A904" s="162"/>
      <c r="B904" s="162"/>
      <c r="C904" s="206"/>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c r="AA904" s="262"/>
      <c r="AB904" s="262"/>
      <c r="AC904" s="262"/>
      <c r="AD904" s="262"/>
      <c r="AE904" s="262"/>
      <c r="AF904" s="147"/>
      <c r="AG904" s="147"/>
      <c r="AH904" s="147"/>
      <c r="AI904" s="220"/>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row>
    <row r="905" spans="1:59" ht="15.75" customHeight="1" x14ac:dyDescent="0.2">
      <c r="A905" s="162"/>
      <c r="B905" s="162"/>
      <c r="C905" s="206"/>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c r="AA905" s="262"/>
      <c r="AB905" s="262"/>
      <c r="AC905" s="262"/>
      <c r="AD905" s="262"/>
      <c r="AE905" s="262"/>
      <c r="AF905" s="147"/>
      <c r="AG905" s="147"/>
      <c r="AH905" s="147"/>
      <c r="AI905" s="147"/>
      <c r="AJ905" s="195"/>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row>
    <row r="906" spans="1:59" ht="15.75" customHeight="1" x14ac:dyDescent="0.2">
      <c r="A906" s="162"/>
      <c r="B906" s="162"/>
      <c r="C906" s="206"/>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c r="AA906" s="262"/>
      <c r="AB906" s="262"/>
      <c r="AC906" s="262"/>
      <c r="AD906" s="262"/>
      <c r="AE906" s="262"/>
      <c r="AF906" s="147"/>
      <c r="AG906" s="147"/>
      <c r="AH906" s="147"/>
      <c r="AI906" s="175"/>
      <c r="AJ906" s="195"/>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row>
    <row r="907" spans="1:59" ht="15.75" customHeight="1" x14ac:dyDescent="0.2">
      <c r="A907" s="162"/>
      <c r="B907" s="162"/>
      <c r="C907" s="206"/>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c r="AA907" s="262"/>
      <c r="AB907" s="262"/>
      <c r="AC907" s="262"/>
      <c r="AD907" s="262"/>
      <c r="AE907" s="262"/>
      <c r="AF907" s="147"/>
      <c r="AG907" s="147"/>
      <c r="AH907" s="147"/>
      <c r="AI907" s="157"/>
      <c r="AJ907" s="195"/>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row>
    <row r="908" spans="1:59" ht="15.75" customHeight="1" x14ac:dyDescent="0.2">
      <c r="A908" s="162"/>
      <c r="B908" s="162"/>
      <c r="C908" s="206"/>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c r="AA908" s="262"/>
      <c r="AB908" s="262"/>
      <c r="AC908" s="262"/>
      <c r="AD908" s="262"/>
      <c r="AE908" s="262"/>
      <c r="AF908" s="147"/>
      <c r="AG908" s="147"/>
      <c r="AH908" s="147"/>
      <c r="AI908" s="195"/>
      <c r="AJ908" s="195"/>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row>
    <row r="909" spans="1:59" ht="15.75" customHeight="1" x14ac:dyDescent="0.2">
      <c r="A909" s="162"/>
      <c r="B909" s="162"/>
      <c r="C909" s="206"/>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c r="AA909" s="262"/>
      <c r="AB909" s="262"/>
      <c r="AC909" s="262"/>
      <c r="AD909" s="262"/>
      <c r="AE909" s="262"/>
      <c r="AF909" s="147"/>
      <c r="AG909" s="147"/>
      <c r="AH909" s="147"/>
      <c r="AI909" s="157"/>
      <c r="AJ909" s="195"/>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row>
    <row r="910" spans="1:59" ht="15.75" customHeight="1" x14ac:dyDescent="0.2">
      <c r="A910" s="162"/>
      <c r="B910" s="162"/>
      <c r="C910" s="206"/>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c r="AA910" s="262"/>
      <c r="AB910" s="262"/>
      <c r="AC910" s="262"/>
      <c r="AD910" s="262"/>
      <c r="AE910" s="262"/>
      <c r="AF910" s="147"/>
      <c r="AG910" s="147"/>
      <c r="AH910" s="147"/>
      <c r="AI910" s="225"/>
      <c r="AJ910" s="195"/>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row>
    <row r="911" spans="1:59" ht="15.75" customHeight="1" x14ac:dyDescent="0.2">
      <c r="A911" s="162"/>
      <c r="B911" s="162"/>
      <c r="C911" s="206"/>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c r="AA911" s="262"/>
      <c r="AB911" s="262"/>
      <c r="AC911" s="262"/>
      <c r="AD911" s="262"/>
      <c r="AE911" s="262"/>
      <c r="AF911" s="147"/>
      <c r="AG911" s="147"/>
      <c r="AH911" s="147"/>
      <c r="AI911" s="15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row>
    <row r="912" spans="1:59" ht="15.75" customHeight="1" x14ac:dyDescent="0.2">
      <c r="A912" s="162"/>
      <c r="B912" s="162"/>
      <c r="C912" s="206"/>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c r="AA912" s="262"/>
      <c r="AB912" s="262"/>
      <c r="AC912" s="262"/>
      <c r="AD912" s="262"/>
      <c r="AE912" s="262"/>
      <c r="AF912" s="147"/>
      <c r="AG912" s="147"/>
      <c r="AH912" s="147"/>
      <c r="AI912" s="225"/>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row>
    <row r="913" spans="1:59" ht="15.75" customHeight="1" x14ac:dyDescent="0.2">
      <c r="A913" s="162"/>
      <c r="B913" s="162"/>
      <c r="C913" s="206"/>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c r="AA913" s="262"/>
      <c r="AB913" s="262"/>
      <c r="AC913" s="262"/>
      <c r="AD913" s="262"/>
      <c r="AE913" s="262"/>
      <c r="AF913" s="147"/>
      <c r="AG913" s="147"/>
      <c r="AH913" s="147"/>
      <c r="AI913" s="195"/>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row>
    <row r="914" spans="1:59" ht="15.75" customHeight="1" x14ac:dyDescent="0.2">
      <c r="A914" s="162"/>
      <c r="B914" s="162"/>
      <c r="C914" s="206"/>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c r="AA914" s="262"/>
      <c r="AB914" s="262"/>
      <c r="AC914" s="262"/>
      <c r="AD914" s="262"/>
      <c r="AE914" s="262"/>
      <c r="AF914" s="147"/>
      <c r="AG914" s="147"/>
      <c r="AH914" s="147"/>
      <c r="AI914" s="195"/>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row>
    <row r="915" spans="1:59" ht="15.75" customHeight="1" x14ac:dyDescent="0.2">
      <c r="A915" s="162"/>
      <c r="B915" s="162"/>
      <c r="C915" s="206"/>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c r="AA915" s="262"/>
      <c r="AB915" s="262"/>
      <c r="AC915" s="262"/>
      <c r="AD915" s="262"/>
      <c r="AE915" s="262"/>
      <c r="AF915" s="147"/>
      <c r="AG915" s="147"/>
      <c r="AH915" s="147"/>
      <c r="AI915" s="195"/>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row>
    <row r="916" spans="1:59" ht="15.75" customHeight="1" x14ac:dyDescent="0.2">
      <c r="A916" s="162"/>
      <c r="B916" s="162"/>
      <c r="C916" s="206"/>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c r="AA916" s="262"/>
      <c r="AB916" s="262"/>
      <c r="AC916" s="262"/>
      <c r="AD916" s="262"/>
      <c r="AE916" s="262"/>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row>
    <row r="917" spans="1:59" ht="15.75" customHeight="1" x14ac:dyDescent="0.2">
      <c r="A917" s="162"/>
      <c r="B917" s="162"/>
      <c r="C917" s="206"/>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c r="AA917" s="262"/>
      <c r="AB917" s="262"/>
      <c r="AC917" s="262"/>
      <c r="AD917" s="262"/>
      <c r="AE917" s="262"/>
      <c r="AF917" s="147"/>
      <c r="AG917" s="147"/>
      <c r="AH917" s="147"/>
      <c r="AI917" s="195"/>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row>
    <row r="918" spans="1:59" ht="15.75" customHeight="1" x14ac:dyDescent="0.2">
      <c r="A918" s="162"/>
      <c r="B918" s="162"/>
      <c r="C918" s="206"/>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c r="AA918" s="262"/>
      <c r="AB918" s="262"/>
      <c r="AC918" s="262"/>
      <c r="AD918" s="262"/>
      <c r="AE918" s="262"/>
      <c r="AF918" s="147"/>
      <c r="AG918" s="147"/>
      <c r="AH918" s="147"/>
      <c r="AI918" s="195"/>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row>
    <row r="919" spans="1:59" ht="15.75" customHeight="1" x14ac:dyDescent="0.2">
      <c r="A919" s="162"/>
      <c r="B919" s="162"/>
      <c r="C919" s="206"/>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c r="AA919" s="262"/>
      <c r="AB919" s="262"/>
      <c r="AC919" s="262"/>
      <c r="AD919" s="262"/>
      <c r="AE919" s="262"/>
      <c r="AF919" s="147"/>
      <c r="AG919" s="147"/>
      <c r="AH919" s="147"/>
      <c r="AI919" s="195"/>
      <c r="AJ919" s="209"/>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row>
    <row r="920" spans="1:59" ht="15.75" customHeight="1" x14ac:dyDescent="0.2">
      <c r="A920" s="162"/>
      <c r="B920" s="162"/>
      <c r="C920" s="206"/>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c r="AA920" s="262"/>
      <c r="AB920" s="262"/>
      <c r="AC920" s="262"/>
      <c r="AD920" s="262"/>
      <c r="AE920" s="262"/>
      <c r="AF920" s="147"/>
      <c r="AG920" s="147"/>
      <c r="AH920" s="147"/>
      <c r="AI920" s="195"/>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row>
    <row r="921" spans="1:59" ht="15.75" customHeight="1" x14ac:dyDescent="0.2">
      <c r="A921" s="162"/>
      <c r="B921" s="162"/>
      <c r="C921" s="206"/>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c r="AA921" s="262"/>
      <c r="AB921" s="262"/>
      <c r="AC921" s="262"/>
      <c r="AD921" s="262"/>
      <c r="AE921" s="262"/>
      <c r="AF921" s="147"/>
      <c r="AG921" s="147"/>
      <c r="AH921" s="147"/>
      <c r="AI921" s="195"/>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row>
    <row r="922" spans="1:59" ht="15.75" customHeight="1" x14ac:dyDescent="0.2">
      <c r="A922" s="162"/>
      <c r="B922" s="162"/>
      <c r="C922" s="206"/>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c r="AA922" s="262"/>
      <c r="AB922" s="262"/>
      <c r="AC922" s="262"/>
      <c r="AD922" s="262"/>
      <c r="AE922" s="262"/>
      <c r="AF922" s="147"/>
      <c r="AG922" s="147"/>
      <c r="AH922" s="147"/>
      <c r="AI922" s="195"/>
      <c r="AJ922" s="189"/>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row>
    <row r="923" spans="1:59" ht="15.75" customHeight="1" x14ac:dyDescent="0.2">
      <c r="A923" s="162"/>
      <c r="B923" s="162"/>
      <c r="C923" s="206"/>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c r="AA923" s="262"/>
      <c r="AB923" s="262"/>
      <c r="AC923" s="262"/>
      <c r="AD923" s="262"/>
      <c r="AE923" s="262"/>
      <c r="AF923" s="147"/>
      <c r="AG923" s="147"/>
      <c r="AH923" s="147"/>
      <c r="AI923" s="147"/>
      <c r="AJ923" s="189"/>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row>
    <row r="924" spans="1:59" ht="15.75" customHeight="1" x14ac:dyDescent="0.2">
      <c r="A924" s="162"/>
      <c r="B924" s="162"/>
      <c r="C924" s="206"/>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c r="AA924" s="262"/>
      <c r="AB924" s="262"/>
      <c r="AC924" s="262"/>
      <c r="AD924" s="262"/>
      <c r="AE924" s="262"/>
      <c r="AF924" s="147"/>
      <c r="AG924" s="147"/>
      <c r="AH924" s="147"/>
      <c r="AI924" s="147"/>
      <c r="AJ924" s="195"/>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row>
    <row r="925" spans="1:59" ht="15.75" customHeight="1" x14ac:dyDescent="0.2">
      <c r="A925" s="162"/>
      <c r="B925" s="162"/>
      <c r="C925" s="206"/>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c r="AA925" s="262"/>
      <c r="AB925" s="262"/>
      <c r="AC925" s="262"/>
      <c r="AD925" s="262"/>
      <c r="AE925" s="262"/>
      <c r="AF925" s="147"/>
      <c r="AG925" s="147"/>
      <c r="AH925" s="147"/>
      <c r="AI925" s="147"/>
      <c r="AJ925" s="189"/>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row>
    <row r="926" spans="1:59" ht="15.75" customHeight="1" x14ac:dyDescent="0.2">
      <c r="A926" s="162"/>
      <c r="B926" s="162"/>
      <c r="C926" s="206"/>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c r="AA926" s="262"/>
      <c r="AB926" s="262"/>
      <c r="AC926" s="262"/>
      <c r="AD926" s="262"/>
      <c r="AE926" s="262"/>
      <c r="AF926" s="147"/>
      <c r="AG926" s="147"/>
      <c r="AH926" s="147"/>
      <c r="AI926" s="147"/>
      <c r="AJ926" s="189"/>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row>
    <row r="927" spans="1:59" ht="15.75" customHeight="1" x14ac:dyDescent="0.2">
      <c r="A927" s="162"/>
      <c r="B927" s="162"/>
      <c r="C927" s="206"/>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c r="AA927" s="262"/>
      <c r="AB927" s="262"/>
      <c r="AC927" s="262"/>
      <c r="AD927" s="262"/>
      <c r="AE927" s="262"/>
      <c r="AF927" s="147"/>
      <c r="AG927" s="147"/>
      <c r="AH927" s="147"/>
      <c r="AI927" s="147"/>
      <c r="AJ927" s="189"/>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row>
    <row r="928" spans="1:59" ht="15.75" customHeight="1" x14ac:dyDescent="0.2">
      <c r="A928" s="162"/>
      <c r="B928" s="162"/>
      <c r="C928" s="206"/>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c r="AA928" s="262"/>
      <c r="AB928" s="262"/>
      <c r="AC928" s="262"/>
      <c r="AD928" s="262"/>
      <c r="AE928" s="262"/>
      <c r="AF928" s="147"/>
      <c r="AG928" s="147"/>
      <c r="AH928" s="147"/>
      <c r="AI928" s="147"/>
      <c r="AJ928" s="195"/>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row>
    <row r="929" spans="1:59" ht="15.75" customHeight="1" x14ac:dyDescent="0.2">
      <c r="A929" s="162"/>
      <c r="B929" s="162"/>
      <c r="C929" s="206"/>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c r="AA929" s="262"/>
      <c r="AB929" s="262"/>
      <c r="AC929" s="262"/>
      <c r="AD929" s="262"/>
      <c r="AE929" s="262"/>
      <c r="AF929" s="147"/>
      <c r="AG929" s="147"/>
      <c r="AH929" s="147"/>
      <c r="AI929" s="147"/>
      <c r="AJ929" s="195"/>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row>
    <row r="930" spans="1:59" ht="15.75" customHeight="1" x14ac:dyDescent="0.2">
      <c r="A930" s="162"/>
      <c r="B930" s="162"/>
      <c r="C930" s="206"/>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c r="AA930" s="262"/>
      <c r="AB930" s="262"/>
      <c r="AC930" s="262"/>
      <c r="AD930" s="262"/>
      <c r="AE930" s="262"/>
      <c r="AF930" s="147"/>
      <c r="AG930" s="147"/>
      <c r="AH930" s="147"/>
      <c r="AI930" s="147"/>
      <c r="AJ930" s="189"/>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row>
    <row r="931" spans="1:59" ht="15.75" customHeight="1" x14ac:dyDescent="0.2">
      <c r="A931" s="162"/>
      <c r="B931" s="162"/>
      <c r="C931" s="206"/>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c r="AA931" s="262"/>
      <c r="AB931" s="262"/>
      <c r="AC931" s="262"/>
      <c r="AD931" s="262"/>
      <c r="AE931" s="262"/>
      <c r="AF931" s="147"/>
      <c r="AG931" s="147"/>
      <c r="AH931" s="147"/>
      <c r="AI931" s="209"/>
      <c r="AJ931" s="189"/>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row>
    <row r="932" spans="1:59" ht="15.75" customHeight="1" x14ac:dyDescent="0.2">
      <c r="A932" s="162"/>
      <c r="B932" s="162"/>
      <c r="C932" s="206"/>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c r="AA932" s="262"/>
      <c r="AB932" s="262"/>
      <c r="AC932" s="262"/>
      <c r="AD932" s="262"/>
      <c r="AE932" s="262"/>
      <c r="AF932" s="147"/>
      <c r="AG932" s="147"/>
      <c r="AH932" s="147"/>
      <c r="AI932" s="147"/>
      <c r="AJ932" s="189"/>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row>
    <row r="933" spans="1:59" ht="15.75" customHeight="1" x14ac:dyDescent="0.2">
      <c r="A933" s="162"/>
      <c r="B933" s="162"/>
      <c r="C933" s="206"/>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c r="AA933" s="262"/>
      <c r="AB933" s="262"/>
      <c r="AC933" s="262"/>
      <c r="AD933" s="262"/>
      <c r="AE933" s="262"/>
      <c r="AF933" s="147"/>
      <c r="AG933" s="147"/>
      <c r="AH933" s="147"/>
      <c r="AI933" s="147"/>
      <c r="AJ933" s="189"/>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row>
    <row r="934" spans="1:59" ht="15.75" customHeight="1" x14ac:dyDescent="0.2">
      <c r="A934" s="162"/>
      <c r="B934" s="162"/>
      <c r="C934" s="206"/>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c r="AA934" s="262"/>
      <c r="AB934" s="262"/>
      <c r="AC934" s="262"/>
      <c r="AD934" s="262"/>
      <c r="AE934" s="262"/>
      <c r="AF934" s="147"/>
      <c r="AG934" s="147"/>
      <c r="AH934" s="147"/>
      <c r="AI934" s="189"/>
      <c r="AJ934" s="189"/>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row>
    <row r="935" spans="1:59" ht="15.75" customHeight="1" x14ac:dyDescent="0.2">
      <c r="A935" s="162"/>
      <c r="B935" s="162"/>
      <c r="C935" s="206"/>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c r="AA935" s="262"/>
      <c r="AB935" s="262"/>
      <c r="AC935" s="262"/>
      <c r="AD935" s="262"/>
      <c r="AE935" s="262"/>
      <c r="AF935" s="147"/>
      <c r="AG935" s="147"/>
      <c r="AH935" s="147"/>
      <c r="AI935" s="189"/>
      <c r="AJ935" s="195"/>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row>
    <row r="936" spans="1:59" ht="15.75" customHeight="1" x14ac:dyDescent="0.2">
      <c r="A936" s="162"/>
      <c r="B936" s="162"/>
      <c r="C936" s="206"/>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c r="AA936" s="262"/>
      <c r="AB936" s="262"/>
      <c r="AC936" s="262"/>
      <c r="AD936" s="262"/>
      <c r="AE936" s="262"/>
      <c r="AF936" s="147"/>
      <c r="AG936" s="147"/>
      <c r="AH936" s="147"/>
      <c r="AI936" s="195"/>
      <c r="AJ936" s="189"/>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row>
    <row r="937" spans="1:59" ht="15.75" customHeight="1" x14ac:dyDescent="0.2">
      <c r="A937" s="162"/>
      <c r="B937" s="162"/>
      <c r="C937" s="206"/>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c r="AA937" s="262"/>
      <c r="AB937" s="262"/>
      <c r="AC937" s="262"/>
      <c r="AD937" s="262"/>
      <c r="AE937" s="262"/>
      <c r="AF937" s="147"/>
      <c r="AG937" s="147"/>
      <c r="AH937" s="147"/>
      <c r="AI937" s="189"/>
      <c r="AJ937" s="189"/>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row>
    <row r="938" spans="1:59" ht="15.75" customHeight="1" x14ac:dyDescent="0.2">
      <c r="A938" s="162"/>
      <c r="B938" s="162"/>
      <c r="C938" s="206"/>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c r="AA938" s="262"/>
      <c r="AB938" s="262"/>
      <c r="AC938" s="262"/>
      <c r="AD938" s="262"/>
      <c r="AE938" s="262"/>
      <c r="AF938" s="147"/>
      <c r="AG938" s="147"/>
      <c r="AH938" s="147"/>
      <c r="AI938" s="189"/>
      <c r="AJ938" s="84"/>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row>
    <row r="939" spans="1:59" ht="15.75" customHeight="1" x14ac:dyDescent="0.2">
      <c r="A939" s="162"/>
      <c r="B939" s="162"/>
      <c r="C939" s="206"/>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c r="AA939" s="262"/>
      <c r="AB939" s="262"/>
      <c r="AC939" s="262"/>
      <c r="AD939" s="262"/>
      <c r="AE939" s="262"/>
      <c r="AF939" s="147"/>
      <c r="AG939" s="147"/>
      <c r="AH939" s="147"/>
      <c r="AI939" s="189"/>
      <c r="AJ939" s="84"/>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row>
    <row r="940" spans="1:59" ht="15.75" customHeight="1" x14ac:dyDescent="0.2">
      <c r="A940" s="162"/>
      <c r="B940" s="162"/>
      <c r="C940" s="206"/>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c r="AA940" s="262"/>
      <c r="AB940" s="262"/>
      <c r="AC940" s="262"/>
      <c r="AD940" s="262"/>
      <c r="AE940" s="262"/>
      <c r="AF940" s="147"/>
      <c r="AG940" s="147"/>
      <c r="AH940" s="147"/>
      <c r="AI940" s="195"/>
      <c r="AJ940" s="189"/>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row>
    <row r="941" spans="1:59" ht="15.75" customHeight="1" x14ac:dyDescent="0.2">
      <c r="A941" s="162"/>
      <c r="B941" s="162"/>
      <c r="C941" s="206"/>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c r="AA941" s="262"/>
      <c r="AB941" s="262"/>
      <c r="AC941" s="262"/>
      <c r="AD941" s="262"/>
      <c r="AE941" s="262"/>
      <c r="AF941" s="147"/>
      <c r="AG941" s="147"/>
      <c r="AH941" s="147"/>
      <c r="AI941" s="195"/>
      <c r="AJ941" s="189"/>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row>
    <row r="942" spans="1:59" ht="15.75" customHeight="1" x14ac:dyDescent="0.2">
      <c r="A942" s="162"/>
      <c r="B942" s="162"/>
      <c r="C942" s="206"/>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c r="AA942" s="262"/>
      <c r="AB942" s="262"/>
      <c r="AC942" s="262"/>
      <c r="AD942" s="262"/>
      <c r="AE942" s="262"/>
      <c r="AF942" s="147"/>
      <c r="AG942" s="147"/>
      <c r="AH942" s="147"/>
      <c r="AI942" s="189"/>
      <c r="AJ942" s="195"/>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row>
    <row r="943" spans="1:59" ht="15.75" customHeight="1" x14ac:dyDescent="0.2">
      <c r="A943" s="162"/>
      <c r="B943" s="162"/>
      <c r="C943" s="206"/>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c r="AA943" s="262"/>
      <c r="AB943" s="262"/>
      <c r="AC943" s="262"/>
      <c r="AD943" s="262"/>
      <c r="AE943" s="262"/>
      <c r="AF943" s="147"/>
      <c r="AG943" s="147"/>
      <c r="AH943" s="147"/>
      <c r="AI943" s="189"/>
      <c r="AJ943" s="189"/>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row>
    <row r="944" spans="1:59" ht="15.75" customHeight="1" x14ac:dyDescent="0.2">
      <c r="A944" s="162"/>
      <c r="B944" s="162"/>
      <c r="C944" s="206"/>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c r="AA944" s="262"/>
      <c r="AB944" s="262"/>
      <c r="AC944" s="262"/>
      <c r="AD944" s="262"/>
      <c r="AE944" s="262"/>
      <c r="AF944" s="147"/>
      <c r="AG944" s="147"/>
      <c r="AH944" s="147"/>
      <c r="AI944" s="189"/>
      <c r="AJ944" s="189"/>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row>
    <row r="945" spans="1:59" ht="15.75" customHeight="1" x14ac:dyDescent="0.2">
      <c r="A945" s="162"/>
      <c r="B945" s="162"/>
      <c r="C945" s="206"/>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c r="AA945" s="262"/>
      <c r="AB945" s="262"/>
      <c r="AC945" s="262"/>
      <c r="AD945" s="262"/>
      <c r="AE945" s="262"/>
      <c r="AF945" s="147"/>
      <c r="AG945" s="147"/>
      <c r="AH945" s="147"/>
      <c r="AI945" s="189"/>
      <c r="AJ945" s="189"/>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row>
    <row r="946" spans="1:59" ht="15.75" customHeight="1" x14ac:dyDescent="0.2">
      <c r="A946" s="162"/>
      <c r="B946" s="162"/>
      <c r="C946" s="206"/>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c r="AA946" s="262"/>
      <c r="AB946" s="262"/>
      <c r="AC946" s="262"/>
      <c r="AD946" s="262"/>
      <c r="AE946" s="262"/>
      <c r="AF946" s="147"/>
      <c r="AG946" s="147"/>
      <c r="AH946" s="147"/>
      <c r="AI946" s="189"/>
      <c r="AJ946" s="195"/>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row>
    <row r="947" spans="1:59" ht="15.75" customHeight="1" x14ac:dyDescent="0.2">
      <c r="A947" s="162"/>
      <c r="B947" s="162"/>
      <c r="C947" s="206"/>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c r="AA947" s="262"/>
      <c r="AB947" s="262"/>
      <c r="AC947" s="262"/>
      <c r="AD947" s="262"/>
      <c r="AE947" s="262"/>
      <c r="AF947" s="147"/>
      <c r="AG947" s="147"/>
      <c r="AH947" s="147"/>
      <c r="AI947" s="195"/>
      <c r="AJ947" s="195"/>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row>
    <row r="948" spans="1:59" ht="15.75" customHeight="1" x14ac:dyDescent="0.2">
      <c r="A948" s="162"/>
      <c r="B948" s="162"/>
      <c r="C948" s="206"/>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c r="AA948" s="262"/>
      <c r="AB948" s="262"/>
      <c r="AC948" s="262"/>
      <c r="AD948" s="262"/>
      <c r="AE948" s="262"/>
      <c r="AF948" s="147"/>
      <c r="AG948" s="147"/>
      <c r="AH948" s="147"/>
      <c r="AI948" s="189"/>
      <c r="AJ948" s="189"/>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row>
    <row r="949" spans="1:59" ht="15.75" customHeight="1" x14ac:dyDescent="0.2">
      <c r="A949" s="162"/>
      <c r="B949" s="162"/>
      <c r="C949" s="206"/>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147"/>
      <c r="AG949" s="147"/>
      <c r="AH949" s="147"/>
      <c r="AI949" s="189"/>
      <c r="AJ949" s="189"/>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row>
    <row r="950" spans="1:59" ht="15.75" customHeight="1" x14ac:dyDescent="0.2">
      <c r="A950" s="162"/>
      <c r="B950" s="162"/>
      <c r="C950" s="206"/>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c r="AA950" s="262"/>
      <c r="AB950" s="262"/>
      <c r="AC950" s="262"/>
      <c r="AD950" s="262"/>
      <c r="AE950" s="262"/>
      <c r="AF950" s="147"/>
      <c r="AG950" s="147"/>
      <c r="AH950" s="147"/>
      <c r="AI950" s="84"/>
      <c r="AJ950" s="189"/>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row>
    <row r="951" spans="1:59" ht="15.75" customHeight="1" x14ac:dyDescent="0.2">
      <c r="A951" s="162"/>
      <c r="B951" s="162"/>
      <c r="C951" s="206"/>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c r="AA951" s="262"/>
      <c r="AB951" s="262"/>
      <c r="AC951" s="262"/>
      <c r="AD951" s="262"/>
      <c r="AE951" s="262"/>
      <c r="AF951" s="147"/>
      <c r="AG951" s="147"/>
      <c r="AH951" s="147"/>
      <c r="AI951" s="84"/>
      <c r="AJ951" s="189"/>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row>
    <row r="952" spans="1:59" ht="15.75" customHeight="1" x14ac:dyDescent="0.2">
      <c r="A952" s="162"/>
      <c r="B952" s="162"/>
      <c r="C952" s="206"/>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c r="AA952" s="262"/>
      <c r="AB952" s="262"/>
      <c r="AC952" s="262"/>
      <c r="AD952" s="262"/>
      <c r="AE952" s="262"/>
      <c r="AF952" s="147"/>
      <c r="AG952" s="147"/>
      <c r="AH952" s="147"/>
      <c r="AI952" s="189"/>
      <c r="AJ952" s="189"/>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row>
    <row r="953" spans="1:59" ht="15.75" customHeight="1" x14ac:dyDescent="0.2">
      <c r="A953" s="162"/>
      <c r="B953" s="162"/>
      <c r="C953" s="206"/>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c r="AA953" s="262"/>
      <c r="AB953" s="262"/>
      <c r="AC953" s="262"/>
      <c r="AD953" s="262"/>
      <c r="AE953" s="262"/>
      <c r="AF953" s="147"/>
      <c r="AG953" s="147"/>
      <c r="AH953" s="147"/>
      <c r="AI953" s="189"/>
      <c r="AJ953" s="195"/>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row>
    <row r="954" spans="1:59" ht="15.75" customHeight="1" x14ac:dyDescent="0.2">
      <c r="A954" s="162"/>
      <c r="B954" s="162"/>
      <c r="C954" s="206"/>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c r="AA954" s="262"/>
      <c r="AB954" s="262"/>
      <c r="AC954" s="262"/>
      <c r="AD954" s="262"/>
      <c r="AE954" s="262"/>
      <c r="AF954" s="147"/>
      <c r="AG954" s="147"/>
      <c r="AH954" s="147"/>
      <c r="AI954" s="195"/>
      <c r="AJ954" s="189"/>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row>
    <row r="955" spans="1:59" ht="15.75" customHeight="1" x14ac:dyDescent="0.2">
      <c r="A955" s="162"/>
      <c r="B955" s="162"/>
      <c r="C955" s="206"/>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c r="AA955" s="262"/>
      <c r="AB955" s="262"/>
      <c r="AC955" s="262"/>
      <c r="AD955" s="262"/>
      <c r="AE955" s="262"/>
      <c r="AF955" s="147"/>
      <c r="AG955" s="147"/>
      <c r="AH955" s="147"/>
      <c r="AI955" s="189"/>
      <c r="AJ955" s="189"/>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row>
    <row r="956" spans="1:59" ht="15.75" customHeight="1" x14ac:dyDescent="0.2">
      <c r="A956" s="162"/>
      <c r="B956" s="162"/>
      <c r="C956" s="206"/>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c r="AA956" s="262"/>
      <c r="AB956" s="262"/>
      <c r="AC956" s="262"/>
      <c r="AD956" s="262"/>
      <c r="AE956" s="262"/>
      <c r="AF956" s="147"/>
      <c r="AG956" s="147"/>
      <c r="AH956" s="147"/>
      <c r="AI956" s="189"/>
      <c r="AJ956" s="84"/>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row>
    <row r="957" spans="1:59" ht="15.75" customHeight="1" x14ac:dyDescent="0.2">
      <c r="A957" s="162"/>
      <c r="B957" s="162"/>
      <c r="C957" s="206"/>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c r="AA957" s="262"/>
      <c r="AB957" s="262"/>
      <c r="AC957" s="262"/>
      <c r="AD957" s="262"/>
      <c r="AE957" s="262"/>
      <c r="AF957" s="147"/>
      <c r="AG957" s="147"/>
      <c r="AH957" s="147"/>
      <c r="AI957" s="189"/>
      <c r="AJ957" s="189"/>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row>
    <row r="958" spans="1:59" ht="15.75" customHeight="1" x14ac:dyDescent="0.2">
      <c r="A958" s="162"/>
      <c r="B958" s="162"/>
      <c r="C958" s="206"/>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c r="AA958" s="262"/>
      <c r="AB958" s="262"/>
      <c r="AC958" s="262"/>
      <c r="AD958" s="262"/>
      <c r="AE958" s="262"/>
      <c r="AF958" s="147"/>
      <c r="AG958" s="147"/>
      <c r="AH958" s="147"/>
      <c r="AI958" s="195"/>
      <c r="AJ958" s="189"/>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row>
    <row r="959" spans="1:59" ht="15.75" customHeight="1" x14ac:dyDescent="0.2">
      <c r="A959" s="162"/>
      <c r="B959" s="162"/>
      <c r="C959" s="206"/>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c r="AA959" s="262"/>
      <c r="AB959" s="262"/>
      <c r="AC959" s="262"/>
      <c r="AD959" s="262"/>
      <c r="AE959" s="262"/>
      <c r="AF959" s="147"/>
      <c r="AG959" s="147"/>
      <c r="AH959" s="147"/>
      <c r="AI959" s="195"/>
      <c r="AJ959" s="189"/>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row>
    <row r="960" spans="1:59" ht="15.75" customHeight="1" x14ac:dyDescent="0.2">
      <c r="A960" s="162"/>
      <c r="B960" s="162"/>
      <c r="C960" s="206"/>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c r="AA960" s="262"/>
      <c r="AB960" s="262"/>
      <c r="AC960" s="262"/>
      <c r="AD960" s="262"/>
      <c r="AE960" s="262"/>
      <c r="AF960" s="147"/>
      <c r="AG960" s="147"/>
      <c r="AH960" s="147"/>
      <c r="AI960" s="189"/>
      <c r="AJ960" s="195"/>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row>
    <row r="961" spans="1:59" ht="15.75" customHeight="1" x14ac:dyDescent="0.2">
      <c r="A961" s="162"/>
      <c r="B961" s="162"/>
      <c r="C961" s="206"/>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c r="AA961" s="262"/>
      <c r="AB961" s="262"/>
      <c r="AC961" s="262"/>
      <c r="AD961" s="262"/>
      <c r="AE961" s="262"/>
      <c r="AF961" s="147"/>
      <c r="AG961" s="147"/>
      <c r="AH961" s="147"/>
      <c r="AI961" s="189"/>
      <c r="AJ961" s="189"/>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row>
    <row r="962" spans="1:59" ht="15.75" customHeight="1" x14ac:dyDescent="0.2">
      <c r="A962" s="162"/>
      <c r="B962" s="162"/>
      <c r="C962" s="206"/>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c r="AA962" s="262"/>
      <c r="AB962" s="262"/>
      <c r="AC962" s="262"/>
      <c r="AD962" s="262"/>
      <c r="AE962" s="262"/>
      <c r="AF962" s="147"/>
      <c r="AG962" s="147"/>
      <c r="AH962" s="147"/>
      <c r="AI962" s="189"/>
      <c r="AJ962" s="189"/>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row>
    <row r="963" spans="1:59" ht="15.75" customHeight="1" x14ac:dyDescent="0.2">
      <c r="A963" s="162"/>
      <c r="B963" s="162"/>
      <c r="C963" s="206"/>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c r="AA963" s="262"/>
      <c r="AB963" s="262"/>
      <c r="AC963" s="262"/>
      <c r="AD963" s="262"/>
      <c r="AE963" s="262"/>
      <c r="AF963" s="147"/>
      <c r="AG963" s="147"/>
      <c r="AH963" s="147"/>
      <c r="AI963" s="189"/>
      <c r="AJ963" s="189"/>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row>
    <row r="964" spans="1:59" ht="15.75" customHeight="1" x14ac:dyDescent="0.2">
      <c r="A964" s="162"/>
      <c r="B964" s="162"/>
      <c r="C964" s="206"/>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c r="AA964" s="262"/>
      <c r="AB964" s="262"/>
      <c r="AC964" s="262"/>
      <c r="AD964" s="262"/>
      <c r="AE964" s="262"/>
      <c r="AF964" s="147"/>
      <c r="AG964" s="147"/>
      <c r="AH964" s="147"/>
      <c r="AI964" s="189"/>
      <c r="AJ964" s="189"/>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row>
    <row r="965" spans="1:59" ht="15.75" customHeight="1" x14ac:dyDescent="0.2">
      <c r="A965" s="162"/>
      <c r="B965" s="162"/>
      <c r="C965" s="206"/>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c r="AA965" s="262"/>
      <c r="AB965" s="262"/>
      <c r="AC965" s="262"/>
      <c r="AD965" s="262"/>
      <c r="AE965" s="262"/>
      <c r="AF965" s="147"/>
      <c r="AG965" s="147"/>
      <c r="AH965" s="147"/>
      <c r="AI965" s="195"/>
      <c r="AJ965" s="195"/>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row>
    <row r="966" spans="1:59" ht="15.75" customHeight="1" x14ac:dyDescent="0.2">
      <c r="A966" s="162"/>
      <c r="B966" s="162"/>
      <c r="C966" s="206"/>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c r="AA966" s="262"/>
      <c r="AB966" s="262"/>
      <c r="AC966" s="262"/>
      <c r="AD966" s="262"/>
      <c r="AE966" s="262"/>
      <c r="AF966" s="147"/>
      <c r="AG966" s="147"/>
      <c r="AH966" s="147"/>
      <c r="AI966" s="189"/>
      <c r="AJ966" s="189"/>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row>
    <row r="967" spans="1:59" ht="15.75" customHeight="1" x14ac:dyDescent="0.2">
      <c r="A967" s="162"/>
      <c r="B967" s="162"/>
      <c r="C967" s="206"/>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c r="AA967" s="262"/>
      <c r="AB967" s="262"/>
      <c r="AC967" s="262"/>
      <c r="AD967" s="262"/>
      <c r="AE967" s="262"/>
      <c r="AF967" s="147"/>
      <c r="AG967" s="147"/>
      <c r="AH967" s="147"/>
      <c r="AI967" s="189"/>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row>
    <row r="968" spans="1:59" ht="15.75" customHeight="1" x14ac:dyDescent="0.2">
      <c r="A968" s="162"/>
      <c r="B968" s="162"/>
      <c r="C968" s="206"/>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c r="AA968" s="262"/>
      <c r="AB968" s="262"/>
      <c r="AC968" s="262"/>
      <c r="AD968" s="262"/>
      <c r="AE968" s="262"/>
      <c r="AF968" s="147"/>
      <c r="AG968" s="147"/>
      <c r="AH968" s="147"/>
      <c r="AI968" s="84"/>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row>
    <row r="969" spans="1:59" ht="15.75" customHeight="1" x14ac:dyDescent="0.2">
      <c r="A969" s="162"/>
      <c r="B969" s="162"/>
      <c r="C969" s="206"/>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c r="AA969" s="262"/>
      <c r="AB969" s="262"/>
      <c r="AC969" s="262"/>
      <c r="AD969" s="262"/>
      <c r="AE969" s="262"/>
      <c r="AF969" s="147"/>
      <c r="AG969" s="147"/>
      <c r="AH969" s="147"/>
      <c r="AI969" s="189"/>
      <c r="AJ969" s="189"/>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row>
    <row r="970" spans="1:59" ht="15.75" customHeight="1" x14ac:dyDescent="0.2">
      <c r="A970" s="162"/>
      <c r="B970" s="162"/>
      <c r="C970" s="206"/>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c r="AA970" s="262"/>
      <c r="AB970" s="262"/>
      <c r="AC970" s="262"/>
      <c r="AD970" s="262"/>
      <c r="AE970" s="262"/>
      <c r="AF970" s="147"/>
      <c r="AG970" s="147"/>
      <c r="AH970" s="147"/>
      <c r="AI970" s="189"/>
      <c r="AJ970" s="189"/>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row>
    <row r="971" spans="1:59" ht="15.75" customHeight="1" x14ac:dyDescent="0.2">
      <c r="A971" s="162"/>
      <c r="B971" s="162"/>
      <c r="C971" s="206"/>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c r="AA971" s="262"/>
      <c r="AB971" s="262"/>
      <c r="AC971" s="262"/>
      <c r="AD971" s="262"/>
      <c r="AE971" s="262"/>
      <c r="AF971" s="147"/>
      <c r="AG971" s="147"/>
      <c r="AH971" s="147"/>
      <c r="AI971" s="189"/>
      <c r="AJ971" s="189"/>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row>
    <row r="972" spans="1:59" ht="15.75" customHeight="1" x14ac:dyDescent="0.2">
      <c r="A972" s="162"/>
      <c r="B972" s="162"/>
      <c r="C972" s="206"/>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c r="AA972" s="262"/>
      <c r="AB972" s="262"/>
      <c r="AC972" s="262"/>
      <c r="AD972" s="262"/>
      <c r="AE972" s="262"/>
      <c r="AF972" s="147"/>
      <c r="AG972" s="147"/>
      <c r="AH972" s="147"/>
      <c r="AI972" s="195"/>
      <c r="AJ972" s="189"/>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row>
    <row r="973" spans="1:59" ht="15.75" customHeight="1" x14ac:dyDescent="0.2">
      <c r="A973" s="162"/>
      <c r="B973" s="162"/>
      <c r="C973" s="206"/>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c r="AA973" s="262"/>
      <c r="AB973" s="262"/>
      <c r="AC973" s="262"/>
      <c r="AD973" s="262"/>
      <c r="AE973" s="262"/>
      <c r="AF973" s="147"/>
      <c r="AG973" s="147"/>
      <c r="AH973" s="147"/>
      <c r="AI973" s="189"/>
      <c r="AJ973" s="189"/>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row>
    <row r="974" spans="1:59" ht="15.75" customHeight="1" x14ac:dyDescent="0.2">
      <c r="A974" s="162"/>
      <c r="B974" s="162"/>
      <c r="C974" s="206"/>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c r="AA974" s="262"/>
      <c r="AB974" s="262"/>
      <c r="AC974" s="262"/>
      <c r="AD974" s="262"/>
      <c r="AE974" s="262"/>
      <c r="AF974" s="147"/>
      <c r="AG974" s="147"/>
      <c r="AH974" s="147"/>
      <c r="AI974" s="189"/>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row>
    <row r="975" spans="1:59" ht="15.75" customHeight="1" x14ac:dyDescent="0.2">
      <c r="A975" s="162"/>
      <c r="B975" s="162"/>
      <c r="C975" s="206"/>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c r="AA975" s="262"/>
      <c r="AB975" s="262"/>
      <c r="AC975" s="262"/>
      <c r="AD975" s="262"/>
      <c r="AE975" s="262"/>
      <c r="AF975" s="147"/>
      <c r="AG975" s="147"/>
      <c r="AH975" s="147"/>
      <c r="AI975" s="189"/>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row>
    <row r="976" spans="1:59" ht="15.75" customHeight="1" x14ac:dyDescent="0.2">
      <c r="A976" s="162"/>
      <c r="B976" s="162"/>
      <c r="C976" s="206"/>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c r="AA976" s="262"/>
      <c r="AB976" s="262"/>
      <c r="AC976" s="262"/>
      <c r="AD976" s="262"/>
      <c r="AE976" s="262"/>
      <c r="AF976" s="147"/>
      <c r="AG976" s="147"/>
      <c r="AH976" s="147"/>
      <c r="AI976" s="189"/>
      <c r="AJ976" s="189"/>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row>
    <row r="977" spans="1:59" ht="15.75" customHeight="1" x14ac:dyDescent="0.2">
      <c r="A977" s="162"/>
      <c r="B977" s="162"/>
      <c r="C977" s="206"/>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c r="AA977" s="262"/>
      <c r="AB977" s="262"/>
      <c r="AC977" s="262"/>
      <c r="AD977" s="262"/>
      <c r="AE977" s="262"/>
      <c r="AF977" s="147"/>
      <c r="AG977" s="147"/>
      <c r="AH977" s="147"/>
      <c r="AI977" s="195"/>
      <c r="AJ977" s="189"/>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row>
    <row r="978" spans="1:59" ht="15.75" customHeight="1" x14ac:dyDescent="0.2">
      <c r="A978" s="162"/>
      <c r="B978" s="162"/>
      <c r="C978" s="206"/>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c r="AA978" s="262"/>
      <c r="AB978" s="262"/>
      <c r="AC978" s="262"/>
      <c r="AD978" s="262"/>
      <c r="AE978" s="262"/>
      <c r="AF978" s="147"/>
      <c r="AG978" s="147"/>
      <c r="AH978" s="147"/>
      <c r="AI978" s="189"/>
      <c r="AJ978" s="195"/>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row>
    <row r="979" spans="1:59" ht="15.75" customHeight="1" x14ac:dyDescent="0.2">
      <c r="A979" s="162"/>
      <c r="B979" s="162"/>
      <c r="C979" s="206"/>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c r="AA979" s="262"/>
      <c r="AB979" s="262"/>
      <c r="AC979" s="262"/>
      <c r="AD979" s="262"/>
      <c r="AE979" s="262"/>
      <c r="AF979" s="147"/>
      <c r="AG979" s="147"/>
      <c r="AH979" s="147"/>
      <c r="AI979" s="147"/>
      <c r="AJ979" s="189"/>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row>
    <row r="980" spans="1:59" ht="15.75" customHeight="1" x14ac:dyDescent="0.2">
      <c r="A980" s="162"/>
      <c r="B980" s="162"/>
      <c r="C980" s="206"/>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c r="AA980" s="262"/>
      <c r="AB980" s="262"/>
      <c r="AC980" s="262"/>
      <c r="AD980" s="262"/>
      <c r="AE980" s="262"/>
      <c r="AF980" s="147"/>
      <c r="AG980" s="147"/>
      <c r="AH980" s="147"/>
      <c r="AI980" s="147"/>
      <c r="AJ980" s="189"/>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row>
    <row r="981" spans="1:59" ht="15.75" customHeight="1" x14ac:dyDescent="0.2">
      <c r="A981" s="162"/>
      <c r="B981" s="162"/>
      <c r="C981" s="206"/>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c r="AA981" s="262"/>
      <c r="AB981" s="262"/>
      <c r="AC981" s="262"/>
      <c r="AD981" s="262"/>
      <c r="AE981" s="262"/>
      <c r="AF981" s="147"/>
      <c r="AG981" s="147"/>
      <c r="AH981" s="147"/>
      <c r="AI981" s="189"/>
      <c r="AJ981" s="189"/>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row>
    <row r="982" spans="1:59" ht="15.75" customHeight="1" x14ac:dyDescent="0.2">
      <c r="A982" s="162"/>
      <c r="B982" s="162"/>
      <c r="C982" s="206"/>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c r="AA982" s="262"/>
      <c r="AB982" s="262"/>
      <c r="AC982" s="262"/>
      <c r="AD982" s="262"/>
      <c r="AE982" s="262"/>
      <c r="AF982" s="147"/>
      <c r="AG982" s="147"/>
      <c r="AH982" s="147"/>
      <c r="AI982" s="189"/>
      <c r="AJ982" s="189"/>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row>
    <row r="983" spans="1:59" ht="15.75" customHeight="1" x14ac:dyDescent="0.2">
      <c r="A983" s="162"/>
      <c r="B983" s="162"/>
      <c r="C983" s="206"/>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c r="AA983" s="262"/>
      <c r="AB983" s="262"/>
      <c r="AC983" s="262"/>
      <c r="AD983" s="262"/>
      <c r="AE983" s="262"/>
      <c r="AF983" s="147"/>
      <c r="AG983" s="147"/>
      <c r="AH983" s="147"/>
      <c r="AI983" s="189"/>
      <c r="AJ983" s="195"/>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row>
    <row r="984" spans="1:59" ht="15.75" customHeight="1" x14ac:dyDescent="0.2">
      <c r="A984" s="162"/>
      <c r="B984" s="162"/>
      <c r="C984" s="206"/>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c r="AA984" s="262"/>
      <c r="AB984" s="262"/>
      <c r="AC984" s="262"/>
      <c r="AD984" s="262"/>
      <c r="AE984" s="262"/>
      <c r="AF984" s="147"/>
      <c r="AG984" s="147"/>
      <c r="AH984" s="147"/>
      <c r="AI984" s="189"/>
      <c r="AJ984" s="189"/>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row>
    <row r="985" spans="1:59" ht="15.75" customHeight="1" x14ac:dyDescent="0.2">
      <c r="A985" s="162"/>
      <c r="B985" s="162"/>
      <c r="C985" s="206"/>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c r="AA985" s="262"/>
      <c r="AB985" s="262"/>
      <c r="AC985" s="262"/>
      <c r="AD985" s="262"/>
      <c r="AE985" s="262"/>
      <c r="AF985" s="147"/>
      <c r="AG985" s="147"/>
      <c r="AH985" s="147"/>
      <c r="AI985" s="189"/>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row>
    <row r="986" spans="1:59" ht="15.75" customHeight="1" x14ac:dyDescent="0.2">
      <c r="A986" s="162"/>
      <c r="B986" s="162"/>
      <c r="C986" s="206"/>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c r="AA986" s="262"/>
      <c r="AB986" s="262"/>
      <c r="AC986" s="262"/>
      <c r="AD986" s="262"/>
      <c r="AE986" s="262"/>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row>
    <row r="987" spans="1:59" ht="15.75" customHeight="1" x14ac:dyDescent="0.2">
      <c r="A987" s="162"/>
      <c r="B987" s="162"/>
      <c r="C987" s="206"/>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c r="AA987" s="262"/>
      <c r="AB987" s="262"/>
      <c r="AC987" s="262"/>
      <c r="AD987" s="262"/>
      <c r="AE987" s="262"/>
      <c r="AF987" s="147"/>
      <c r="AG987" s="147"/>
      <c r="AH987" s="147"/>
      <c r="AI987" s="147"/>
      <c r="AJ987" s="189"/>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row>
    <row r="988" spans="1:59" ht="15.75" customHeight="1" x14ac:dyDescent="0.2">
      <c r="A988" s="162"/>
      <c r="B988" s="162"/>
      <c r="C988" s="206"/>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c r="AA988" s="262"/>
      <c r="AB988" s="262"/>
      <c r="AC988" s="262"/>
      <c r="AD988" s="262"/>
      <c r="AE988" s="262"/>
      <c r="AF988" s="147"/>
      <c r="AG988" s="147"/>
      <c r="AH988" s="147"/>
      <c r="AI988" s="189"/>
      <c r="AJ988" s="189"/>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row>
    <row r="989" spans="1:59" ht="15.75" customHeight="1" x14ac:dyDescent="0.2">
      <c r="A989" s="162"/>
      <c r="B989" s="162"/>
      <c r="C989" s="206"/>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2"/>
      <c r="AE989" s="262"/>
      <c r="AF989" s="147"/>
      <c r="AG989" s="147"/>
      <c r="AH989" s="147"/>
      <c r="AI989" s="189"/>
      <c r="AJ989" s="189"/>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row>
    <row r="990" spans="1:59" ht="15.75" customHeight="1" x14ac:dyDescent="0.2">
      <c r="A990" s="162"/>
      <c r="B990" s="162"/>
      <c r="C990" s="206"/>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2"/>
      <c r="AE990" s="262"/>
      <c r="AF990" s="147"/>
      <c r="AG990" s="147"/>
      <c r="AH990" s="147"/>
      <c r="AI990" s="195"/>
      <c r="AJ990" s="189"/>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row>
    <row r="991" spans="1:59" ht="15.75" customHeight="1" x14ac:dyDescent="0.2">
      <c r="A991" s="162"/>
      <c r="B991" s="162"/>
      <c r="C991" s="206"/>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2"/>
      <c r="AE991" s="262"/>
      <c r="AF991" s="147"/>
      <c r="AG991" s="147"/>
      <c r="AH991" s="147"/>
      <c r="AI991" s="189"/>
      <c r="AJ991" s="189"/>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row>
    <row r="992" spans="1:59" ht="15.75" customHeight="1" x14ac:dyDescent="0.2">
      <c r="A992" s="162"/>
      <c r="B992" s="162"/>
      <c r="C992" s="206"/>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c r="AA992" s="262"/>
      <c r="AB992" s="262"/>
      <c r="AC992" s="262"/>
      <c r="AD992" s="262"/>
      <c r="AE992" s="262"/>
      <c r="AF992" s="147"/>
      <c r="AG992" s="147"/>
      <c r="AH992" s="147"/>
      <c r="AI992" s="189"/>
      <c r="AJ992" s="84"/>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row>
    <row r="993" spans="1:59" ht="15.75" customHeight="1" x14ac:dyDescent="0.2">
      <c r="A993" s="162"/>
      <c r="B993" s="162"/>
      <c r="C993" s="206"/>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c r="AA993" s="262"/>
      <c r="AB993" s="262"/>
      <c r="AC993" s="262"/>
      <c r="AD993" s="262"/>
      <c r="AE993" s="262"/>
      <c r="AF993" s="147"/>
      <c r="AG993" s="147"/>
      <c r="AH993" s="147"/>
      <c r="AI993" s="189"/>
      <c r="AJ993" s="189"/>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row>
    <row r="994" spans="1:59" ht="15.75" customHeight="1" x14ac:dyDescent="0.2">
      <c r="A994" s="162"/>
      <c r="B994" s="162"/>
      <c r="C994" s="206"/>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c r="AA994" s="262"/>
      <c r="AB994" s="262"/>
      <c r="AC994" s="262"/>
      <c r="AD994" s="262"/>
      <c r="AE994" s="262"/>
      <c r="AF994" s="147"/>
      <c r="AG994" s="147"/>
      <c r="AH994" s="147"/>
      <c r="AI994" s="189"/>
      <c r="AJ994" s="189"/>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row>
    <row r="995" spans="1:59" ht="15.75" customHeight="1" x14ac:dyDescent="0.2">
      <c r="A995" s="162"/>
      <c r="B995" s="162"/>
      <c r="C995" s="206"/>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c r="AA995" s="262"/>
      <c r="AB995" s="262"/>
      <c r="AC995" s="262"/>
      <c r="AD995" s="262"/>
      <c r="AE995" s="262"/>
      <c r="AF995" s="147"/>
      <c r="AG995" s="147"/>
      <c r="AH995" s="147"/>
      <c r="AI995" s="195"/>
      <c r="AJ995" s="189"/>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row>
    <row r="996" spans="1:59" ht="15.75" customHeight="1" x14ac:dyDescent="0.2">
      <c r="A996" s="162"/>
      <c r="B996" s="162"/>
      <c r="C996" s="206"/>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c r="AA996" s="262"/>
      <c r="AB996" s="262"/>
      <c r="AC996" s="262"/>
      <c r="AD996" s="262"/>
      <c r="AE996" s="262"/>
      <c r="AF996" s="147"/>
      <c r="AG996" s="147"/>
      <c r="AH996" s="147"/>
      <c r="AI996" s="189"/>
      <c r="AJ996" s="195"/>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row>
    <row r="997" spans="1:59" ht="15.75" customHeight="1" x14ac:dyDescent="0.2">
      <c r="A997" s="162"/>
      <c r="B997" s="162"/>
      <c r="C997" s="206"/>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c r="AA997" s="262"/>
      <c r="AB997" s="262"/>
      <c r="AC997" s="262"/>
      <c r="AD997" s="262"/>
      <c r="AE997" s="262"/>
      <c r="AF997" s="147"/>
      <c r="AG997" s="147"/>
      <c r="AH997" s="147"/>
      <c r="AI997" s="147"/>
      <c r="AJ997" s="189"/>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row>
    <row r="998" spans="1:59" ht="15.75" customHeight="1" x14ac:dyDescent="0.2">
      <c r="A998" s="162"/>
      <c r="B998" s="162"/>
      <c r="C998" s="206"/>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c r="AA998" s="262"/>
      <c r="AB998" s="262"/>
      <c r="AC998" s="262"/>
      <c r="AD998" s="262"/>
      <c r="AE998" s="262"/>
      <c r="AF998" s="147"/>
      <c r="AG998" s="147"/>
      <c r="AH998" s="147"/>
      <c r="AI998" s="147"/>
      <c r="AJ998" s="189"/>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row>
    <row r="999" spans="1:59" ht="15.75" customHeight="1" x14ac:dyDescent="0.2">
      <c r="A999" s="162"/>
      <c r="B999" s="162"/>
      <c r="C999" s="206"/>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c r="AA999" s="262"/>
      <c r="AB999" s="262"/>
      <c r="AC999" s="262"/>
      <c r="AD999" s="262"/>
      <c r="AE999" s="262"/>
      <c r="AF999" s="147"/>
      <c r="AG999" s="147"/>
      <c r="AH999" s="147"/>
      <c r="AI999" s="189"/>
      <c r="AJ999" s="189"/>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row>
    <row r="1000" spans="1:59" ht="15.75" customHeight="1" x14ac:dyDescent="0.2">
      <c r="A1000" s="162"/>
      <c r="B1000" s="162"/>
      <c r="C1000" s="206"/>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c r="AA1000" s="262"/>
      <c r="AB1000" s="262"/>
      <c r="AC1000" s="262"/>
      <c r="AD1000" s="262"/>
      <c r="AE1000" s="262"/>
      <c r="AF1000" s="147"/>
      <c r="AG1000" s="147"/>
      <c r="AH1000" s="147"/>
      <c r="AI1000" s="189"/>
      <c r="AJ1000" s="189"/>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row>
    <row r="1001" spans="1:59" ht="15.75" customHeight="1" x14ac:dyDescent="0.2">
      <c r="A1001" s="162"/>
      <c r="B1001" s="162"/>
      <c r="C1001" s="206"/>
      <c r="D1001" s="262"/>
      <c r="E1001" s="262"/>
      <c r="F1001" s="262"/>
      <c r="G1001" s="262"/>
      <c r="H1001" s="262"/>
      <c r="I1001" s="262"/>
      <c r="J1001" s="262"/>
      <c r="K1001" s="262"/>
      <c r="L1001" s="262"/>
      <c r="M1001" s="262"/>
      <c r="N1001" s="262"/>
      <c r="O1001" s="262"/>
      <c r="P1001" s="262"/>
      <c r="Q1001" s="262"/>
      <c r="R1001" s="262"/>
      <c r="S1001" s="262"/>
      <c r="T1001" s="262"/>
      <c r="U1001" s="262"/>
      <c r="V1001" s="262"/>
      <c r="W1001" s="262"/>
      <c r="X1001" s="262"/>
      <c r="Y1001" s="262"/>
      <c r="Z1001" s="262"/>
      <c r="AA1001" s="262"/>
      <c r="AB1001" s="262"/>
      <c r="AC1001" s="262"/>
      <c r="AD1001" s="262"/>
      <c r="AE1001" s="262"/>
      <c r="AF1001" s="147"/>
      <c r="AG1001" s="147"/>
      <c r="AH1001" s="147"/>
      <c r="AI1001" s="189"/>
      <c r="AJ1001" s="195"/>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row>
    <row r="1002" spans="1:59" ht="15.75" customHeight="1" x14ac:dyDescent="0.2">
      <c r="A1002" s="162"/>
      <c r="B1002" s="162"/>
      <c r="C1002" s="206"/>
      <c r="D1002" s="262"/>
      <c r="E1002" s="262"/>
      <c r="F1002" s="262"/>
      <c r="G1002" s="262"/>
      <c r="H1002" s="262"/>
      <c r="I1002" s="262"/>
      <c r="J1002" s="262"/>
      <c r="K1002" s="262"/>
      <c r="L1002" s="262"/>
      <c r="M1002" s="262"/>
      <c r="N1002" s="262"/>
      <c r="O1002" s="262"/>
      <c r="P1002" s="262"/>
      <c r="Q1002" s="262"/>
      <c r="R1002" s="262"/>
      <c r="S1002" s="262"/>
      <c r="T1002" s="262"/>
      <c r="U1002" s="262"/>
      <c r="V1002" s="262"/>
      <c r="W1002" s="262"/>
      <c r="X1002" s="262"/>
      <c r="Y1002" s="262"/>
      <c r="Z1002" s="262"/>
      <c r="AA1002" s="262"/>
      <c r="AB1002" s="262"/>
      <c r="AC1002" s="262"/>
      <c r="AD1002" s="262"/>
      <c r="AE1002" s="262"/>
      <c r="AF1002" s="147"/>
      <c r="AG1002" s="147"/>
      <c r="AH1002" s="147"/>
      <c r="AI1002" s="189"/>
      <c r="AJ1002" s="189"/>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row>
    <row r="1003" spans="1:59" ht="15.75" customHeight="1" x14ac:dyDescent="0.2">
      <c r="A1003" s="162"/>
      <c r="B1003" s="162"/>
      <c r="C1003" s="206"/>
      <c r="D1003" s="262"/>
      <c r="E1003" s="262"/>
      <c r="F1003" s="262"/>
      <c r="G1003" s="262"/>
      <c r="H1003" s="262"/>
      <c r="I1003" s="262"/>
      <c r="J1003" s="262"/>
      <c r="K1003" s="262"/>
      <c r="L1003" s="262"/>
      <c r="M1003" s="262"/>
      <c r="N1003" s="262"/>
      <c r="O1003" s="262"/>
      <c r="P1003" s="262"/>
      <c r="Q1003" s="262"/>
      <c r="R1003" s="262"/>
      <c r="S1003" s="262"/>
      <c r="T1003" s="262"/>
      <c r="U1003" s="262"/>
      <c r="V1003" s="262"/>
      <c r="W1003" s="262"/>
      <c r="X1003" s="262"/>
      <c r="Y1003" s="262"/>
      <c r="Z1003" s="262"/>
      <c r="AA1003" s="262"/>
      <c r="AB1003" s="262"/>
      <c r="AC1003" s="262"/>
      <c r="AD1003" s="262"/>
      <c r="AE1003" s="262"/>
      <c r="AF1003" s="147"/>
      <c r="AG1003" s="147"/>
      <c r="AH1003" s="147"/>
      <c r="AI1003" s="189"/>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row>
    <row r="1004" spans="1:59" ht="15.75" customHeight="1" x14ac:dyDescent="0.2">
      <c r="A1004" s="162"/>
      <c r="B1004" s="162"/>
      <c r="C1004" s="206"/>
      <c r="D1004" s="262"/>
      <c r="E1004" s="262"/>
      <c r="F1004" s="262"/>
      <c r="G1004" s="262"/>
      <c r="H1004" s="262"/>
      <c r="I1004" s="262"/>
      <c r="J1004" s="262"/>
      <c r="K1004" s="262"/>
      <c r="L1004" s="262"/>
      <c r="M1004" s="262"/>
      <c r="N1004" s="262"/>
      <c r="O1004" s="262"/>
      <c r="P1004" s="262"/>
      <c r="Q1004" s="262"/>
      <c r="R1004" s="262"/>
      <c r="S1004" s="262"/>
      <c r="T1004" s="262"/>
      <c r="U1004" s="262"/>
      <c r="V1004" s="262"/>
      <c r="W1004" s="262"/>
      <c r="X1004" s="262"/>
      <c r="Y1004" s="262"/>
      <c r="Z1004" s="262"/>
      <c r="AA1004" s="262"/>
      <c r="AB1004" s="262"/>
      <c r="AC1004" s="262"/>
      <c r="AD1004" s="262"/>
      <c r="AE1004" s="262"/>
      <c r="AF1004" s="147"/>
      <c r="AG1004" s="147"/>
      <c r="AH1004" s="147"/>
      <c r="AI1004" s="84"/>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row>
    <row r="1005" spans="1:59" ht="15.75" customHeight="1" x14ac:dyDescent="0.2">
      <c r="A1005" s="162"/>
      <c r="B1005" s="162"/>
      <c r="C1005" s="206"/>
      <c r="D1005" s="262"/>
      <c r="E1005" s="262"/>
      <c r="F1005" s="262"/>
      <c r="G1005" s="262"/>
      <c r="H1005" s="262"/>
      <c r="I1005" s="262"/>
      <c r="J1005" s="262"/>
      <c r="K1005" s="262"/>
      <c r="L1005" s="262"/>
      <c r="M1005" s="262"/>
      <c r="N1005" s="262"/>
      <c r="O1005" s="262"/>
      <c r="P1005" s="262"/>
      <c r="Q1005" s="262"/>
      <c r="R1005" s="262"/>
      <c r="S1005" s="262"/>
      <c r="T1005" s="262"/>
      <c r="U1005" s="262"/>
      <c r="V1005" s="262"/>
      <c r="W1005" s="262"/>
      <c r="X1005" s="262"/>
      <c r="Y1005" s="262"/>
      <c r="Z1005" s="262"/>
      <c r="AA1005" s="262"/>
      <c r="AB1005" s="262"/>
      <c r="AC1005" s="262"/>
      <c r="AD1005" s="262"/>
      <c r="AE1005" s="262"/>
      <c r="AF1005" s="147"/>
      <c r="AG1005" s="147"/>
      <c r="AH1005" s="147"/>
      <c r="AI1005" s="189"/>
      <c r="AJ1005" s="189"/>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row>
    <row r="1006" spans="1:59" ht="15.75" customHeight="1" x14ac:dyDescent="0.2">
      <c r="A1006" s="162"/>
      <c r="B1006" s="162"/>
      <c r="C1006" s="206"/>
      <c r="D1006" s="262"/>
      <c r="E1006" s="262"/>
      <c r="F1006" s="262"/>
      <c r="G1006" s="262"/>
      <c r="H1006" s="262"/>
      <c r="I1006" s="262"/>
      <c r="J1006" s="262"/>
      <c r="K1006" s="262"/>
      <c r="L1006" s="262"/>
      <c r="M1006" s="262"/>
      <c r="N1006" s="262"/>
      <c r="O1006" s="262"/>
      <c r="P1006" s="262"/>
      <c r="Q1006" s="262"/>
      <c r="R1006" s="262"/>
      <c r="S1006" s="262"/>
      <c r="T1006" s="262"/>
      <c r="U1006" s="262"/>
      <c r="V1006" s="262"/>
      <c r="W1006" s="262"/>
      <c r="X1006" s="262"/>
      <c r="Y1006" s="262"/>
      <c r="Z1006" s="262"/>
      <c r="AA1006" s="262"/>
      <c r="AB1006" s="262"/>
      <c r="AC1006" s="262"/>
      <c r="AD1006" s="262"/>
      <c r="AE1006" s="262"/>
      <c r="AF1006" s="147"/>
      <c r="AG1006" s="147"/>
      <c r="AH1006" s="147"/>
      <c r="AI1006" s="189"/>
      <c r="AJ1006" s="189"/>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row>
    <row r="1007" spans="1:59" ht="15.75" customHeight="1" x14ac:dyDescent="0.2">
      <c r="A1007" s="162"/>
      <c r="B1007" s="162"/>
      <c r="C1007" s="206"/>
      <c r="D1007" s="262"/>
      <c r="E1007" s="262"/>
      <c r="F1007" s="262"/>
      <c r="G1007" s="262"/>
      <c r="H1007" s="262"/>
      <c r="I1007" s="262"/>
      <c r="J1007" s="262"/>
      <c r="K1007" s="262"/>
      <c r="L1007" s="262"/>
      <c r="M1007" s="262"/>
      <c r="N1007" s="262"/>
      <c r="O1007" s="262"/>
      <c r="P1007" s="262"/>
      <c r="Q1007" s="262"/>
      <c r="R1007" s="262"/>
      <c r="S1007" s="262"/>
      <c r="T1007" s="262"/>
      <c r="U1007" s="262"/>
      <c r="V1007" s="262"/>
      <c r="W1007" s="262"/>
      <c r="X1007" s="262"/>
      <c r="Y1007" s="262"/>
      <c r="Z1007" s="262"/>
      <c r="AA1007" s="262"/>
      <c r="AB1007" s="262"/>
      <c r="AC1007" s="262"/>
      <c r="AD1007" s="262"/>
      <c r="AE1007" s="262"/>
      <c r="AF1007" s="147"/>
      <c r="AG1007" s="147"/>
      <c r="AH1007" s="147"/>
      <c r="AI1007" s="189"/>
      <c r="AJ1007" s="189"/>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row>
    <row r="1008" spans="1:59" ht="15.75" customHeight="1" x14ac:dyDescent="0.2">
      <c r="A1008" s="162"/>
      <c r="B1008" s="162"/>
      <c r="C1008" s="206"/>
      <c r="D1008" s="262"/>
      <c r="E1008" s="262"/>
      <c r="F1008" s="262"/>
      <c r="G1008" s="262"/>
      <c r="H1008" s="262"/>
      <c r="I1008" s="262"/>
      <c r="J1008" s="262"/>
      <c r="K1008" s="262"/>
      <c r="L1008" s="262"/>
      <c r="M1008" s="262"/>
      <c r="N1008" s="262"/>
      <c r="O1008" s="262"/>
      <c r="P1008" s="262"/>
      <c r="Q1008" s="262"/>
      <c r="R1008" s="262"/>
      <c r="S1008" s="262"/>
      <c r="T1008" s="262"/>
      <c r="U1008" s="262"/>
      <c r="V1008" s="262"/>
      <c r="W1008" s="262"/>
      <c r="X1008" s="262"/>
      <c r="Y1008" s="262"/>
      <c r="Z1008" s="262"/>
      <c r="AA1008" s="262"/>
      <c r="AB1008" s="262"/>
      <c r="AC1008" s="262"/>
      <c r="AD1008" s="262"/>
      <c r="AE1008" s="262"/>
      <c r="AF1008" s="147"/>
      <c r="AG1008" s="147"/>
      <c r="AH1008" s="147"/>
      <c r="AI1008" s="195"/>
      <c r="AJ1008" s="189"/>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row>
    <row r="1009" spans="1:59" ht="15.75" customHeight="1" x14ac:dyDescent="0.2">
      <c r="A1009" s="162"/>
      <c r="B1009" s="162"/>
      <c r="C1009" s="206"/>
      <c r="D1009" s="262"/>
      <c r="E1009" s="262"/>
      <c r="F1009" s="262"/>
      <c r="G1009" s="262"/>
      <c r="H1009" s="262"/>
      <c r="I1009" s="262"/>
      <c r="J1009" s="262"/>
      <c r="K1009" s="262"/>
      <c r="L1009" s="262"/>
      <c r="M1009" s="262"/>
      <c r="N1009" s="262"/>
      <c r="O1009" s="262"/>
      <c r="P1009" s="262"/>
      <c r="Q1009" s="262"/>
      <c r="R1009" s="262"/>
      <c r="S1009" s="262"/>
      <c r="T1009" s="262"/>
      <c r="U1009" s="262"/>
      <c r="V1009" s="262"/>
      <c r="W1009" s="262"/>
      <c r="X1009" s="262"/>
      <c r="Y1009" s="262"/>
      <c r="Z1009" s="262"/>
      <c r="AA1009" s="262"/>
      <c r="AB1009" s="262"/>
      <c r="AC1009" s="262"/>
      <c r="AD1009" s="262"/>
      <c r="AE1009" s="262"/>
      <c r="AF1009" s="147"/>
      <c r="AG1009" s="147"/>
      <c r="AH1009" s="147"/>
      <c r="AI1009" s="189"/>
      <c r="AJ1009" s="189"/>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row>
    <row r="1010" spans="1:59" ht="15.75" customHeight="1" x14ac:dyDescent="0.2">
      <c r="A1010" s="162"/>
      <c r="B1010" s="162"/>
      <c r="C1010" s="206"/>
      <c r="D1010" s="262"/>
      <c r="E1010" s="262"/>
      <c r="F1010" s="262"/>
      <c r="G1010" s="262"/>
      <c r="H1010" s="262"/>
      <c r="I1010" s="262"/>
      <c r="J1010" s="262"/>
      <c r="K1010" s="262"/>
      <c r="L1010" s="262"/>
      <c r="M1010" s="262"/>
      <c r="N1010" s="262"/>
      <c r="O1010" s="262"/>
      <c r="P1010" s="262"/>
      <c r="Q1010" s="262"/>
      <c r="R1010" s="262"/>
      <c r="S1010" s="262"/>
      <c r="T1010" s="262"/>
      <c r="U1010" s="262"/>
      <c r="V1010" s="262"/>
      <c r="W1010" s="262"/>
      <c r="X1010" s="262"/>
      <c r="Y1010" s="262"/>
      <c r="Z1010" s="262"/>
      <c r="AA1010" s="262"/>
      <c r="AB1010" s="262"/>
      <c r="AC1010" s="262"/>
      <c r="AD1010" s="262"/>
      <c r="AE1010" s="262"/>
      <c r="AF1010" s="147"/>
      <c r="AG1010" s="147"/>
      <c r="AH1010" s="147"/>
      <c r="AI1010" s="189"/>
      <c r="AJ1010" s="84"/>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row>
    <row r="1011" spans="1:59" ht="15.75" customHeight="1" x14ac:dyDescent="0.2">
      <c r="A1011" s="162"/>
      <c r="B1011" s="162"/>
      <c r="C1011" s="206"/>
      <c r="D1011" s="262"/>
      <c r="E1011" s="262"/>
      <c r="F1011" s="262"/>
      <c r="G1011" s="262"/>
      <c r="H1011" s="262"/>
      <c r="I1011" s="262"/>
      <c r="J1011" s="262"/>
      <c r="K1011" s="262"/>
      <c r="L1011" s="262"/>
      <c r="M1011" s="262"/>
      <c r="N1011" s="262"/>
      <c r="O1011" s="262"/>
      <c r="P1011" s="262"/>
      <c r="Q1011" s="262"/>
      <c r="R1011" s="262"/>
      <c r="S1011" s="262"/>
      <c r="T1011" s="262"/>
      <c r="U1011" s="262"/>
      <c r="V1011" s="262"/>
      <c r="W1011" s="262"/>
      <c r="X1011" s="262"/>
      <c r="Y1011" s="262"/>
      <c r="Z1011" s="262"/>
      <c r="AA1011" s="262"/>
      <c r="AB1011" s="262"/>
      <c r="AC1011" s="262"/>
      <c r="AD1011" s="262"/>
      <c r="AE1011" s="262"/>
      <c r="AF1011" s="147"/>
      <c r="AG1011" s="147"/>
      <c r="AH1011" s="147"/>
      <c r="AI1011" s="189"/>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row>
    <row r="1012" spans="1:59" ht="15.75" customHeight="1" x14ac:dyDescent="0.2">
      <c r="A1012" s="162"/>
      <c r="B1012" s="162"/>
      <c r="C1012" s="206"/>
      <c r="D1012" s="262"/>
      <c r="E1012" s="262"/>
      <c r="F1012" s="262"/>
      <c r="G1012" s="262"/>
      <c r="H1012" s="262"/>
      <c r="I1012" s="262"/>
      <c r="J1012" s="262"/>
      <c r="K1012" s="262"/>
      <c r="L1012" s="262"/>
      <c r="M1012" s="262"/>
      <c r="N1012" s="262"/>
      <c r="O1012" s="262"/>
      <c r="P1012" s="262"/>
      <c r="Q1012" s="262"/>
      <c r="R1012" s="262"/>
      <c r="S1012" s="262"/>
      <c r="T1012" s="262"/>
      <c r="U1012" s="262"/>
      <c r="V1012" s="262"/>
      <c r="W1012" s="262"/>
      <c r="X1012" s="262"/>
      <c r="Y1012" s="262"/>
      <c r="Z1012" s="262"/>
      <c r="AA1012" s="262"/>
      <c r="AB1012" s="262"/>
      <c r="AC1012" s="262"/>
      <c r="AD1012" s="262"/>
      <c r="AE1012" s="262"/>
      <c r="AF1012" s="147"/>
      <c r="AG1012" s="147"/>
      <c r="AH1012" s="147"/>
      <c r="AI1012" s="189"/>
      <c r="AJ1012" s="189"/>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row>
    <row r="1013" spans="1:59" ht="15.75" customHeight="1" x14ac:dyDescent="0.2">
      <c r="A1013" s="162"/>
      <c r="B1013" s="162"/>
      <c r="C1013" s="206"/>
      <c r="D1013" s="262"/>
      <c r="E1013" s="262"/>
      <c r="F1013" s="262"/>
      <c r="G1013" s="262"/>
      <c r="H1013" s="262"/>
      <c r="I1013" s="262"/>
      <c r="J1013" s="262"/>
      <c r="K1013" s="262"/>
      <c r="L1013" s="262"/>
      <c r="M1013" s="262"/>
      <c r="N1013" s="262"/>
      <c r="O1013" s="262"/>
      <c r="P1013" s="262"/>
      <c r="Q1013" s="262"/>
      <c r="R1013" s="262"/>
      <c r="S1013" s="262"/>
      <c r="T1013" s="262"/>
      <c r="U1013" s="262"/>
      <c r="V1013" s="262"/>
      <c r="W1013" s="262"/>
      <c r="X1013" s="262"/>
      <c r="Y1013" s="262"/>
      <c r="Z1013" s="262"/>
      <c r="AA1013" s="262"/>
      <c r="AB1013" s="262"/>
      <c r="AC1013" s="262"/>
      <c r="AD1013" s="262"/>
      <c r="AE1013" s="262"/>
      <c r="AF1013" s="147"/>
      <c r="AG1013" s="147"/>
      <c r="AH1013" s="147"/>
      <c r="AI1013" s="195"/>
      <c r="AJ1013" s="189"/>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row>
    <row r="1014" spans="1:59" ht="15.75" customHeight="1" x14ac:dyDescent="0.2">
      <c r="A1014" s="162"/>
      <c r="B1014" s="162"/>
      <c r="C1014" s="206"/>
      <c r="D1014" s="262"/>
      <c r="E1014" s="262"/>
      <c r="F1014" s="262"/>
      <c r="G1014" s="262"/>
      <c r="H1014" s="262"/>
      <c r="I1014" s="262"/>
      <c r="J1014" s="262"/>
      <c r="K1014" s="262"/>
      <c r="L1014" s="262"/>
      <c r="M1014" s="262"/>
      <c r="N1014" s="262"/>
      <c r="O1014" s="262"/>
      <c r="P1014" s="262"/>
      <c r="Q1014" s="262"/>
      <c r="R1014" s="262"/>
      <c r="S1014" s="262"/>
      <c r="T1014" s="262"/>
      <c r="U1014" s="262"/>
      <c r="V1014" s="262"/>
      <c r="W1014" s="262"/>
      <c r="X1014" s="262"/>
      <c r="Y1014" s="262"/>
      <c r="Z1014" s="262"/>
      <c r="AA1014" s="262"/>
      <c r="AB1014" s="262"/>
      <c r="AC1014" s="262"/>
      <c r="AD1014" s="262"/>
      <c r="AE1014" s="262"/>
      <c r="AF1014" s="147"/>
      <c r="AG1014" s="147"/>
      <c r="AH1014" s="147"/>
      <c r="AI1014" s="189"/>
      <c r="AJ1014" s="195"/>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row>
    <row r="1015" spans="1:59" ht="15.75" customHeight="1" x14ac:dyDescent="0.2">
      <c r="A1015" s="162"/>
      <c r="B1015" s="162"/>
      <c r="C1015" s="206"/>
      <c r="D1015" s="262"/>
      <c r="E1015" s="262"/>
      <c r="F1015" s="262"/>
      <c r="G1015" s="262"/>
      <c r="H1015" s="262"/>
      <c r="I1015" s="262"/>
      <c r="J1015" s="262"/>
      <c r="K1015" s="262"/>
      <c r="L1015" s="262"/>
      <c r="M1015" s="262"/>
      <c r="N1015" s="262"/>
      <c r="O1015" s="262"/>
      <c r="P1015" s="262"/>
      <c r="Q1015" s="262"/>
      <c r="R1015" s="262"/>
      <c r="S1015" s="262"/>
      <c r="T1015" s="262"/>
      <c r="U1015" s="262"/>
      <c r="V1015" s="262"/>
      <c r="W1015" s="262"/>
      <c r="X1015" s="262"/>
      <c r="Y1015" s="262"/>
      <c r="Z1015" s="262"/>
      <c r="AA1015" s="262"/>
      <c r="AB1015" s="262"/>
      <c r="AC1015" s="262"/>
      <c r="AD1015" s="262"/>
      <c r="AE1015" s="262"/>
      <c r="AF1015" s="147"/>
      <c r="AG1015" s="147"/>
      <c r="AH1015" s="147"/>
      <c r="AI1015" s="147"/>
      <c r="AJ1015" s="189"/>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row>
    <row r="1016" spans="1:59" ht="15.75" customHeight="1" x14ac:dyDescent="0.2">
      <c r="A1016" s="162"/>
      <c r="B1016" s="162"/>
      <c r="C1016" s="206"/>
      <c r="D1016" s="262"/>
      <c r="E1016" s="262"/>
      <c r="F1016" s="262"/>
      <c r="G1016" s="262"/>
      <c r="H1016" s="262"/>
      <c r="I1016" s="262"/>
      <c r="J1016" s="262"/>
      <c r="K1016" s="262"/>
      <c r="L1016" s="262"/>
      <c r="M1016" s="262"/>
      <c r="N1016" s="262"/>
      <c r="O1016" s="262"/>
      <c r="P1016" s="262"/>
      <c r="Q1016" s="262"/>
      <c r="R1016" s="262"/>
      <c r="S1016" s="262"/>
      <c r="T1016" s="262"/>
      <c r="U1016" s="262"/>
      <c r="V1016" s="262"/>
      <c r="W1016" s="262"/>
      <c r="X1016" s="262"/>
      <c r="Y1016" s="262"/>
      <c r="Z1016" s="262"/>
      <c r="AA1016" s="262"/>
      <c r="AB1016" s="262"/>
      <c r="AC1016" s="262"/>
      <c r="AD1016" s="262"/>
      <c r="AE1016" s="262"/>
      <c r="AF1016" s="147"/>
      <c r="AG1016" s="147"/>
      <c r="AH1016" s="147"/>
      <c r="AI1016" s="147"/>
      <c r="AJ1016" s="189"/>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row>
    <row r="1017" spans="1:59" ht="15.75" customHeight="1" x14ac:dyDescent="0.2">
      <c r="A1017" s="162"/>
      <c r="B1017" s="162"/>
      <c r="C1017" s="206"/>
      <c r="D1017" s="262"/>
      <c r="E1017" s="262"/>
      <c r="F1017" s="262"/>
      <c r="G1017" s="262"/>
      <c r="H1017" s="262"/>
      <c r="I1017" s="262"/>
      <c r="J1017" s="262"/>
      <c r="K1017" s="262"/>
      <c r="L1017" s="262"/>
      <c r="M1017" s="262"/>
      <c r="N1017" s="262"/>
      <c r="O1017" s="262"/>
      <c r="P1017" s="262"/>
      <c r="Q1017" s="262"/>
      <c r="R1017" s="262"/>
      <c r="S1017" s="262"/>
      <c r="T1017" s="262"/>
      <c r="U1017" s="262"/>
      <c r="V1017" s="262"/>
      <c r="W1017" s="262"/>
      <c r="X1017" s="262"/>
      <c r="Y1017" s="262"/>
      <c r="Z1017" s="262"/>
      <c r="AA1017" s="262"/>
      <c r="AB1017" s="262"/>
      <c r="AC1017" s="262"/>
      <c r="AD1017" s="262"/>
      <c r="AE1017" s="262"/>
      <c r="AF1017" s="147"/>
      <c r="AG1017" s="147"/>
      <c r="AH1017" s="147"/>
      <c r="AI1017" s="189"/>
      <c r="AJ1017" s="189"/>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row>
    <row r="1018" spans="1:59" ht="15.75" customHeight="1" x14ac:dyDescent="0.2">
      <c r="A1018" s="162"/>
      <c r="B1018" s="162"/>
      <c r="C1018" s="206"/>
      <c r="D1018" s="262"/>
      <c r="E1018" s="262"/>
      <c r="F1018" s="262"/>
      <c r="G1018" s="262"/>
      <c r="H1018" s="262"/>
      <c r="I1018" s="262"/>
      <c r="J1018" s="262"/>
      <c r="K1018" s="262"/>
      <c r="L1018" s="262"/>
      <c r="M1018" s="262"/>
      <c r="N1018" s="262"/>
      <c r="O1018" s="262"/>
      <c r="P1018" s="262"/>
      <c r="Q1018" s="262"/>
      <c r="R1018" s="262"/>
      <c r="S1018" s="262"/>
      <c r="T1018" s="262"/>
      <c r="U1018" s="262"/>
      <c r="V1018" s="262"/>
      <c r="W1018" s="262"/>
      <c r="X1018" s="262"/>
      <c r="Y1018" s="262"/>
      <c r="Z1018" s="262"/>
      <c r="AA1018" s="262"/>
      <c r="AB1018" s="262"/>
      <c r="AC1018" s="262"/>
      <c r="AD1018" s="262"/>
      <c r="AE1018" s="262"/>
      <c r="AF1018" s="147"/>
      <c r="AG1018" s="147"/>
      <c r="AH1018" s="147"/>
      <c r="AI1018" s="189"/>
      <c r="AJ1018" s="195"/>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row>
    <row r="1019" spans="1:59" ht="15.75" customHeight="1" x14ac:dyDescent="0.2">
      <c r="A1019" s="162"/>
      <c r="B1019" s="162"/>
      <c r="C1019" s="206"/>
      <c r="D1019" s="262"/>
      <c r="E1019" s="262"/>
      <c r="F1019" s="262"/>
      <c r="G1019" s="262"/>
      <c r="H1019" s="262"/>
      <c r="I1019" s="262"/>
      <c r="J1019" s="262"/>
      <c r="K1019" s="262"/>
      <c r="L1019" s="262"/>
      <c r="M1019" s="262"/>
      <c r="N1019" s="262"/>
      <c r="O1019" s="262"/>
      <c r="P1019" s="262"/>
      <c r="Q1019" s="262"/>
      <c r="R1019" s="262"/>
      <c r="S1019" s="262"/>
      <c r="T1019" s="262"/>
      <c r="U1019" s="262"/>
      <c r="V1019" s="262"/>
      <c r="W1019" s="262"/>
      <c r="X1019" s="262"/>
      <c r="Y1019" s="262"/>
      <c r="Z1019" s="262"/>
      <c r="AA1019" s="262"/>
      <c r="AB1019" s="262"/>
      <c r="AC1019" s="262"/>
      <c r="AD1019" s="262"/>
      <c r="AE1019" s="262"/>
      <c r="AF1019" s="147"/>
      <c r="AG1019" s="147"/>
      <c r="AH1019" s="147"/>
      <c r="AI1019" s="189"/>
      <c r="AJ1019" s="195"/>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row>
    <row r="1020" spans="1:59" ht="15.75" customHeight="1" x14ac:dyDescent="0.2">
      <c r="A1020" s="162"/>
      <c r="B1020" s="162"/>
      <c r="C1020" s="206"/>
      <c r="D1020" s="262"/>
      <c r="E1020" s="262"/>
      <c r="F1020" s="262"/>
      <c r="G1020" s="262"/>
      <c r="H1020" s="262"/>
      <c r="I1020" s="262"/>
      <c r="J1020" s="262"/>
      <c r="K1020" s="262"/>
      <c r="L1020" s="262"/>
      <c r="M1020" s="262"/>
      <c r="N1020" s="262"/>
      <c r="O1020" s="262"/>
      <c r="P1020" s="262"/>
      <c r="Q1020" s="262"/>
      <c r="R1020" s="262"/>
      <c r="S1020" s="262"/>
      <c r="T1020" s="262"/>
      <c r="U1020" s="262"/>
      <c r="V1020" s="262"/>
      <c r="W1020" s="262"/>
      <c r="X1020" s="262"/>
      <c r="Y1020" s="262"/>
      <c r="Z1020" s="262"/>
      <c r="AA1020" s="262"/>
      <c r="AB1020" s="262"/>
      <c r="AC1020" s="262"/>
      <c r="AD1020" s="262"/>
      <c r="AE1020" s="262"/>
      <c r="AF1020" s="147"/>
      <c r="AG1020" s="147"/>
      <c r="AH1020" s="147"/>
      <c r="AI1020" s="189"/>
      <c r="AJ1020" s="189"/>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row>
    <row r="1021" spans="1:59" ht="15.75" customHeight="1" x14ac:dyDescent="0.2">
      <c r="A1021" s="162"/>
      <c r="B1021" s="162"/>
      <c r="C1021" s="206"/>
      <c r="D1021" s="262"/>
      <c r="E1021" s="262"/>
      <c r="F1021" s="262"/>
      <c r="G1021" s="262"/>
      <c r="H1021" s="262"/>
      <c r="I1021" s="262"/>
      <c r="J1021" s="262"/>
      <c r="K1021" s="262"/>
      <c r="L1021" s="262"/>
      <c r="M1021" s="262"/>
      <c r="N1021" s="262"/>
      <c r="O1021" s="262"/>
      <c r="P1021" s="262"/>
      <c r="Q1021" s="262"/>
      <c r="R1021" s="262"/>
      <c r="S1021" s="262"/>
      <c r="T1021" s="262"/>
      <c r="U1021" s="262"/>
      <c r="V1021" s="262"/>
      <c r="W1021" s="262"/>
      <c r="X1021" s="262"/>
      <c r="Y1021" s="262"/>
      <c r="Z1021" s="262"/>
      <c r="AA1021" s="262"/>
      <c r="AB1021" s="262"/>
      <c r="AC1021" s="262"/>
      <c r="AD1021" s="262"/>
      <c r="AE1021" s="262"/>
      <c r="AF1021" s="147"/>
      <c r="AG1021" s="147"/>
      <c r="AH1021" s="147"/>
      <c r="AI1021" s="189"/>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row>
    <row r="1022" spans="1:59" ht="15.75" customHeight="1" x14ac:dyDescent="0.2">
      <c r="A1022" s="162"/>
      <c r="B1022" s="162"/>
      <c r="C1022" s="206"/>
      <c r="D1022" s="262"/>
      <c r="E1022" s="262"/>
      <c r="F1022" s="262"/>
      <c r="G1022" s="262"/>
      <c r="H1022" s="262"/>
      <c r="I1022" s="262"/>
      <c r="J1022" s="262"/>
      <c r="K1022" s="262"/>
      <c r="L1022" s="262"/>
      <c r="M1022" s="262"/>
      <c r="N1022" s="262"/>
      <c r="O1022" s="262"/>
      <c r="P1022" s="262"/>
      <c r="Q1022" s="262"/>
      <c r="R1022" s="262"/>
      <c r="S1022" s="262"/>
      <c r="T1022" s="262"/>
      <c r="U1022" s="262"/>
      <c r="V1022" s="262"/>
      <c r="W1022" s="262"/>
      <c r="X1022" s="262"/>
      <c r="Y1022" s="262"/>
      <c r="Z1022" s="262"/>
      <c r="AA1022" s="262"/>
      <c r="AB1022" s="262"/>
      <c r="AC1022" s="262"/>
      <c r="AD1022" s="262"/>
      <c r="AE1022" s="262"/>
      <c r="AF1022" s="147"/>
      <c r="AG1022" s="147"/>
      <c r="AH1022" s="147"/>
      <c r="AI1022" s="84"/>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row>
    <row r="1023" spans="1:59" ht="15.75" customHeight="1" x14ac:dyDescent="0.2">
      <c r="A1023" s="162"/>
      <c r="B1023" s="162"/>
      <c r="C1023" s="206"/>
      <c r="D1023" s="262"/>
      <c r="E1023" s="262"/>
      <c r="F1023" s="262"/>
      <c r="G1023" s="262"/>
      <c r="H1023" s="262"/>
      <c r="I1023" s="262"/>
      <c r="J1023" s="262"/>
      <c r="K1023" s="262"/>
      <c r="L1023" s="262"/>
      <c r="M1023" s="262"/>
      <c r="N1023" s="262"/>
      <c r="O1023" s="262"/>
      <c r="P1023" s="262"/>
      <c r="Q1023" s="262"/>
      <c r="R1023" s="262"/>
      <c r="S1023" s="262"/>
      <c r="T1023" s="262"/>
      <c r="U1023" s="262"/>
      <c r="V1023" s="262"/>
      <c r="W1023" s="262"/>
      <c r="X1023" s="262"/>
      <c r="Y1023" s="262"/>
      <c r="Z1023" s="262"/>
      <c r="AA1023" s="262"/>
      <c r="AB1023" s="262"/>
      <c r="AC1023" s="262"/>
      <c r="AD1023" s="262"/>
      <c r="AE1023" s="262"/>
      <c r="AF1023" s="147"/>
      <c r="AG1023" s="147"/>
      <c r="AH1023" s="147"/>
      <c r="AI1023" s="147"/>
      <c r="AJ1023" s="189"/>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row>
    <row r="1024" spans="1:59" ht="15.75" customHeight="1" x14ac:dyDescent="0.2">
      <c r="A1024" s="162"/>
      <c r="B1024" s="162"/>
      <c r="C1024" s="206"/>
      <c r="D1024" s="262"/>
      <c r="E1024" s="262"/>
      <c r="F1024" s="262"/>
      <c r="G1024" s="262"/>
      <c r="H1024" s="262"/>
      <c r="I1024" s="262"/>
      <c r="J1024" s="262"/>
      <c r="K1024" s="262"/>
      <c r="L1024" s="262"/>
      <c r="M1024" s="262"/>
      <c r="N1024" s="262"/>
      <c r="O1024" s="262"/>
      <c r="P1024" s="262"/>
      <c r="Q1024" s="262"/>
      <c r="R1024" s="262"/>
      <c r="S1024" s="262"/>
      <c r="T1024" s="262"/>
      <c r="U1024" s="262"/>
      <c r="V1024" s="262"/>
      <c r="W1024" s="262"/>
      <c r="X1024" s="262"/>
      <c r="Y1024" s="262"/>
      <c r="Z1024" s="262"/>
      <c r="AA1024" s="262"/>
      <c r="AB1024" s="262"/>
      <c r="AC1024" s="262"/>
      <c r="AD1024" s="262"/>
      <c r="AE1024" s="262"/>
      <c r="AF1024" s="147"/>
      <c r="AG1024" s="147"/>
      <c r="AH1024" s="147"/>
      <c r="AI1024" s="189"/>
      <c r="AJ1024" s="189"/>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row>
    <row r="1025" spans="1:59" ht="15.75" customHeight="1" x14ac:dyDescent="0.2">
      <c r="A1025" s="162"/>
      <c r="B1025" s="162"/>
      <c r="C1025" s="206"/>
      <c r="D1025" s="262"/>
      <c r="E1025" s="262"/>
      <c r="F1025" s="262"/>
      <c r="G1025" s="262"/>
      <c r="H1025" s="262"/>
      <c r="I1025" s="262"/>
      <c r="J1025" s="262"/>
      <c r="K1025" s="262"/>
      <c r="L1025" s="262"/>
      <c r="M1025" s="262"/>
      <c r="N1025" s="262"/>
      <c r="O1025" s="262"/>
      <c r="P1025" s="262"/>
      <c r="Q1025" s="262"/>
      <c r="R1025" s="262"/>
      <c r="S1025" s="262"/>
      <c r="T1025" s="262"/>
      <c r="U1025" s="262"/>
      <c r="V1025" s="262"/>
      <c r="W1025" s="262"/>
      <c r="X1025" s="262"/>
      <c r="Y1025" s="262"/>
      <c r="Z1025" s="262"/>
      <c r="AA1025" s="262"/>
      <c r="AB1025" s="262"/>
      <c r="AC1025" s="262"/>
      <c r="AD1025" s="262"/>
      <c r="AE1025" s="262"/>
      <c r="AF1025" s="147"/>
      <c r="AG1025" s="147"/>
      <c r="AH1025" s="147"/>
      <c r="AI1025" s="189"/>
      <c r="AJ1025" s="195"/>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row>
    <row r="1026" spans="1:59" ht="15.75" customHeight="1" x14ac:dyDescent="0.2">
      <c r="A1026" s="162"/>
      <c r="B1026" s="162"/>
      <c r="C1026" s="206"/>
      <c r="D1026" s="262"/>
      <c r="E1026" s="262"/>
      <c r="F1026" s="262"/>
      <c r="G1026" s="262"/>
      <c r="H1026" s="262"/>
      <c r="I1026" s="262"/>
      <c r="J1026" s="262"/>
      <c r="K1026" s="262"/>
      <c r="L1026" s="262"/>
      <c r="M1026" s="262"/>
      <c r="N1026" s="262"/>
      <c r="O1026" s="262"/>
      <c r="P1026" s="262"/>
      <c r="Q1026" s="262"/>
      <c r="R1026" s="262"/>
      <c r="S1026" s="262"/>
      <c r="T1026" s="262"/>
      <c r="U1026" s="262"/>
      <c r="V1026" s="262"/>
      <c r="W1026" s="262"/>
      <c r="X1026" s="262"/>
      <c r="Y1026" s="262"/>
      <c r="Z1026" s="262"/>
      <c r="AA1026" s="262"/>
      <c r="AB1026" s="262"/>
      <c r="AC1026" s="262"/>
      <c r="AD1026" s="262"/>
      <c r="AE1026" s="262"/>
      <c r="AF1026" s="147"/>
      <c r="AG1026" s="147"/>
      <c r="AH1026" s="147"/>
      <c r="AI1026" s="195"/>
      <c r="AJ1026" s="189"/>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row>
    <row r="1027" spans="1:59" ht="15.75" customHeight="1" x14ac:dyDescent="0.2">
      <c r="A1027" s="162"/>
      <c r="B1027" s="162"/>
      <c r="C1027" s="206"/>
      <c r="D1027" s="262"/>
      <c r="E1027" s="262"/>
      <c r="F1027" s="262"/>
      <c r="G1027" s="262"/>
      <c r="H1027" s="262"/>
      <c r="I1027" s="262"/>
      <c r="J1027" s="262"/>
      <c r="K1027" s="262"/>
      <c r="L1027" s="262"/>
      <c r="M1027" s="262"/>
      <c r="N1027" s="262"/>
      <c r="O1027" s="262"/>
      <c r="P1027" s="262"/>
      <c r="Q1027" s="262"/>
      <c r="R1027" s="262"/>
      <c r="S1027" s="262"/>
      <c r="T1027" s="262"/>
      <c r="U1027" s="262"/>
      <c r="V1027" s="262"/>
      <c r="W1027" s="262"/>
      <c r="X1027" s="262"/>
      <c r="Y1027" s="262"/>
      <c r="Z1027" s="262"/>
      <c r="AA1027" s="262"/>
      <c r="AB1027" s="262"/>
      <c r="AC1027" s="262"/>
      <c r="AD1027" s="262"/>
      <c r="AE1027" s="262"/>
      <c r="AF1027" s="147"/>
      <c r="AG1027" s="147"/>
      <c r="AH1027" s="147"/>
      <c r="AI1027" s="189"/>
      <c r="AJ1027" s="231"/>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row>
    <row r="1028" spans="1:59" ht="15.75" customHeight="1" x14ac:dyDescent="0.2">
      <c r="A1028" s="162"/>
      <c r="B1028" s="162"/>
      <c r="C1028" s="206"/>
      <c r="D1028" s="262"/>
      <c r="E1028" s="262"/>
      <c r="F1028" s="262"/>
      <c r="G1028" s="262"/>
      <c r="H1028" s="262"/>
      <c r="I1028" s="262"/>
      <c r="J1028" s="262"/>
      <c r="K1028" s="262"/>
      <c r="L1028" s="262"/>
      <c r="M1028" s="262"/>
      <c r="N1028" s="262"/>
      <c r="O1028" s="262"/>
      <c r="P1028" s="262"/>
      <c r="Q1028" s="262"/>
      <c r="R1028" s="262"/>
      <c r="S1028" s="262"/>
      <c r="T1028" s="262"/>
      <c r="U1028" s="262"/>
      <c r="V1028" s="262"/>
      <c r="W1028" s="262"/>
      <c r="X1028" s="262"/>
      <c r="Y1028" s="262"/>
      <c r="Z1028" s="262"/>
      <c r="AA1028" s="262"/>
      <c r="AB1028" s="262"/>
      <c r="AC1028" s="262"/>
      <c r="AD1028" s="262"/>
      <c r="AE1028" s="262"/>
      <c r="AF1028" s="147"/>
      <c r="AG1028" s="147"/>
      <c r="AH1028" s="147"/>
      <c r="AI1028" s="189"/>
      <c r="AJ1028" s="84"/>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row>
    <row r="1029" spans="1:59" ht="15.75" customHeight="1" x14ac:dyDescent="0.2">
      <c r="A1029" s="162"/>
      <c r="B1029" s="162"/>
      <c r="C1029" s="206"/>
      <c r="D1029" s="262"/>
      <c r="E1029" s="262"/>
      <c r="F1029" s="262"/>
      <c r="G1029" s="262"/>
      <c r="H1029" s="262"/>
      <c r="I1029" s="262"/>
      <c r="J1029" s="262"/>
      <c r="K1029" s="262"/>
      <c r="L1029" s="262"/>
      <c r="M1029" s="262"/>
      <c r="N1029" s="262"/>
      <c r="O1029" s="262"/>
      <c r="P1029" s="262"/>
      <c r="Q1029" s="262"/>
      <c r="R1029" s="262"/>
      <c r="S1029" s="262"/>
      <c r="T1029" s="262"/>
      <c r="U1029" s="262"/>
      <c r="V1029" s="262"/>
      <c r="W1029" s="262"/>
      <c r="X1029" s="262"/>
      <c r="Y1029" s="262"/>
      <c r="Z1029" s="262"/>
      <c r="AA1029" s="262"/>
      <c r="AB1029" s="262"/>
      <c r="AC1029" s="262"/>
      <c r="AD1029" s="262"/>
      <c r="AE1029" s="262"/>
      <c r="AF1029" s="147"/>
      <c r="AG1029" s="147"/>
      <c r="AH1029" s="147"/>
      <c r="AI1029" s="189"/>
      <c r="AJ1029" s="189"/>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row>
    <row r="1030" spans="1:59" ht="15.75" customHeight="1" x14ac:dyDescent="0.2">
      <c r="A1030" s="162"/>
      <c r="B1030" s="162"/>
      <c r="C1030" s="206"/>
      <c r="D1030" s="262"/>
      <c r="E1030" s="262"/>
      <c r="F1030" s="262"/>
      <c r="G1030" s="262"/>
      <c r="H1030" s="262"/>
      <c r="I1030" s="262"/>
      <c r="J1030" s="262"/>
      <c r="K1030" s="262"/>
      <c r="L1030" s="262"/>
      <c r="M1030" s="262"/>
      <c r="N1030" s="262"/>
      <c r="O1030" s="262"/>
      <c r="P1030" s="262"/>
      <c r="Q1030" s="262"/>
      <c r="R1030" s="262"/>
      <c r="S1030" s="262"/>
      <c r="T1030" s="262"/>
      <c r="U1030" s="262"/>
      <c r="V1030" s="262"/>
      <c r="W1030" s="262"/>
      <c r="X1030" s="262"/>
      <c r="Y1030" s="262"/>
      <c r="Z1030" s="262"/>
      <c r="AA1030" s="262"/>
      <c r="AB1030" s="262"/>
      <c r="AC1030" s="262"/>
      <c r="AD1030" s="262"/>
      <c r="AE1030" s="262"/>
      <c r="AF1030" s="147"/>
      <c r="AG1030" s="147"/>
      <c r="AH1030" s="147"/>
      <c r="AI1030" s="195"/>
      <c r="AJ1030" s="189"/>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row>
    <row r="1031" spans="1:59" ht="15.75" customHeight="1" x14ac:dyDescent="0.2">
      <c r="A1031" s="162"/>
      <c r="B1031" s="162"/>
      <c r="C1031" s="206"/>
      <c r="D1031" s="262"/>
      <c r="E1031" s="262"/>
      <c r="F1031" s="262"/>
      <c r="G1031" s="262"/>
      <c r="H1031" s="262"/>
      <c r="I1031" s="262"/>
      <c r="J1031" s="262"/>
      <c r="K1031" s="262"/>
      <c r="L1031" s="262"/>
      <c r="M1031" s="262"/>
      <c r="N1031" s="262"/>
      <c r="O1031" s="262"/>
      <c r="P1031" s="262"/>
      <c r="Q1031" s="262"/>
      <c r="R1031" s="262"/>
      <c r="S1031" s="262"/>
      <c r="T1031" s="262"/>
      <c r="U1031" s="262"/>
      <c r="V1031" s="262"/>
      <c r="W1031" s="262"/>
      <c r="X1031" s="262"/>
      <c r="Y1031" s="262"/>
      <c r="Z1031" s="262"/>
      <c r="AA1031" s="262"/>
      <c r="AB1031" s="262"/>
      <c r="AC1031" s="262"/>
      <c r="AD1031" s="262"/>
      <c r="AE1031" s="262"/>
      <c r="AF1031" s="147"/>
      <c r="AG1031" s="147"/>
      <c r="AH1031" s="147"/>
      <c r="AI1031" s="195"/>
      <c r="AJ1031" s="189"/>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row>
    <row r="1032" spans="1:59" ht="15.75" customHeight="1" x14ac:dyDescent="0.2">
      <c r="A1032" s="162"/>
      <c r="B1032" s="162"/>
      <c r="C1032" s="206"/>
      <c r="D1032" s="262"/>
      <c r="E1032" s="262"/>
      <c r="F1032" s="262"/>
      <c r="G1032" s="262"/>
      <c r="H1032" s="262"/>
      <c r="I1032" s="262"/>
      <c r="J1032" s="262"/>
      <c r="K1032" s="262"/>
      <c r="L1032" s="262"/>
      <c r="M1032" s="262"/>
      <c r="N1032" s="262"/>
      <c r="O1032" s="262"/>
      <c r="P1032" s="262"/>
      <c r="Q1032" s="262"/>
      <c r="R1032" s="262"/>
      <c r="S1032" s="262"/>
      <c r="T1032" s="262"/>
      <c r="U1032" s="262"/>
      <c r="V1032" s="262"/>
      <c r="W1032" s="262"/>
      <c r="X1032" s="262"/>
      <c r="Y1032" s="262"/>
      <c r="Z1032" s="262"/>
      <c r="AA1032" s="262"/>
      <c r="AB1032" s="262"/>
      <c r="AC1032" s="262"/>
      <c r="AD1032" s="262"/>
      <c r="AE1032" s="262"/>
      <c r="AF1032" s="147"/>
      <c r="AG1032" s="147"/>
      <c r="AH1032" s="147"/>
      <c r="AI1032" s="189"/>
      <c r="AJ1032" s="189"/>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row>
    <row r="1033" spans="1:59" ht="15.75" customHeight="1" x14ac:dyDescent="0.2">
      <c r="A1033" s="162"/>
      <c r="B1033" s="162"/>
      <c r="C1033" s="206"/>
      <c r="D1033" s="262"/>
      <c r="E1033" s="262"/>
      <c r="F1033" s="262"/>
      <c r="G1033" s="262"/>
      <c r="H1033" s="262"/>
      <c r="I1033" s="262"/>
      <c r="J1033" s="262"/>
      <c r="K1033" s="262"/>
      <c r="L1033" s="262"/>
      <c r="M1033" s="262"/>
      <c r="N1033" s="262"/>
      <c r="O1033" s="262"/>
      <c r="P1033" s="262"/>
      <c r="Q1033" s="262"/>
      <c r="R1033" s="262"/>
      <c r="S1033" s="262"/>
      <c r="T1033" s="262"/>
      <c r="U1033" s="262"/>
      <c r="V1033" s="262"/>
      <c r="W1033" s="262"/>
      <c r="X1033" s="262"/>
      <c r="Y1033" s="262"/>
      <c r="Z1033" s="262"/>
      <c r="AA1033" s="262"/>
      <c r="AB1033" s="262"/>
      <c r="AC1033" s="262"/>
      <c r="AD1033" s="262"/>
      <c r="AE1033" s="262"/>
      <c r="AF1033" s="147"/>
      <c r="AG1033" s="147"/>
      <c r="AH1033" s="147"/>
      <c r="AI1033" s="147"/>
      <c r="AJ1033" s="189"/>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row>
    <row r="1034" spans="1:59" ht="15.75" customHeight="1" x14ac:dyDescent="0.2">
      <c r="A1034" s="162"/>
      <c r="B1034" s="162"/>
      <c r="C1034" s="206"/>
      <c r="D1034" s="262"/>
      <c r="E1034" s="262"/>
      <c r="F1034" s="262"/>
      <c r="G1034" s="262"/>
      <c r="H1034" s="262"/>
      <c r="I1034" s="262"/>
      <c r="J1034" s="262"/>
      <c r="K1034" s="262"/>
      <c r="L1034" s="262"/>
      <c r="M1034" s="262"/>
      <c r="N1034" s="262"/>
      <c r="O1034" s="262"/>
      <c r="P1034" s="262"/>
      <c r="Q1034" s="262"/>
      <c r="R1034" s="262"/>
      <c r="S1034" s="262"/>
      <c r="T1034" s="262"/>
      <c r="U1034" s="262"/>
      <c r="V1034" s="262"/>
      <c r="W1034" s="262"/>
      <c r="X1034" s="262"/>
      <c r="Y1034" s="262"/>
      <c r="Z1034" s="262"/>
      <c r="AA1034" s="262"/>
      <c r="AB1034" s="262"/>
      <c r="AC1034" s="262"/>
      <c r="AD1034" s="262"/>
      <c r="AE1034" s="262"/>
      <c r="AF1034" s="147"/>
      <c r="AG1034" s="147"/>
      <c r="AH1034" s="147"/>
      <c r="AI1034" s="147"/>
      <c r="AJ1034" s="195"/>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row>
    <row r="1035" spans="1:59" ht="15.75" customHeight="1" x14ac:dyDescent="0.2">
      <c r="A1035" s="162"/>
      <c r="B1035" s="162"/>
      <c r="C1035" s="206"/>
      <c r="D1035" s="262"/>
      <c r="E1035" s="262"/>
      <c r="F1035" s="262"/>
      <c r="G1035" s="262"/>
      <c r="H1035" s="262"/>
      <c r="I1035" s="262"/>
      <c r="J1035" s="262"/>
      <c r="K1035" s="262"/>
      <c r="L1035" s="262"/>
      <c r="M1035" s="262"/>
      <c r="N1035" s="262"/>
      <c r="O1035" s="262"/>
      <c r="P1035" s="262"/>
      <c r="Q1035" s="262"/>
      <c r="R1035" s="262"/>
      <c r="S1035" s="262"/>
      <c r="T1035" s="262"/>
      <c r="U1035" s="262"/>
      <c r="V1035" s="262"/>
      <c r="W1035" s="262"/>
      <c r="X1035" s="262"/>
      <c r="Y1035" s="262"/>
      <c r="Z1035" s="262"/>
      <c r="AA1035" s="262"/>
      <c r="AB1035" s="262"/>
      <c r="AC1035" s="262"/>
      <c r="AD1035" s="262"/>
      <c r="AE1035" s="262"/>
      <c r="AF1035" s="147"/>
      <c r="AG1035" s="147"/>
      <c r="AH1035" s="147"/>
      <c r="AI1035" s="189"/>
      <c r="AJ1035" s="189"/>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row>
    <row r="1036" spans="1:59" ht="15.75" customHeight="1" x14ac:dyDescent="0.2">
      <c r="A1036" s="162"/>
      <c r="B1036" s="162"/>
      <c r="C1036" s="206"/>
      <c r="D1036" s="262"/>
      <c r="E1036" s="262"/>
      <c r="F1036" s="262"/>
      <c r="G1036" s="262"/>
      <c r="H1036" s="262"/>
      <c r="I1036" s="262"/>
      <c r="J1036" s="262"/>
      <c r="K1036" s="262"/>
      <c r="L1036" s="262"/>
      <c r="M1036" s="262"/>
      <c r="N1036" s="262"/>
      <c r="O1036" s="262"/>
      <c r="P1036" s="262"/>
      <c r="Q1036" s="262"/>
      <c r="R1036" s="262"/>
      <c r="S1036" s="262"/>
      <c r="T1036" s="262"/>
      <c r="U1036" s="262"/>
      <c r="V1036" s="262"/>
      <c r="W1036" s="262"/>
      <c r="X1036" s="262"/>
      <c r="Y1036" s="262"/>
      <c r="Z1036" s="262"/>
      <c r="AA1036" s="262"/>
      <c r="AB1036" s="262"/>
      <c r="AC1036" s="262"/>
      <c r="AD1036" s="262"/>
      <c r="AE1036" s="262"/>
      <c r="AF1036" s="147"/>
      <c r="AG1036" s="147"/>
      <c r="AH1036" s="147"/>
      <c r="AI1036" s="189"/>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row>
    <row r="1037" spans="1:59" ht="15.75" customHeight="1" x14ac:dyDescent="0.2">
      <c r="A1037" s="162"/>
      <c r="B1037" s="162"/>
      <c r="C1037" s="206"/>
      <c r="D1037" s="262"/>
      <c r="E1037" s="262"/>
      <c r="F1037" s="262"/>
      <c r="G1037" s="262"/>
      <c r="H1037" s="262"/>
      <c r="I1037" s="262"/>
      <c r="J1037" s="262"/>
      <c r="K1037" s="262"/>
      <c r="L1037" s="262"/>
      <c r="M1037" s="262"/>
      <c r="N1037" s="262"/>
      <c r="O1037" s="262"/>
      <c r="P1037" s="262"/>
      <c r="Q1037" s="262"/>
      <c r="R1037" s="262"/>
      <c r="S1037" s="262"/>
      <c r="T1037" s="262"/>
      <c r="U1037" s="262"/>
      <c r="V1037" s="262"/>
      <c r="W1037" s="262"/>
      <c r="X1037" s="262"/>
      <c r="Y1037" s="262"/>
      <c r="Z1037" s="262"/>
      <c r="AA1037" s="262"/>
      <c r="AB1037" s="262"/>
      <c r="AC1037" s="262"/>
      <c r="AD1037" s="262"/>
      <c r="AE1037" s="262"/>
      <c r="AF1037" s="147"/>
      <c r="AG1037" s="147"/>
      <c r="AH1037" s="147"/>
      <c r="AI1037" s="195"/>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row>
    <row r="1038" spans="1:59" ht="15.75" customHeight="1" x14ac:dyDescent="0.2">
      <c r="A1038" s="162"/>
      <c r="B1038" s="162"/>
      <c r="C1038" s="206"/>
      <c r="D1038" s="262"/>
      <c r="E1038" s="262"/>
      <c r="F1038" s="262"/>
      <c r="G1038" s="262"/>
      <c r="H1038" s="262"/>
      <c r="I1038" s="262"/>
      <c r="J1038" s="262"/>
      <c r="K1038" s="262"/>
      <c r="L1038" s="262"/>
      <c r="M1038" s="262"/>
      <c r="N1038" s="262"/>
      <c r="O1038" s="262"/>
      <c r="P1038" s="262"/>
      <c r="Q1038" s="262"/>
      <c r="R1038" s="262"/>
      <c r="S1038" s="262"/>
      <c r="T1038" s="262"/>
      <c r="U1038" s="262"/>
      <c r="V1038" s="262"/>
      <c r="W1038" s="262"/>
      <c r="X1038" s="262"/>
      <c r="Y1038" s="262"/>
      <c r="Z1038" s="262"/>
      <c r="AA1038" s="262"/>
      <c r="AB1038" s="262"/>
      <c r="AC1038" s="262"/>
      <c r="AD1038" s="262"/>
      <c r="AE1038" s="262"/>
      <c r="AF1038" s="147"/>
      <c r="AG1038" s="147"/>
      <c r="AH1038" s="147"/>
      <c r="AI1038" s="189"/>
      <c r="AJ1038" s="189"/>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row>
    <row r="1039" spans="1:59" ht="15.75" customHeight="1" x14ac:dyDescent="0.2">
      <c r="A1039" s="162"/>
      <c r="B1039" s="162"/>
      <c r="C1039" s="206"/>
      <c r="D1039" s="262"/>
      <c r="E1039" s="262"/>
      <c r="F1039" s="262"/>
      <c r="G1039" s="262"/>
      <c r="H1039" s="262"/>
      <c r="I1039" s="262"/>
      <c r="J1039" s="262"/>
      <c r="K1039" s="262"/>
      <c r="L1039" s="262"/>
      <c r="M1039" s="262"/>
      <c r="N1039" s="262"/>
      <c r="O1039" s="262"/>
      <c r="P1039" s="262"/>
      <c r="Q1039" s="262"/>
      <c r="R1039" s="262"/>
      <c r="S1039" s="262"/>
      <c r="T1039" s="262"/>
      <c r="U1039" s="262"/>
      <c r="V1039" s="262"/>
      <c r="W1039" s="262"/>
      <c r="X1039" s="262"/>
      <c r="Y1039" s="262"/>
      <c r="Z1039" s="262"/>
      <c r="AA1039" s="262"/>
      <c r="AB1039" s="262"/>
      <c r="AC1039" s="262"/>
      <c r="AD1039" s="262"/>
      <c r="AE1039" s="262"/>
      <c r="AF1039" s="147"/>
      <c r="AG1039" s="147"/>
      <c r="AH1039" s="147"/>
      <c r="AI1039" s="231"/>
      <c r="AJ1039" s="189"/>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row>
    <row r="1040" spans="1:59" ht="15.75" customHeight="1" x14ac:dyDescent="0.2">
      <c r="A1040" s="162"/>
      <c r="B1040" s="162"/>
      <c r="C1040" s="206"/>
      <c r="D1040" s="262"/>
      <c r="E1040" s="262"/>
      <c r="F1040" s="262"/>
      <c r="G1040" s="262"/>
      <c r="H1040" s="262"/>
      <c r="I1040" s="262"/>
      <c r="J1040" s="262"/>
      <c r="K1040" s="262"/>
      <c r="L1040" s="262"/>
      <c r="M1040" s="262"/>
      <c r="N1040" s="262"/>
      <c r="O1040" s="262"/>
      <c r="P1040" s="262"/>
      <c r="Q1040" s="262"/>
      <c r="R1040" s="262"/>
      <c r="S1040" s="262"/>
      <c r="T1040" s="262"/>
      <c r="U1040" s="262"/>
      <c r="V1040" s="262"/>
      <c r="W1040" s="262"/>
      <c r="X1040" s="262"/>
      <c r="Y1040" s="262"/>
      <c r="Z1040" s="262"/>
      <c r="AA1040" s="262"/>
      <c r="AB1040" s="262"/>
      <c r="AC1040" s="262"/>
      <c r="AD1040" s="262"/>
      <c r="AE1040" s="262"/>
      <c r="AF1040" s="147"/>
      <c r="AG1040" s="147"/>
      <c r="AH1040" s="147"/>
      <c r="AI1040" s="84"/>
      <c r="AJ1040" s="189"/>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row>
    <row r="1041" spans="1:59" ht="15.75" customHeight="1" x14ac:dyDescent="0.2">
      <c r="A1041" s="162"/>
      <c r="B1041" s="162"/>
      <c r="C1041" s="206"/>
      <c r="D1041" s="262"/>
      <c r="E1041" s="262"/>
      <c r="F1041" s="262"/>
      <c r="G1041" s="262"/>
      <c r="H1041" s="262"/>
      <c r="I1041" s="262"/>
      <c r="J1041" s="262"/>
      <c r="K1041" s="262"/>
      <c r="L1041" s="262"/>
      <c r="M1041" s="262"/>
      <c r="N1041" s="262"/>
      <c r="O1041" s="262"/>
      <c r="P1041" s="262"/>
      <c r="Q1041" s="262"/>
      <c r="R1041" s="262"/>
      <c r="S1041" s="262"/>
      <c r="T1041" s="262"/>
      <c r="U1041" s="262"/>
      <c r="V1041" s="262"/>
      <c r="W1041" s="262"/>
      <c r="X1041" s="262"/>
      <c r="Y1041" s="262"/>
      <c r="Z1041" s="262"/>
      <c r="AA1041" s="262"/>
      <c r="AB1041" s="262"/>
      <c r="AC1041" s="262"/>
      <c r="AD1041" s="262"/>
      <c r="AE1041" s="262"/>
      <c r="AF1041" s="147"/>
      <c r="AG1041" s="147"/>
      <c r="AH1041" s="147"/>
      <c r="AI1041" s="189"/>
      <c r="AJ1041" s="189"/>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row>
    <row r="1042" spans="1:59" ht="15.75" customHeight="1" x14ac:dyDescent="0.2">
      <c r="A1042" s="162"/>
      <c r="B1042" s="162"/>
      <c r="C1042" s="206"/>
      <c r="D1042" s="262"/>
      <c r="E1042" s="262"/>
      <c r="F1042" s="262"/>
      <c r="G1042" s="262"/>
      <c r="H1042" s="262"/>
      <c r="I1042" s="262"/>
      <c r="J1042" s="262"/>
      <c r="K1042" s="262"/>
      <c r="L1042" s="262"/>
      <c r="M1042" s="262"/>
      <c r="N1042" s="262"/>
      <c r="O1042" s="262"/>
      <c r="P1042" s="262"/>
      <c r="Q1042" s="262"/>
      <c r="R1042" s="262"/>
      <c r="S1042" s="262"/>
      <c r="T1042" s="262"/>
      <c r="U1042" s="262"/>
      <c r="V1042" s="262"/>
      <c r="W1042" s="262"/>
      <c r="X1042" s="262"/>
      <c r="Y1042" s="262"/>
      <c r="Z1042" s="262"/>
      <c r="AA1042" s="262"/>
      <c r="AB1042" s="262"/>
      <c r="AC1042" s="262"/>
      <c r="AD1042" s="262"/>
      <c r="AE1042" s="262"/>
      <c r="AF1042" s="147"/>
      <c r="AG1042" s="147"/>
      <c r="AH1042" s="147"/>
      <c r="AI1042" s="189"/>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row>
    <row r="1043" spans="1:59" ht="15.75" customHeight="1" x14ac:dyDescent="0.2">
      <c r="A1043" s="162"/>
      <c r="B1043" s="162"/>
      <c r="C1043" s="206"/>
      <c r="D1043" s="262"/>
      <c r="E1043" s="262"/>
      <c r="F1043" s="262"/>
      <c r="G1043" s="262"/>
      <c r="H1043" s="262"/>
      <c r="I1043" s="262"/>
      <c r="J1043" s="262"/>
      <c r="K1043" s="262"/>
      <c r="L1043" s="262"/>
      <c r="M1043" s="262"/>
      <c r="N1043" s="262"/>
      <c r="O1043" s="262"/>
      <c r="P1043" s="262"/>
      <c r="Q1043" s="262"/>
      <c r="R1043" s="262"/>
      <c r="S1043" s="262"/>
      <c r="T1043" s="262"/>
      <c r="U1043" s="262"/>
      <c r="V1043" s="262"/>
      <c r="W1043" s="262"/>
      <c r="X1043" s="262"/>
      <c r="Y1043" s="262"/>
      <c r="Z1043" s="262"/>
      <c r="AA1043" s="262"/>
      <c r="AB1043" s="262"/>
      <c r="AC1043" s="262"/>
      <c r="AD1043" s="262"/>
      <c r="AE1043" s="262"/>
      <c r="AF1043" s="147"/>
      <c r="AG1043" s="147"/>
      <c r="AH1043" s="147"/>
      <c r="AI1043" s="189"/>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row>
    <row r="1044" spans="1:59" ht="15.75" customHeight="1" x14ac:dyDescent="0.2">
      <c r="A1044" s="162"/>
      <c r="B1044" s="162"/>
      <c r="C1044" s="206"/>
      <c r="D1044" s="262"/>
      <c r="E1044" s="262"/>
      <c r="F1044" s="262"/>
      <c r="G1044" s="262"/>
      <c r="H1044" s="262"/>
      <c r="I1044" s="262"/>
      <c r="J1044" s="262"/>
      <c r="K1044" s="262"/>
      <c r="L1044" s="262"/>
      <c r="M1044" s="262"/>
      <c r="N1044" s="262"/>
      <c r="O1044" s="262"/>
      <c r="P1044" s="262"/>
      <c r="Q1044" s="262"/>
      <c r="R1044" s="262"/>
      <c r="S1044" s="262"/>
      <c r="T1044" s="262"/>
      <c r="U1044" s="262"/>
      <c r="V1044" s="262"/>
      <c r="W1044" s="262"/>
      <c r="X1044" s="262"/>
      <c r="Y1044" s="262"/>
      <c r="Z1044" s="262"/>
      <c r="AA1044" s="262"/>
      <c r="AB1044" s="262"/>
      <c r="AC1044" s="262"/>
      <c r="AD1044" s="262"/>
      <c r="AE1044" s="262"/>
      <c r="AF1044" s="147"/>
      <c r="AG1044" s="147"/>
      <c r="AH1044" s="147"/>
      <c r="AI1044" s="189"/>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row>
    <row r="1045" spans="1:59" ht="15.75" customHeight="1" x14ac:dyDescent="0.2">
      <c r="A1045" s="162"/>
      <c r="B1045" s="162"/>
      <c r="C1045" s="206"/>
      <c r="D1045" s="262"/>
      <c r="E1045" s="262"/>
      <c r="F1045" s="262"/>
      <c r="G1045" s="262"/>
      <c r="H1045" s="262"/>
      <c r="I1045" s="262"/>
      <c r="J1045" s="262"/>
      <c r="K1045" s="262"/>
      <c r="L1045" s="262"/>
      <c r="M1045" s="262"/>
      <c r="N1045" s="262"/>
      <c r="O1045" s="262"/>
      <c r="P1045" s="262"/>
      <c r="Q1045" s="262"/>
      <c r="R1045" s="262"/>
      <c r="S1045" s="262"/>
      <c r="T1045" s="262"/>
      <c r="U1045" s="262"/>
      <c r="V1045" s="262"/>
      <c r="W1045" s="262"/>
      <c r="X1045" s="262"/>
      <c r="Y1045" s="262"/>
      <c r="Z1045" s="262"/>
      <c r="AA1045" s="262"/>
      <c r="AB1045" s="262"/>
      <c r="AC1045" s="262"/>
      <c r="AD1045" s="262"/>
      <c r="AE1045" s="262"/>
      <c r="AF1045" s="147"/>
      <c r="AG1045" s="147"/>
      <c r="AH1045" s="147"/>
      <c r="AI1045" s="189"/>
      <c r="AJ1045" s="189"/>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row>
    <row r="1046" spans="1:59" ht="15.75" customHeight="1" x14ac:dyDescent="0.2">
      <c r="A1046" s="162"/>
      <c r="B1046" s="162"/>
      <c r="C1046" s="206"/>
      <c r="D1046" s="262"/>
      <c r="E1046" s="262"/>
      <c r="F1046" s="262"/>
      <c r="G1046" s="262"/>
      <c r="H1046" s="262"/>
      <c r="I1046" s="262"/>
      <c r="J1046" s="262"/>
      <c r="K1046" s="262"/>
      <c r="L1046" s="262"/>
      <c r="M1046" s="262"/>
      <c r="N1046" s="262"/>
      <c r="O1046" s="262"/>
      <c r="P1046" s="262"/>
      <c r="Q1046" s="262"/>
      <c r="R1046" s="262"/>
      <c r="S1046" s="262"/>
      <c r="T1046" s="262"/>
      <c r="U1046" s="262"/>
      <c r="V1046" s="262"/>
      <c r="W1046" s="262"/>
      <c r="X1046" s="262"/>
      <c r="Y1046" s="262"/>
      <c r="Z1046" s="262"/>
      <c r="AA1046" s="262"/>
      <c r="AB1046" s="262"/>
      <c r="AC1046" s="262"/>
      <c r="AD1046" s="262"/>
      <c r="AE1046" s="262"/>
      <c r="AF1046" s="147"/>
      <c r="AG1046" s="147"/>
      <c r="AH1046" s="147"/>
      <c r="AI1046" s="195"/>
      <c r="AJ1046" s="189"/>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row>
    <row r="1047" spans="1:59" ht="15.75" customHeight="1" x14ac:dyDescent="0.2">
      <c r="A1047" s="162"/>
      <c r="B1047" s="162"/>
      <c r="C1047" s="206"/>
      <c r="D1047" s="262"/>
      <c r="E1047" s="262"/>
      <c r="F1047" s="262"/>
      <c r="G1047" s="262"/>
      <c r="H1047" s="262"/>
      <c r="I1047" s="262"/>
      <c r="J1047" s="262"/>
      <c r="K1047" s="262"/>
      <c r="L1047" s="262"/>
      <c r="M1047" s="262"/>
      <c r="N1047" s="262"/>
      <c r="O1047" s="262"/>
      <c r="P1047" s="262"/>
      <c r="Q1047" s="262"/>
      <c r="R1047" s="262"/>
      <c r="S1047" s="262"/>
      <c r="T1047" s="262"/>
      <c r="U1047" s="262"/>
      <c r="V1047" s="262"/>
      <c r="W1047" s="262"/>
      <c r="X1047" s="262"/>
      <c r="Y1047" s="262"/>
      <c r="Z1047" s="262"/>
      <c r="AA1047" s="262"/>
      <c r="AB1047" s="262"/>
      <c r="AC1047" s="262"/>
      <c r="AD1047" s="262"/>
      <c r="AE1047" s="262"/>
      <c r="AF1047" s="147"/>
      <c r="AG1047" s="147"/>
      <c r="AH1047" s="147"/>
      <c r="AI1047" s="189"/>
      <c r="AJ1047" s="189"/>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row>
    <row r="1048" spans="1:59" ht="15.75" customHeight="1" x14ac:dyDescent="0.2">
      <c r="A1048" s="162"/>
      <c r="B1048" s="162"/>
      <c r="C1048" s="206"/>
      <c r="D1048" s="262"/>
      <c r="E1048" s="262"/>
      <c r="F1048" s="262"/>
      <c r="G1048" s="262"/>
      <c r="H1048" s="262"/>
      <c r="I1048" s="262"/>
      <c r="J1048" s="262"/>
      <c r="K1048" s="262"/>
      <c r="L1048" s="262"/>
      <c r="M1048" s="262"/>
      <c r="N1048" s="262"/>
      <c r="O1048" s="262"/>
      <c r="P1048" s="262"/>
      <c r="Q1048" s="262"/>
      <c r="R1048" s="262"/>
      <c r="S1048" s="262"/>
      <c r="T1048" s="262"/>
      <c r="U1048" s="262"/>
      <c r="V1048" s="262"/>
      <c r="W1048" s="262"/>
      <c r="X1048" s="262"/>
      <c r="Y1048" s="262"/>
      <c r="Z1048" s="262"/>
      <c r="AA1048" s="262"/>
      <c r="AB1048" s="262"/>
      <c r="AC1048" s="262"/>
      <c r="AD1048" s="262"/>
      <c r="AE1048" s="262"/>
      <c r="AF1048" s="147"/>
      <c r="AG1048" s="147"/>
      <c r="AH1048" s="147"/>
      <c r="AI1048" s="147"/>
      <c r="AJ1048" s="189"/>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row>
    <row r="1049" spans="1:59" ht="15.75" customHeight="1" x14ac:dyDescent="0.2">
      <c r="A1049" s="162"/>
      <c r="B1049" s="162"/>
      <c r="C1049" s="206"/>
      <c r="D1049" s="262"/>
      <c r="E1049" s="262"/>
      <c r="F1049" s="262"/>
      <c r="G1049" s="262"/>
      <c r="H1049" s="262"/>
      <c r="I1049" s="262"/>
      <c r="J1049" s="262"/>
      <c r="K1049" s="262"/>
      <c r="L1049" s="262"/>
      <c r="M1049" s="262"/>
      <c r="N1049" s="262"/>
      <c r="O1049" s="262"/>
      <c r="P1049" s="262"/>
      <c r="Q1049" s="262"/>
      <c r="R1049" s="262"/>
      <c r="S1049" s="262"/>
      <c r="T1049" s="262"/>
      <c r="U1049" s="262"/>
      <c r="V1049" s="262"/>
      <c r="W1049" s="262"/>
      <c r="X1049" s="262"/>
      <c r="Y1049" s="262"/>
      <c r="Z1049" s="262"/>
      <c r="AA1049" s="262"/>
      <c r="AB1049" s="262"/>
      <c r="AC1049" s="262"/>
      <c r="AD1049" s="262"/>
      <c r="AE1049" s="262"/>
      <c r="AF1049" s="147"/>
      <c r="AG1049" s="147"/>
      <c r="AH1049" s="147"/>
      <c r="AI1049" s="147"/>
      <c r="AJ1049" s="189"/>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row>
    <row r="1050" spans="1:59" ht="15.75" customHeight="1" x14ac:dyDescent="0.2">
      <c r="A1050" s="162"/>
      <c r="B1050" s="162"/>
      <c r="C1050" s="206"/>
      <c r="D1050" s="262"/>
      <c r="E1050" s="262"/>
      <c r="F1050" s="262"/>
      <c r="G1050" s="262"/>
      <c r="H1050" s="262"/>
      <c r="I1050" s="262"/>
      <c r="J1050" s="262"/>
      <c r="K1050" s="262"/>
      <c r="L1050" s="262"/>
      <c r="M1050" s="262"/>
      <c r="N1050" s="262"/>
      <c r="O1050" s="262"/>
      <c r="P1050" s="262"/>
      <c r="Q1050" s="262"/>
      <c r="R1050" s="262"/>
      <c r="S1050" s="262"/>
      <c r="T1050" s="262"/>
      <c r="U1050" s="262"/>
      <c r="V1050" s="262"/>
      <c r="W1050" s="262"/>
      <c r="X1050" s="262"/>
      <c r="Y1050" s="262"/>
      <c r="Z1050" s="262"/>
      <c r="AA1050" s="262"/>
      <c r="AB1050" s="262"/>
      <c r="AC1050" s="262"/>
      <c r="AD1050" s="262"/>
      <c r="AE1050" s="262"/>
      <c r="AF1050" s="147"/>
      <c r="AG1050" s="147"/>
      <c r="AH1050" s="147"/>
      <c r="AI1050" s="189"/>
      <c r="AJ1050" s="189"/>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row>
    <row r="1051" spans="1:59" ht="15.75" customHeight="1" x14ac:dyDescent="0.2">
      <c r="A1051" s="162"/>
      <c r="B1051" s="162"/>
      <c r="C1051" s="206"/>
      <c r="D1051" s="262"/>
      <c r="E1051" s="262"/>
      <c r="F1051" s="262"/>
      <c r="G1051" s="262"/>
      <c r="H1051" s="262"/>
      <c r="I1051" s="262"/>
      <c r="J1051" s="262"/>
      <c r="K1051" s="262"/>
      <c r="L1051" s="262"/>
      <c r="M1051" s="262"/>
      <c r="N1051" s="262"/>
      <c r="O1051" s="262"/>
      <c r="P1051" s="262"/>
      <c r="Q1051" s="262"/>
      <c r="R1051" s="262"/>
      <c r="S1051" s="262"/>
      <c r="T1051" s="262"/>
      <c r="U1051" s="262"/>
      <c r="V1051" s="262"/>
      <c r="W1051" s="262"/>
      <c r="X1051" s="262"/>
      <c r="Y1051" s="262"/>
      <c r="Z1051" s="262"/>
      <c r="AA1051" s="262"/>
      <c r="AB1051" s="262"/>
      <c r="AC1051" s="262"/>
      <c r="AD1051" s="262"/>
      <c r="AE1051" s="262"/>
      <c r="AF1051" s="147"/>
      <c r="AG1051" s="147"/>
      <c r="AH1051" s="147"/>
      <c r="AI1051" s="189"/>
      <c r="AJ1051" s="189"/>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row>
    <row r="1052" spans="1:59" ht="15.75" customHeight="1" x14ac:dyDescent="0.2">
      <c r="A1052" s="162"/>
      <c r="B1052" s="162"/>
      <c r="C1052" s="206"/>
      <c r="D1052" s="262"/>
      <c r="E1052" s="262"/>
      <c r="F1052" s="262"/>
      <c r="G1052" s="262"/>
      <c r="H1052" s="262"/>
      <c r="I1052" s="262"/>
      <c r="J1052" s="262"/>
      <c r="K1052" s="262"/>
      <c r="L1052" s="262"/>
      <c r="M1052" s="262"/>
      <c r="N1052" s="262"/>
      <c r="O1052" s="262"/>
      <c r="P1052" s="262"/>
      <c r="Q1052" s="262"/>
      <c r="R1052" s="262"/>
      <c r="S1052" s="262"/>
      <c r="T1052" s="262"/>
      <c r="U1052" s="262"/>
      <c r="V1052" s="262"/>
      <c r="W1052" s="262"/>
      <c r="X1052" s="262"/>
      <c r="Y1052" s="262"/>
      <c r="Z1052" s="262"/>
      <c r="AA1052" s="262"/>
      <c r="AB1052" s="262"/>
      <c r="AC1052" s="262"/>
      <c r="AD1052" s="262"/>
      <c r="AE1052" s="262"/>
      <c r="AF1052" s="147"/>
      <c r="AG1052" s="147"/>
      <c r="AH1052" s="147"/>
      <c r="AI1052" s="189"/>
      <c r="AJ1052" s="162"/>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row>
    <row r="1053" spans="1:59" ht="15.75" customHeight="1" x14ac:dyDescent="0.2">
      <c r="A1053" s="162"/>
      <c r="B1053" s="162"/>
      <c r="C1053" s="206"/>
      <c r="D1053" s="262"/>
      <c r="E1053" s="262"/>
      <c r="F1053" s="262"/>
      <c r="G1053" s="262"/>
      <c r="H1053" s="262"/>
      <c r="I1053" s="262"/>
      <c r="J1053" s="262"/>
      <c r="K1053" s="262"/>
      <c r="L1053" s="262"/>
      <c r="M1053" s="262"/>
      <c r="N1053" s="262"/>
      <c r="O1053" s="262"/>
      <c r="P1053" s="262"/>
      <c r="Q1053" s="262"/>
      <c r="R1053" s="262"/>
      <c r="S1053" s="262"/>
      <c r="T1053" s="262"/>
      <c r="U1053" s="262"/>
      <c r="V1053" s="262"/>
      <c r="W1053" s="262"/>
      <c r="X1053" s="262"/>
      <c r="Y1053" s="262"/>
      <c r="Z1053" s="262"/>
      <c r="AA1053" s="262"/>
      <c r="AB1053" s="262"/>
      <c r="AC1053" s="262"/>
      <c r="AD1053" s="262"/>
      <c r="AE1053" s="262"/>
      <c r="AF1053" s="147"/>
      <c r="AG1053" s="147"/>
      <c r="AH1053" s="147"/>
      <c r="AI1053" s="189"/>
      <c r="AJ1053" s="189"/>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row>
    <row r="1054" spans="1:59" ht="15.75" customHeight="1" x14ac:dyDescent="0.2">
      <c r="A1054" s="162"/>
      <c r="B1054" s="162"/>
      <c r="C1054" s="206"/>
      <c r="D1054" s="262"/>
      <c r="E1054" s="262"/>
      <c r="F1054" s="262"/>
      <c r="G1054" s="262"/>
      <c r="H1054" s="262"/>
      <c r="I1054" s="262"/>
      <c r="J1054" s="262"/>
      <c r="K1054" s="262"/>
      <c r="L1054" s="262"/>
      <c r="M1054" s="262"/>
      <c r="N1054" s="262"/>
      <c r="O1054" s="262"/>
      <c r="P1054" s="262"/>
      <c r="Q1054" s="262"/>
      <c r="R1054" s="262"/>
      <c r="S1054" s="262"/>
      <c r="T1054" s="262"/>
      <c r="U1054" s="262"/>
      <c r="V1054" s="262"/>
      <c r="W1054" s="262"/>
      <c r="X1054" s="262"/>
      <c r="Y1054" s="262"/>
      <c r="Z1054" s="262"/>
      <c r="AA1054" s="262"/>
      <c r="AB1054" s="262"/>
      <c r="AC1054" s="262"/>
      <c r="AD1054" s="262"/>
      <c r="AE1054" s="262"/>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row>
    <row r="1055" spans="1:59" ht="15.75" customHeight="1" x14ac:dyDescent="0.2">
      <c r="A1055" s="162"/>
      <c r="B1055" s="162"/>
      <c r="C1055" s="206"/>
      <c r="D1055" s="262"/>
      <c r="E1055" s="262"/>
      <c r="F1055" s="262"/>
      <c r="G1055" s="262"/>
      <c r="H1055" s="262"/>
      <c r="I1055" s="262"/>
      <c r="J1055" s="262"/>
      <c r="K1055" s="262"/>
      <c r="L1055" s="262"/>
      <c r="M1055" s="262"/>
      <c r="N1055" s="262"/>
      <c r="O1055" s="262"/>
      <c r="P1055" s="262"/>
      <c r="Q1055" s="262"/>
      <c r="R1055" s="262"/>
      <c r="S1055" s="262"/>
      <c r="T1055" s="262"/>
      <c r="U1055" s="262"/>
      <c r="V1055" s="262"/>
      <c r="W1055" s="262"/>
      <c r="X1055" s="262"/>
      <c r="Y1055" s="262"/>
      <c r="Z1055" s="262"/>
      <c r="AA1055" s="262"/>
      <c r="AB1055" s="262"/>
      <c r="AC1055" s="262"/>
      <c r="AD1055" s="262"/>
      <c r="AE1055" s="262"/>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row>
    <row r="1056" spans="1:59" ht="15.75" customHeight="1" x14ac:dyDescent="0.2">
      <c r="A1056" s="162"/>
      <c r="B1056" s="162"/>
      <c r="C1056" s="206"/>
      <c r="D1056" s="262"/>
      <c r="E1056" s="262"/>
      <c r="F1056" s="262"/>
      <c r="G1056" s="262"/>
      <c r="H1056" s="262"/>
      <c r="I1056" s="262"/>
      <c r="J1056" s="262"/>
      <c r="K1056" s="262"/>
      <c r="L1056" s="262"/>
      <c r="M1056" s="262"/>
      <c r="N1056" s="262"/>
      <c r="O1056" s="262"/>
      <c r="P1056" s="262"/>
      <c r="Q1056" s="262"/>
      <c r="R1056" s="262"/>
      <c r="S1056" s="262"/>
      <c r="T1056" s="262"/>
      <c r="U1056" s="262"/>
      <c r="V1056" s="262"/>
      <c r="W1056" s="262"/>
      <c r="X1056" s="262"/>
      <c r="Y1056" s="262"/>
      <c r="Z1056" s="262"/>
      <c r="AA1056" s="262"/>
      <c r="AB1056" s="262"/>
      <c r="AC1056" s="262"/>
      <c r="AD1056" s="262"/>
      <c r="AE1056" s="262"/>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row>
    <row r="1057" spans="1:59" ht="15.75" customHeight="1" x14ac:dyDescent="0.2">
      <c r="A1057" s="162"/>
      <c r="B1057" s="162"/>
      <c r="C1057" s="206"/>
      <c r="D1057" s="262"/>
      <c r="E1057" s="262"/>
      <c r="F1057" s="262"/>
      <c r="G1057" s="262"/>
      <c r="H1057" s="262"/>
      <c r="I1057" s="262"/>
      <c r="J1057" s="262"/>
      <c r="K1057" s="262"/>
      <c r="L1057" s="262"/>
      <c r="M1057" s="262"/>
      <c r="N1057" s="262"/>
      <c r="O1057" s="262"/>
      <c r="P1057" s="262"/>
      <c r="Q1057" s="262"/>
      <c r="R1057" s="262"/>
      <c r="S1057" s="262"/>
      <c r="T1057" s="262"/>
      <c r="U1057" s="262"/>
      <c r="V1057" s="262"/>
      <c r="W1057" s="262"/>
      <c r="X1057" s="262"/>
      <c r="Y1057" s="262"/>
      <c r="Z1057" s="262"/>
      <c r="AA1057" s="262"/>
      <c r="AB1057" s="262"/>
      <c r="AC1057" s="262"/>
      <c r="AD1057" s="262"/>
      <c r="AE1057" s="262"/>
      <c r="AF1057" s="147"/>
      <c r="AG1057" s="147"/>
      <c r="AH1057" s="147"/>
      <c r="AI1057" s="189"/>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row>
    <row r="1058" spans="1:59" ht="15.75" customHeight="1" x14ac:dyDescent="0.2">
      <c r="A1058" s="162"/>
      <c r="B1058" s="162"/>
      <c r="C1058" s="206"/>
      <c r="D1058" s="262"/>
      <c r="E1058" s="262"/>
      <c r="F1058" s="262"/>
      <c r="G1058" s="262"/>
      <c r="H1058" s="262"/>
      <c r="I1058" s="262"/>
      <c r="J1058" s="262"/>
      <c r="K1058" s="262"/>
      <c r="L1058" s="262"/>
      <c r="M1058" s="262"/>
      <c r="N1058" s="262"/>
      <c r="O1058" s="262"/>
      <c r="P1058" s="262"/>
      <c r="Q1058" s="262"/>
      <c r="R1058" s="262"/>
      <c r="S1058" s="262"/>
      <c r="T1058" s="262"/>
      <c r="U1058" s="262"/>
      <c r="V1058" s="262"/>
      <c r="W1058" s="262"/>
      <c r="X1058" s="262"/>
      <c r="Y1058" s="262"/>
      <c r="Z1058" s="262"/>
      <c r="AA1058" s="262"/>
      <c r="AB1058" s="262"/>
      <c r="AC1058" s="262"/>
      <c r="AD1058" s="262"/>
      <c r="AE1058" s="262"/>
      <c r="AF1058" s="147"/>
      <c r="AG1058" s="147"/>
      <c r="AH1058" s="147"/>
      <c r="AI1058" s="189"/>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row>
    <row r="1059" spans="1:59" ht="15.75" customHeight="1" x14ac:dyDescent="0.2">
      <c r="A1059" s="162"/>
      <c r="B1059" s="162"/>
      <c r="C1059" s="206"/>
      <c r="D1059" s="262"/>
      <c r="E1059" s="262"/>
      <c r="F1059" s="262"/>
      <c r="G1059" s="262"/>
      <c r="H1059" s="262"/>
      <c r="I1059" s="262"/>
      <c r="J1059" s="262"/>
      <c r="K1059" s="262"/>
      <c r="L1059" s="262"/>
      <c r="M1059" s="262"/>
      <c r="N1059" s="262"/>
      <c r="O1059" s="262"/>
      <c r="P1059" s="262"/>
      <c r="Q1059" s="262"/>
      <c r="R1059" s="262"/>
      <c r="S1059" s="262"/>
      <c r="T1059" s="262"/>
      <c r="U1059" s="262"/>
      <c r="V1059" s="262"/>
      <c r="W1059" s="262"/>
      <c r="X1059" s="262"/>
      <c r="Y1059" s="262"/>
      <c r="Z1059" s="262"/>
      <c r="AA1059" s="262"/>
      <c r="AB1059" s="262"/>
      <c r="AC1059" s="262"/>
      <c r="AD1059" s="262"/>
      <c r="AE1059" s="262"/>
      <c r="AF1059" s="147"/>
      <c r="AG1059" s="147"/>
      <c r="AH1059" s="147"/>
      <c r="AI1059" s="189"/>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row>
    <row r="1060" spans="1:59" ht="15.75" customHeight="1" x14ac:dyDescent="0.2">
      <c r="A1060" s="162"/>
      <c r="B1060" s="162"/>
      <c r="C1060" s="206"/>
      <c r="D1060" s="262"/>
      <c r="E1060" s="262"/>
      <c r="F1060" s="262"/>
      <c r="G1060" s="262"/>
      <c r="H1060" s="262"/>
      <c r="I1060" s="262"/>
      <c r="J1060" s="262"/>
      <c r="K1060" s="262"/>
      <c r="L1060" s="262"/>
      <c r="M1060" s="262"/>
      <c r="N1060" s="262"/>
      <c r="O1060" s="262"/>
      <c r="P1060" s="262"/>
      <c r="Q1060" s="262"/>
      <c r="R1060" s="262"/>
      <c r="S1060" s="262"/>
      <c r="T1060" s="262"/>
      <c r="U1060" s="262"/>
      <c r="V1060" s="262"/>
      <c r="W1060" s="262"/>
      <c r="X1060" s="262"/>
      <c r="Y1060" s="262"/>
      <c r="Z1060" s="262"/>
      <c r="AA1060" s="262"/>
      <c r="AB1060" s="262"/>
      <c r="AC1060" s="262"/>
      <c r="AD1060" s="262"/>
      <c r="AE1060" s="262"/>
      <c r="AF1060" s="147"/>
      <c r="AG1060" s="147"/>
      <c r="AH1060" s="147"/>
      <c r="AI1060" s="189"/>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row>
    <row r="1061" spans="1:59" ht="15.75" customHeight="1" x14ac:dyDescent="0.2">
      <c r="A1061" s="162"/>
      <c r="B1061" s="162"/>
      <c r="C1061" s="206"/>
      <c r="D1061" s="262"/>
      <c r="E1061" s="262"/>
      <c r="F1061" s="262"/>
      <c r="G1061" s="262"/>
      <c r="H1061" s="262"/>
      <c r="I1061" s="262"/>
      <c r="J1061" s="262"/>
      <c r="K1061" s="262"/>
      <c r="L1061" s="262"/>
      <c r="M1061" s="262"/>
      <c r="N1061" s="262"/>
      <c r="O1061" s="262"/>
      <c r="P1061" s="262"/>
      <c r="Q1061" s="262"/>
      <c r="R1061" s="262"/>
      <c r="S1061" s="262"/>
      <c r="T1061" s="262"/>
      <c r="U1061" s="262"/>
      <c r="V1061" s="262"/>
      <c r="W1061" s="262"/>
      <c r="X1061" s="262"/>
      <c r="Y1061" s="262"/>
      <c r="Z1061" s="262"/>
      <c r="AA1061" s="262"/>
      <c r="AB1061" s="262"/>
      <c r="AC1061" s="262"/>
      <c r="AD1061" s="262"/>
      <c r="AE1061" s="262"/>
      <c r="AF1061" s="147"/>
      <c r="AG1061" s="147"/>
      <c r="AH1061" s="147"/>
      <c r="AI1061" s="189"/>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row>
    <row r="1062" spans="1:59" ht="15.75" customHeight="1" x14ac:dyDescent="0.2">
      <c r="A1062" s="162"/>
      <c r="B1062" s="162"/>
      <c r="C1062" s="206"/>
      <c r="D1062" s="262"/>
      <c r="E1062" s="262"/>
      <c r="F1062" s="262"/>
      <c r="G1062" s="262"/>
      <c r="H1062" s="262"/>
      <c r="I1062" s="262"/>
      <c r="J1062" s="262"/>
      <c r="K1062" s="262"/>
      <c r="L1062" s="262"/>
      <c r="M1062" s="262"/>
      <c r="N1062" s="262"/>
      <c r="O1062" s="262"/>
      <c r="P1062" s="262"/>
      <c r="Q1062" s="262"/>
      <c r="R1062" s="262"/>
      <c r="S1062" s="262"/>
      <c r="T1062" s="262"/>
      <c r="U1062" s="262"/>
      <c r="V1062" s="262"/>
      <c r="W1062" s="262"/>
      <c r="X1062" s="262"/>
      <c r="Y1062" s="262"/>
      <c r="Z1062" s="262"/>
      <c r="AA1062" s="262"/>
      <c r="AB1062" s="262"/>
      <c r="AC1062" s="262"/>
      <c r="AD1062" s="262"/>
      <c r="AE1062" s="262"/>
      <c r="AF1062" s="147"/>
      <c r="AG1062" s="147"/>
      <c r="AH1062" s="147"/>
      <c r="AI1062" s="189"/>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row>
    <row r="1063" spans="1:59" ht="15.75" customHeight="1" x14ac:dyDescent="0.2">
      <c r="A1063" s="162"/>
      <c r="B1063" s="162"/>
      <c r="C1063" s="206"/>
      <c r="D1063" s="262"/>
      <c r="E1063" s="262"/>
      <c r="F1063" s="262"/>
      <c r="G1063" s="262"/>
      <c r="H1063" s="262"/>
      <c r="I1063" s="262"/>
      <c r="J1063" s="262"/>
      <c r="K1063" s="262"/>
      <c r="L1063" s="262"/>
      <c r="M1063" s="262"/>
      <c r="N1063" s="262"/>
      <c r="O1063" s="262"/>
      <c r="P1063" s="262"/>
      <c r="Q1063" s="262"/>
      <c r="R1063" s="262"/>
      <c r="S1063" s="262"/>
      <c r="T1063" s="262"/>
      <c r="U1063" s="262"/>
      <c r="V1063" s="262"/>
      <c r="W1063" s="262"/>
      <c r="X1063" s="262"/>
      <c r="Y1063" s="262"/>
      <c r="Z1063" s="262"/>
      <c r="AA1063" s="262"/>
      <c r="AB1063" s="262"/>
      <c r="AC1063" s="262"/>
      <c r="AD1063" s="262"/>
      <c r="AE1063" s="262"/>
      <c r="AF1063" s="147"/>
      <c r="AG1063" s="147"/>
      <c r="AH1063" s="147"/>
      <c r="AI1063" s="189"/>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row>
    <row r="1064" spans="1:59" ht="15.75" customHeight="1" x14ac:dyDescent="0.2">
      <c r="A1064" s="162"/>
      <c r="B1064" s="162"/>
      <c r="C1064" s="206"/>
      <c r="D1064" s="262"/>
      <c r="E1064" s="262"/>
      <c r="F1064" s="262"/>
      <c r="G1064" s="262"/>
      <c r="H1064" s="262"/>
      <c r="I1064" s="262"/>
      <c r="J1064" s="262"/>
      <c r="K1064" s="262"/>
      <c r="L1064" s="262"/>
      <c r="M1064" s="262"/>
      <c r="N1064" s="262"/>
      <c r="O1064" s="262"/>
      <c r="P1064" s="262"/>
      <c r="Q1064" s="262"/>
      <c r="R1064" s="262"/>
      <c r="S1064" s="262"/>
      <c r="T1064" s="262"/>
      <c r="U1064" s="262"/>
      <c r="V1064" s="262"/>
      <c r="W1064" s="262"/>
      <c r="X1064" s="262"/>
      <c r="Y1064" s="262"/>
      <c r="Z1064" s="262"/>
      <c r="AA1064" s="262"/>
      <c r="AB1064" s="262"/>
      <c r="AC1064" s="262"/>
      <c r="AD1064" s="262"/>
      <c r="AE1064" s="262"/>
      <c r="AF1064" s="147"/>
      <c r="AG1064" s="147"/>
      <c r="AH1064" s="147"/>
      <c r="AI1064" s="162"/>
      <c r="AJ1064" s="195"/>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row>
    <row r="1065" spans="1:59" ht="15.75" customHeight="1" x14ac:dyDescent="0.2">
      <c r="A1065" s="162"/>
      <c r="B1065" s="162"/>
      <c r="C1065" s="206"/>
      <c r="D1065" s="262"/>
      <c r="E1065" s="262"/>
      <c r="F1065" s="262"/>
      <c r="G1065" s="262"/>
      <c r="H1065" s="262"/>
      <c r="I1065" s="262"/>
      <c r="J1065" s="262"/>
      <c r="K1065" s="262"/>
      <c r="L1065" s="262"/>
      <c r="M1065" s="262"/>
      <c r="N1065" s="262"/>
      <c r="O1065" s="262"/>
      <c r="P1065" s="262"/>
      <c r="Q1065" s="262"/>
      <c r="R1065" s="262"/>
      <c r="S1065" s="262"/>
      <c r="T1065" s="262"/>
      <c r="U1065" s="262"/>
      <c r="V1065" s="262"/>
      <c r="W1065" s="262"/>
      <c r="X1065" s="262"/>
      <c r="Y1065" s="262"/>
      <c r="Z1065" s="262"/>
      <c r="AA1065" s="262"/>
      <c r="AB1065" s="262"/>
      <c r="AC1065" s="262"/>
      <c r="AD1065" s="262"/>
      <c r="AE1065" s="262"/>
      <c r="AF1065" s="147"/>
      <c r="AG1065" s="147"/>
      <c r="AH1065" s="147"/>
      <c r="AI1065" s="189"/>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row>
    <row r="1066" spans="1:59" ht="15.75" customHeight="1" x14ac:dyDescent="0.2">
      <c r="A1066" s="162"/>
      <c r="B1066" s="162"/>
      <c r="C1066" s="206"/>
      <c r="D1066" s="262"/>
      <c r="E1066" s="262"/>
      <c r="F1066" s="262"/>
      <c r="G1066" s="262"/>
      <c r="H1066" s="262"/>
      <c r="I1066" s="262"/>
      <c r="J1066" s="262"/>
      <c r="K1066" s="262"/>
      <c r="L1066" s="262"/>
      <c r="M1066" s="262"/>
      <c r="N1066" s="262"/>
      <c r="O1066" s="262"/>
      <c r="P1066" s="262"/>
      <c r="Q1066" s="262"/>
      <c r="R1066" s="262"/>
      <c r="S1066" s="262"/>
      <c r="T1066" s="262"/>
      <c r="U1066" s="262"/>
      <c r="V1066" s="262"/>
      <c r="W1066" s="262"/>
      <c r="X1066" s="262"/>
      <c r="Y1066" s="262"/>
      <c r="Z1066" s="262"/>
      <c r="AA1066" s="262"/>
      <c r="AB1066" s="262"/>
      <c r="AC1066" s="262"/>
      <c r="AD1066" s="262"/>
      <c r="AE1066" s="262"/>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row>
    <row r="1067" spans="1:59" ht="15.75" customHeight="1" x14ac:dyDescent="0.2">
      <c r="A1067" s="162"/>
      <c r="B1067" s="162"/>
      <c r="C1067" s="206"/>
      <c r="D1067" s="262"/>
      <c r="E1067" s="262"/>
      <c r="F1067" s="262"/>
      <c r="G1067" s="262"/>
      <c r="H1067" s="262"/>
      <c r="I1067" s="262"/>
      <c r="J1067" s="262"/>
      <c r="K1067" s="262"/>
      <c r="L1067" s="262"/>
      <c r="M1067" s="262"/>
      <c r="N1067" s="262"/>
      <c r="O1067" s="262"/>
      <c r="P1067" s="262"/>
      <c r="Q1067" s="262"/>
      <c r="R1067" s="262"/>
      <c r="S1067" s="262"/>
      <c r="T1067" s="262"/>
      <c r="U1067" s="262"/>
      <c r="V1067" s="262"/>
      <c r="W1067" s="262"/>
      <c r="X1067" s="262"/>
      <c r="Y1067" s="262"/>
      <c r="Z1067" s="262"/>
      <c r="AA1067" s="262"/>
      <c r="AB1067" s="262"/>
      <c r="AC1067" s="262"/>
      <c r="AD1067" s="262"/>
      <c r="AE1067" s="262"/>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row>
    <row r="1068" spans="1:59" ht="15.75" customHeight="1" x14ac:dyDescent="0.2">
      <c r="A1068" s="162"/>
      <c r="B1068" s="162"/>
      <c r="C1068" s="206"/>
      <c r="D1068" s="262"/>
      <c r="E1068" s="262"/>
      <c r="F1068" s="262"/>
      <c r="G1068" s="262"/>
      <c r="H1068" s="262"/>
      <c r="I1068" s="262"/>
      <c r="J1068" s="262"/>
      <c r="K1068" s="262"/>
      <c r="L1068" s="262"/>
      <c r="M1068" s="262"/>
      <c r="N1068" s="262"/>
      <c r="O1068" s="262"/>
      <c r="P1068" s="262"/>
      <c r="Q1068" s="262"/>
      <c r="R1068" s="262"/>
      <c r="S1068" s="262"/>
      <c r="T1068" s="262"/>
      <c r="U1068" s="262"/>
      <c r="V1068" s="262"/>
      <c r="W1068" s="262"/>
      <c r="X1068" s="262"/>
      <c r="Y1068" s="262"/>
      <c r="Z1068" s="262"/>
      <c r="AA1068" s="262"/>
      <c r="AB1068" s="262"/>
      <c r="AC1068" s="262"/>
      <c r="AD1068" s="262"/>
      <c r="AE1068" s="262"/>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row>
    <row r="1069" spans="1:59" ht="15.75" customHeight="1" x14ac:dyDescent="0.2">
      <c r="A1069" s="162"/>
      <c r="B1069" s="162"/>
      <c r="C1069" s="206"/>
      <c r="D1069" s="262"/>
      <c r="E1069" s="262"/>
      <c r="F1069" s="262"/>
      <c r="G1069" s="262"/>
      <c r="H1069" s="262"/>
      <c r="I1069" s="262"/>
      <c r="J1069" s="262"/>
      <c r="K1069" s="262"/>
      <c r="L1069" s="262"/>
      <c r="M1069" s="262"/>
      <c r="N1069" s="262"/>
      <c r="O1069" s="262"/>
      <c r="P1069" s="262"/>
      <c r="Q1069" s="262"/>
      <c r="R1069" s="262"/>
      <c r="S1069" s="262"/>
      <c r="T1069" s="262"/>
      <c r="U1069" s="262"/>
      <c r="V1069" s="262"/>
      <c r="W1069" s="262"/>
      <c r="X1069" s="262"/>
      <c r="Y1069" s="262"/>
      <c r="Z1069" s="262"/>
      <c r="AA1069" s="262"/>
      <c r="AB1069" s="262"/>
      <c r="AC1069" s="262"/>
      <c r="AD1069" s="262"/>
      <c r="AE1069" s="262"/>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row>
    <row r="1070" spans="1:59" ht="15.75" customHeight="1" x14ac:dyDescent="0.2">
      <c r="A1070" s="162"/>
      <c r="B1070" s="162"/>
      <c r="C1070" s="206"/>
      <c r="D1070" s="262"/>
      <c r="E1070" s="262"/>
      <c r="F1070" s="262"/>
      <c r="G1070" s="262"/>
      <c r="H1070" s="262"/>
      <c r="I1070" s="262"/>
      <c r="J1070" s="262"/>
      <c r="K1070" s="262"/>
      <c r="L1070" s="262"/>
      <c r="M1070" s="262"/>
      <c r="N1070" s="262"/>
      <c r="O1070" s="262"/>
      <c r="P1070" s="262"/>
      <c r="Q1070" s="262"/>
      <c r="R1070" s="262"/>
      <c r="S1070" s="262"/>
      <c r="T1070" s="262"/>
      <c r="U1070" s="262"/>
      <c r="V1070" s="262"/>
      <c r="W1070" s="262"/>
      <c r="X1070" s="262"/>
      <c r="Y1070" s="262"/>
      <c r="Z1070" s="262"/>
      <c r="AA1070" s="262"/>
      <c r="AB1070" s="262"/>
      <c r="AC1070" s="262"/>
      <c r="AD1070" s="262"/>
      <c r="AE1070" s="262"/>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row>
    <row r="1071" spans="1:59" ht="15.75" customHeight="1" x14ac:dyDescent="0.2">
      <c r="A1071" s="162"/>
      <c r="B1071" s="162"/>
      <c r="C1071" s="206"/>
      <c r="D1071" s="262"/>
      <c r="E1071" s="262"/>
      <c r="F1071" s="262"/>
      <c r="G1071" s="262"/>
      <c r="H1071" s="262"/>
      <c r="I1071" s="262"/>
      <c r="J1071" s="262"/>
      <c r="K1071" s="262"/>
      <c r="L1071" s="262"/>
      <c r="M1071" s="262"/>
      <c r="N1071" s="262"/>
      <c r="O1071" s="262"/>
      <c r="P1071" s="262"/>
      <c r="Q1071" s="262"/>
      <c r="R1071" s="262"/>
      <c r="S1071" s="262"/>
      <c r="T1071" s="262"/>
      <c r="U1071" s="262"/>
      <c r="V1071" s="262"/>
      <c r="W1071" s="262"/>
      <c r="X1071" s="262"/>
      <c r="Y1071" s="262"/>
      <c r="Z1071" s="262"/>
      <c r="AA1071" s="262"/>
      <c r="AB1071" s="262"/>
      <c r="AC1071" s="262"/>
      <c r="AD1071" s="262"/>
      <c r="AE1071" s="262"/>
      <c r="AF1071" s="147"/>
      <c r="AG1071" s="147"/>
      <c r="AH1071" s="147"/>
      <c r="AI1071" s="147"/>
      <c r="AJ1071" s="209"/>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row>
    <row r="1072" spans="1:59" ht="15.75" customHeight="1" x14ac:dyDescent="0.2">
      <c r="A1072" s="162"/>
      <c r="B1072" s="162"/>
      <c r="C1072" s="206"/>
      <c r="D1072" s="262"/>
      <c r="E1072" s="262"/>
      <c r="F1072" s="262"/>
      <c r="G1072" s="262"/>
      <c r="H1072" s="262"/>
      <c r="I1072" s="262"/>
      <c r="J1072" s="262"/>
      <c r="K1072" s="262"/>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147"/>
      <c r="AG1072" s="147"/>
      <c r="AH1072" s="147"/>
      <c r="AI1072" s="147"/>
      <c r="AJ1072" s="84"/>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row>
    <row r="1073" spans="1:59" ht="15.75" customHeight="1" x14ac:dyDescent="0.2">
      <c r="A1073" s="162"/>
      <c r="B1073" s="162"/>
      <c r="C1073" s="206"/>
      <c r="D1073" s="262"/>
      <c r="E1073" s="262"/>
      <c r="F1073" s="262"/>
      <c r="G1073" s="262"/>
      <c r="H1073" s="262"/>
      <c r="I1073" s="262"/>
      <c r="J1073" s="262"/>
      <c r="K1073" s="262"/>
      <c r="L1073" s="262"/>
      <c r="M1073" s="262"/>
      <c r="N1073" s="262"/>
      <c r="O1073" s="262"/>
      <c r="P1073" s="262"/>
      <c r="Q1073" s="262"/>
      <c r="R1073" s="262"/>
      <c r="S1073" s="262"/>
      <c r="T1073" s="262"/>
      <c r="U1073" s="262"/>
      <c r="V1073" s="262"/>
      <c r="W1073" s="262"/>
      <c r="X1073" s="262"/>
      <c r="Y1073" s="262"/>
      <c r="Z1073" s="262"/>
      <c r="AA1073" s="262"/>
      <c r="AB1073" s="262"/>
      <c r="AC1073" s="262"/>
      <c r="AD1073" s="262"/>
      <c r="AE1073" s="262"/>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row>
    <row r="1074" spans="1:59" ht="15.75" customHeight="1" x14ac:dyDescent="0.2">
      <c r="A1074" s="162"/>
      <c r="B1074" s="162"/>
      <c r="C1074" s="206"/>
      <c r="D1074" s="262"/>
      <c r="E1074" s="262"/>
      <c r="F1074" s="262"/>
      <c r="G1074" s="262"/>
      <c r="H1074" s="262"/>
      <c r="I1074" s="262"/>
      <c r="J1074" s="262"/>
      <c r="K1074" s="262"/>
      <c r="L1074" s="262"/>
      <c r="M1074" s="262"/>
      <c r="N1074" s="262"/>
      <c r="O1074" s="262"/>
      <c r="P1074" s="262"/>
      <c r="Q1074" s="262"/>
      <c r="R1074" s="262"/>
      <c r="S1074" s="262"/>
      <c r="T1074" s="262"/>
      <c r="U1074" s="262"/>
      <c r="V1074" s="262"/>
      <c r="W1074" s="262"/>
      <c r="X1074" s="262"/>
      <c r="Y1074" s="262"/>
      <c r="Z1074" s="262"/>
      <c r="AA1074" s="262"/>
      <c r="AB1074" s="262"/>
      <c r="AC1074" s="262"/>
      <c r="AD1074" s="262"/>
      <c r="AE1074" s="262"/>
      <c r="AF1074" s="147"/>
      <c r="AG1074" s="147"/>
      <c r="AH1074" s="147"/>
      <c r="AI1074" s="147"/>
      <c r="AJ1074" s="189"/>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row>
    <row r="1075" spans="1:59" ht="15.75" customHeight="1" x14ac:dyDescent="0.2">
      <c r="A1075" s="162"/>
      <c r="B1075" s="162"/>
      <c r="C1075" s="206"/>
      <c r="D1075" s="262"/>
      <c r="E1075" s="262"/>
      <c r="F1075" s="262"/>
      <c r="G1075" s="262"/>
      <c r="H1075" s="262"/>
      <c r="I1075" s="262"/>
      <c r="J1075" s="262"/>
      <c r="K1075" s="262"/>
      <c r="L1075" s="262"/>
      <c r="M1075" s="262"/>
      <c r="N1075" s="262"/>
      <c r="O1075" s="262"/>
      <c r="P1075" s="262"/>
      <c r="Q1075" s="262"/>
      <c r="R1075" s="262"/>
      <c r="S1075" s="262"/>
      <c r="T1075" s="262"/>
      <c r="U1075" s="262"/>
      <c r="V1075" s="262"/>
      <c r="W1075" s="262"/>
      <c r="X1075" s="262"/>
      <c r="Y1075" s="262"/>
      <c r="Z1075" s="262"/>
      <c r="AA1075" s="262"/>
      <c r="AB1075" s="262"/>
      <c r="AC1075" s="262"/>
      <c r="AD1075" s="262"/>
      <c r="AE1075" s="262"/>
      <c r="AF1075" s="147"/>
      <c r="AG1075" s="147"/>
      <c r="AH1075" s="147"/>
      <c r="AI1075" s="147"/>
      <c r="AJ1075" s="189"/>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row>
    <row r="1076" spans="1:59" ht="15.75" customHeight="1" x14ac:dyDescent="0.2">
      <c r="A1076" s="162"/>
      <c r="B1076" s="162"/>
      <c r="C1076" s="206"/>
      <c r="D1076" s="262"/>
      <c r="E1076" s="262"/>
      <c r="F1076" s="262"/>
      <c r="G1076" s="262"/>
      <c r="H1076" s="262"/>
      <c r="I1076" s="262"/>
      <c r="J1076" s="262"/>
      <c r="K1076" s="262"/>
      <c r="L1076" s="262"/>
      <c r="M1076" s="262"/>
      <c r="N1076" s="262"/>
      <c r="O1076" s="262"/>
      <c r="P1076" s="262"/>
      <c r="Q1076" s="262"/>
      <c r="R1076" s="262"/>
      <c r="S1076" s="262"/>
      <c r="T1076" s="262"/>
      <c r="U1076" s="262"/>
      <c r="V1076" s="262"/>
      <c r="W1076" s="262"/>
      <c r="X1076" s="262"/>
      <c r="Y1076" s="262"/>
      <c r="Z1076" s="262"/>
      <c r="AA1076" s="262"/>
      <c r="AB1076" s="262"/>
      <c r="AC1076" s="262"/>
      <c r="AD1076" s="262"/>
      <c r="AE1076" s="262"/>
      <c r="AF1076" s="147"/>
      <c r="AG1076" s="147"/>
      <c r="AH1076" s="147"/>
      <c r="AI1076" s="195"/>
      <c r="AJ1076" s="189"/>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row>
    <row r="1077" spans="1:59" ht="15.75" customHeight="1" x14ac:dyDescent="0.2">
      <c r="A1077" s="162"/>
      <c r="B1077" s="162"/>
      <c r="C1077" s="206"/>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147"/>
      <c r="AG1077" s="147"/>
      <c r="AH1077" s="147"/>
      <c r="AI1077" s="147"/>
      <c r="AJ1077" s="189"/>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row>
    <row r="1078" spans="1:59" ht="15.75" customHeight="1" x14ac:dyDescent="0.2">
      <c r="A1078" s="162"/>
      <c r="B1078" s="162"/>
      <c r="C1078" s="206"/>
      <c r="D1078" s="262"/>
      <c r="E1078" s="262"/>
      <c r="F1078" s="262"/>
      <c r="G1078" s="262"/>
      <c r="H1078" s="262"/>
      <c r="I1078" s="262"/>
      <c r="J1078" s="262"/>
      <c r="K1078" s="262"/>
      <c r="L1078" s="262"/>
      <c r="M1078" s="262"/>
      <c r="N1078" s="262"/>
      <c r="O1078" s="262"/>
      <c r="P1078" s="262"/>
      <c r="Q1078" s="262"/>
      <c r="R1078" s="262"/>
      <c r="S1078" s="262"/>
      <c r="T1078" s="262"/>
      <c r="U1078" s="262"/>
      <c r="V1078" s="262"/>
      <c r="W1078" s="262"/>
      <c r="X1078" s="262"/>
      <c r="Y1078" s="262"/>
      <c r="Z1078" s="262"/>
      <c r="AA1078" s="262"/>
      <c r="AB1078" s="262"/>
      <c r="AC1078" s="262"/>
      <c r="AD1078" s="262"/>
      <c r="AE1078" s="262"/>
      <c r="AF1078" s="147"/>
      <c r="AG1078" s="147"/>
      <c r="AH1078" s="147"/>
      <c r="AI1078" s="147"/>
      <c r="AJ1078" s="189"/>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row>
    <row r="1079" spans="1:59" ht="15.75" customHeight="1" x14ac:dyDescent="0.2">
      <c r="A1079" s="162"/>
      <c r="B1079" s="162"/>
      <c r="C1079" s="206"/>
      <c r="D1079" s="262"/>
      <c r="E1079" s="262"/>
      <c r="F1079" s="262"/>
      <c r="G1079" s="262"/>
      <c r="H1079" s="262"/>
      <c r="I1079" s="262"/>
      <c r="J1079" s="262"/>
      <c r="K1079" s="262"/>
      <c r="L1079" s="262"/>
      <c r="M1079" s="262"/>
      <c r="N1079" s="262"/>
      <c r="O1079" s="262"/>
      <c r="P1079" s="262"/>
      <c r="Q1079" s="262"/>
      <c r="R1079" s="262"/>
      <c r="S1079" s="262"/>
      <c r="T1079" s="262"/>
      <c r="U1079" s="262"/>
      <c r="V1079" s="262"/>
      <c r="W1079" s="262"/>
      <c r="X1079" s="262"/>
      <c r="Y1079" s="262"/>
      <c r="Z1079" s="262"/>
      <c r="AA1079" s="262"/>
      <c r="AB1079" s="262"/>
      <c r="AC1079" s="262"/>
      <c r="AD1079" s="262"/>
      <c r="AE1079" s="262"/>
      <c r="AF1079" s="147"/>
      <c r="AG1079" s="147"/>
      <c r="AH1079" s="147"/>
      <c r="AI1079" s="147"/>
      <c r="AJ1079" s="189"/>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row>
    <row r="1080" spans="1:59" ht="15.75" customHeight="1" x14ac:dyDescent="0.2">
      <c r="A1080" s="162"/>
      <c r="B1080" s="162"/>
      <c r="C1080" s="206"/>
      <c r="D1080" s="262"/>
      <c r="E1080" s="262"/>
      <c r="F1080" s="262"/>
      <c r="G1080" s="262"/>
      <c r="H1080" s="262"/>
      <c r="I1080" s="262"/>
      <c r="J1080" s="262"/>
      <c r="K1080" s="262"/>
      <c r="L1080" s="262"/>
      <c r="M1080" s="262"/>
      <c r="N1080" s="262"/>
      <c r="O1080" s="262"/>
      <c r="P1080" s="262"/>
      <c r="Q1080" s="262"/>
      <c r="R1080" s="262"/>
      <c r="S1080" s="262"/>
      <c r="T1080" s="262"/>
      <c r="U1080" s="262"/>
      <c r="V1080" s="262"/>
      <c r="W1080" s="262"/>
      <c r="X1080" s="262"/>
      <c r="Y1080" s="262"/>
      <c r="Z1080" s="262"/>
      <c r="AA1080" s="262"/>
      <c r="AB1080" s="262"/>
      <c r="AC1080" s="262"/>
      <c r="AD1080" s="262"/>
      <c r="AE1080" s="262"/>
      <c r="AF1080" s="147"/>
      <c r="AG1080" s="147"/>
      <c r="AH1080" s="147"/>
      <c r="AI1080" s="147"/>
      <c r="AJ1080" s="189"/>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row>
    <row r="1081" spans="1:59" ht="15.75" customHeight="1" x14ac:dyDescent="0.2">
      <c r="A1081" s="162"/>
      <c r="B1081" s="162"/>
      <c r="C1081" s="206"/>
      <c r="D1081" s="262"/>
      <c r="E1081" s="262"/>
      <c r="F1081" s="262"/>
      <c r="G1081" s="262"/>
      <c r="H1081" s="262"/>
      <c r="I1081" s="262"/>
      <c r="J1081" s="262"/>
      <c r="K1081" s="262"/>
      <c r="L1081" s="262"/>
      <c r="M1081" s="262"/>
      <c r="N1081" s="262"/>
      <c r="O1081" s="262"/>
      <c r="P1081" s="262"/>
      <c r="Q1081" s="262"/>
      <c r="R1081" s="262"/>
      <c r="S1081" s="262"/>
      <c r="T1081" s="262"/>
      <c r="U1081" s="262"/>
      <c r="V1081" s="262"/>
      <c r="W1081" s="262"/>
      <c r="X1081" s="262"/>
      <c r="Y1081" s="262"/>
      <c r="Z1081" s="262"/>
      <c r="AA1081" s="262"/>
      <c r="AB1081" s="262"/>
      <c r="AC1081" s="262"/>
      <c r="AD1081" s="262"/>
      <c r="AE1081" s="262"/>
      <c r="AF1081" s="147"/>
      <c r="AG1081" s="147"/>
      <c r="AH1081" s="147"/>
      <c r="AI1081" s="147"/>
      <c r="AJ1081" s="162"/>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row>
    <row r="1082" spans="1:59" ht="15.75" customHeight="1" x14ac:dyDescent="0.2">
      <c r="A1082" s="162"/>
      <c r="B1082" s="162"/>
      <c r="C1082" s="206"/>
      <c r="D1082" s="262"/>
      <c r="E1082" s="262"/>
      <c r="F1082" s="262"/>
      <c r="G1082" s="262"/>
      <c r="H1082" s="262"/>
      <c r="I1082" s="262"/>
      <c r="J1082" s="262"/>
      <c r="K1082" s="262"/>
      <c r="L1082" s="262"/>
      <c r="M1082" s="262"/>
      <c r="N1082" s="262"/>
      <c r="O1082" s="262"/>
      <c r="P1082" s="262"/>
      <c r="Q1082" s="262"/>
      <c r="R1082" s="262"/>
      <c r="S1082" s="262"/>
      <c r="T1082" s="262"/>
      <c r="U1082" s="262"/>
      <c r="V1082" s="262"/>
      <c r="W1082" s="262"/>
      <c r="X1082" s="262"/>
      <c r="Y1082" s="262"/>
      <c r="Z1082" s="262"/>
      <c r="AA1082" s="262"/>
      <c r="AB1082" s="262"/>
      <c r="AC1082" s="262"/>
      <c r="AD1082" s="262"/>
      <c r="AE1082" s="262"/>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row>
    <row r="1083" spans="1:59" ht="15.75" customHeight="1" x14ac:dyDescent="0.2">
      <c r="A1083" s="162"/>
      <c r="B1083" s="162"/>
      <c r="C1083" s="206"/>
      <c r="D1083" s="262"/>
      <c r="E1083" s="262"/>
      <c r="F1083" s="262"/>
      <c r="G1083" s="262"/>
      <c r="H1083" s="262"/>
      <c r="I1083" s="262"/>
      <c r="J1083" s="262"/>
      <c r="K1083" s="262"/>
      <c r="L1083" s="262"/>
      <c r="M1083" s="262"/>
      <c r="N1083" s="262"/>
      <c r="O1083" s="262"/>
      <c r="P1083" s="262"/>
      <c r="Q1083" s="262"/>
      <c r="R1083" s="262"/>
      <c r="S1083" s="262"/>
      <c r="T1083" s="262"/>
      <c r="U1083" s="262"/>
      <c r="V1083" s="262"/>
      <c r="W1083" s="262"/>
      <c r="X1083" s="262"/>
      <c r="Y1083" s="262"/>
      <c r="Z1083" s="262"/>
      <c r="AA1083" s="262"/>
      <c r="AB1083" s="262"/>
      <c r="AC1083" s="262"/>
      <c r="AD1083" s="262"/>
      <c r="AE1083" s="262"/>
      <c r="AF1083" s="147"/>
      <c r="AG1083" s="147"/>
      <c r="AH1083" s="147"/>
      <c r="AI1083" s="209"/>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row>
    <row r="1084" spans="1:59" ht="15.75" customHeight="1" x14ac:dyDescent="0.2">
      <c r="A1084" s="162"/>
      <c r="B1084" s="162"/>
      <c r="C1084" s="206"/>
      <c r="D1084" s="262"/>
      <c r="E1084" s="262"/>
      <c r="F1084" s="262"/>
      <c r="G1084" s="262"/>
      <c r="H1084" s="262"/>
      <c r="I1084" s="262"/>
      <c r="J1084" s="262"/>
      <c r="K1084" s="262"/>
      <c r="L1084" s="262"/>
      <c r="M1084" s="262"/>
      <c r="N1084" s="262"/>
      <c r="O1084" s="262"/>
      <c r="P1084" s="262"/>
      <c r="Q1084" s="262"/>
      <c r="R1084" s="262"/>
      <c r="S1084" s="262"/>
      <c r="T1084" s="262"/>
      <c r="U1084" s="262"/>
      <c r="V1084" s="262"/>
      <c r="W1084" s="262"/>
      <c r="X1084" s="262"/>
      <c r="Y1084" s="262"/>
      <c r="Z1084" s="262"/>
      <c r="AA1084" s="262"/>
      <c r="AB1084" s="262"/>
      <c r="AC1084" s="262"/>
      <c r="AD1084" s="262"/>
      <c r="AE1084" s="262"/>
      <c r="AF1084" s="147"/>
      <c r="AG1084" s="147"/>
      <c r="AH1084" s="147"/>
      <c r="AI1084" s="84"/>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row>
    <row r="1085" spans="1:59" ht="15.75" customHeight="1" x14ac:dyDescent="0.2">
      <c r="A1085" s="162"/>
      <c r="B1085" s="162"/>
      <c r="C1085" s="206"/>
      <c r="D1085" s="262"/>
      <c r="E1085" s="262"/>
      <c r="F1085" s="262"/>
      <c r="G1085" s="262"/>
      <c r="H1085" s="262"/>
      <c r="I1085" s="262"/>
      <c r="J1085" s="262"/>
      <c r="K1085" s="262"/>
      <c r="L1085" s="262"/>
      <c r="M1085" s="262"/>
      <c r="N1085" s="262"/>
      <c r="O1085" s="262"/>
      <c r="P1085" s="262"/>
      <c r="Q1085" s="262"/>
      <c r="R1085" s="262"/>
      <c r="S1085" s="262"/>
      <c r="T1085" s="262"/>
      <c r="U1085" s="262"/>
      <c r="V1085" s="262"/>
      <c r="W1085" s="262"/>
      <c r="X1085" s="262"/>
      <c r="Y1085" s="262"/>
      <c r="Z1085" s="262"/>
      <c r="AA1085" s="262"/>
      <c r="AB1085" s="262"/>
      <c r="AC1085" s="262"/>
      <c r="AD1085" s="262"/>
      <c r="AE1085" s="262"/>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row>
    <row r="1086" spans="1:59" ht="15.75" customHeight="1" x14ac:dyDescent="0.2">
      <c r="A1086" s="162"/>
      <c r="B1086" s="162"/>
      <c r="C1086" s="206"/>
      <c r="D1086" s="262"/>
      <c r="E1086" s="262"/>
      <c r="F1086" s="262"/>
      <c r="G1086" s="262"/>
      <c r="H1086" s="262"/>
      <c r="I1086" s="262"/>
      <c r="J1086" s="262"/>
      <c r="K1086" s="262"/>
      <c r="L1086" s="262"/>
      <c r="M1086" s="262"/>
      <c r="N1086" s="262"/>
      <c r="O1086" s="262"/>
      <c r="P1086" s="262"/>
      <c r="Q1086" s="262"/>
      <c r="R1086" s="262"/>
      <c r="S1086" s="262"/>
      <c r="T1086" s="262"/>
      <c r="U1086" s="262"/>
      <c r="V1086" s="262"/>
      <c r="W1086" s="262"/>
      <c r="X1086" s="262"/>
      <c r="Y1086" s="262"/>
      <c r="Z1086" s="262"/>
      <c r="AA1086" s="262"/>
      <c r="AB1086" s="262"/>
      <c r="AC1086" s="262"/>
      <c r="AD1086" s="262"/>
      <c r="AE1086" s="262"/>
      <c r="AF1086" s="147"/>
      <c r="AG1086" s="147"/>
      <c r="AH1086" s="147"/>
      <c r="AI1086" s="189"/>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row>
    <row r="1087" spans="1:59" ht="15.75" customHeight="1" x14ac:dyDescent="0.2">
      <c r="A1087" s="162"/>
      <c r="B1087" s="162"/>
      <c r="C1087" s="206"/>
      <c r="D1087" s="262"/>
      <c r="E1087" s="262"/>
      <c r="F1087" s="262"/>
      <c r="G1087" s="262"/>
      <c r="H1087" s="262"/>
      <c r="I1087" s="262"/>
      <c r="J1087" s="262"/>
      <c r="K1087" s="262"/>
      <c r="L1087" s="262"/>
      <c r="M1087" s="262"/>
      <c r="N1087" s="262"/>
      <c r="O1087" s="262"/>
      <c r="P1087" s="262"/>
      <c r="Q1087" s="262"/>
      <c r="R1087" s="262"/>
      <c r="S1087" s="262"/>
      <c r="T1087" s="262"/>
      <c r="U1087" s="262"/>
      <c r="V1087" s="262"/>
      <c r="W1087" s="262"/>
      <c r="X1087" s="262"/>
      <c r="Y1087" s="262"/>
      <c r="Z1087" s="262"/>
      <c r="AA1087" s="262"/>
      <c r="AB1087" s="262"/>
      <c r="AC1087" s="262"/>
      <c r="AD1087" s="262"/>
      <c r="AE1087" s="262"/>
      <c r="AF1087" s="147"/>
      <c r="AG1087" s="147"/>
      <c r="AH1087" s="147"/>
      <c r="AI1087" s="189"/>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row>
    <row r="1088" spans="1:59" ht="15.75" customHeight="1" x14ac:dyDescent="0.2">
      <c r="A1088" s="162"/>
      <c r="B1088" s="162"/>
      <c r="C1088" s="206"/>
      <c r="D1088" s="262"/>
      <c r="E1088" s="262"/>
      <c r="F1088" s="262"/>
      <c r="G1088" s="262"/>
      <c r="H1088" s="262"/>
      <c r="I1088" s="262"/>
      <c r="J1088" s="262"/>
      <c r="K1088" s="262"/>
      <c r="L1088" s="262"/>
      <c r="M1088" s="262"/>
      <c r="N1088" s="262"/>
      <c r="O1088" s="262"/>
      <c r="P1088" s="262"/>
      <c r="Q1088" s="262"/>
      <c r="R1088" s="262"/>
      <c r="S1088" s="262"/>
      <c r="T1088" s="262"/>
      <c r="U1088" s="262"/>
      <c r="V1088" s="262"/>
      <c r="W1088" s="262"/>
      <c r="X1088" s="262"/>
      <c r="Y1088" s="262"/>
      <c r="Z1088" s="262"/>
      <c r="AA1088" s="262"/>
      <c r="AB1088" s="262"/>
      <c r="AC1088" s="262"/>
      <c r="AD1088" s="262"/>
      <c r="AE1088" s="262"/>
      <c r="AF1088" s="147"/>
      <c r="AG1088" s="147"/>
      <c r="AH1088" s="147"/>
      <c r="AI1088" s="189"/>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row>
    <row r="1089" spans="1:59" ht="15.75" customHeight="1" x14ac:dyDescent="0.2">
      <c r="A1089" s="162"/>
      <c r="B1089" s="162"/>
      <c r="C1089" s="206"/>
      <c r="D1089" s="262"/>
      <c r="E1089" s="262"/>
      <c r="F1089" s="262"/>
      <c r="G1089" s="262"/>
      <c r="H1089" s="262"/>
      <c r="I1089" s="262"/>
      <c r="J1089" s="262"/>
      <c r="K1089" s="262"/>
      <c r="L1089" s="262"/>
      <c r="M1089" s="262"/>
      <c r="N1089" s="262"/>
      <c r="O1089" s="262"/>
      <c r="P1089" s="262"/>
      <c r="Q1089" s="262"/>
      <c r="R1089" s="262"/>
      <c r="S1089" s="262"/>
      <c r="T1089" s="262"/>
      <c r="U1089" s="262"/>
      <c r="V1089" s="262"/>
      <c r="W1089" s="262"/>
      <c r="X1089" s="262"/>
      <c r="Y1089" s="262"/>
      <c r="Z1089" s="262"/>
      <c r="AA1089" s="262"/>
      <c r="AB1089" s="262"/>
      <c r="AC1089" s="262"/>
      <c r="AD1089" s="262"/>
      <c r="AE1089" s="262"/>
      <c r="AF1089" s="147"/>
      <c r="AG1089" s="147"/>
      <c r="AH1089" s="147"/>
      <c r="AI1089" s="189"/>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row>
    <row r="1090" spans="1:59" ht="15.75" customHeight="1" x14ac:dyDescent="0.2">
      <c r="A1090" s="162"/>
      <c r="B1090" s="162"/>
      <c r="C1090" s="206"/>
      <c r="D1090" s="262"/>
      <c r="E1090" s="262"/>
      <c r="F1090" s="262"/>
      <c r="G1090" s="262"/>
      <c r="H1090" s="262"/>
      <c r="I1090" s="262"/>
      <c r="J1090" s="262"/>
      <c r="K1090" s="262"/>
      <c r="L1090" s="262"/>
      <c r="M1090" s="262"/>
      <c r="N1090" s="262"/>
      <c r="O1090" s="262"/>
      <c r="P1090" s="262"/>
      <c r="Q1090" s="262"/>
      <c r="R1090" s="262"/>
      <c r="S1090" s="262"/>
      <c r="T1090" s="262"/>
      <c r="U1090" s="262"/>
      <c r="V1090" s="262"/>
      <c r="W1090" s="262"/>
      <c r="X1090" s="262"/>
      <c r="Y1090" s="262"/>
      <c r="Z1090" s="262"/>
      <c r="AA1090" s="262"/>
      <c r="AB1090" s="262"/>
      <c r="AC1090" s="262"/>
      <c r="AD1090" s="262"/>
      <c r="AE1090" s="262"/>
      <c r="AF1090" s="147"/>
      <c r="AG1090" s="147"/>
      <c r="AH1090" s="147"/>
      <c r="AI1090" s="189"/>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row>
    <row r="1091" spans="1:59" ht="15.75" customHeight="1" x14ac:dyDescent="0.2">
      <c r="A1091" s="162"/>
      <c r="B1091" s="162"/>
      <c r="C1091" s="206"/>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147"/>
      <c r="AG1091" s="147"/>
      <c r="AH1091" s="147"/>
      <c r="AI1091" s="189"/>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row>
    <row r="1092" spans="1:59" ht="15.75" customHeight="1" x14ac:dyDescent="0.2">
      <c r="A1092" s="162"/>
      <c r="B1092" s="162"/>
      <c r="C1092" s="206"/>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147"/>
      <c r="AG1092" s="147"/>
      <c r="AH1092" s="147"/>
      <c r="AI1092" s="189"/>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row>
    <row r="1093" spans="1:59" ht="15.75" customHeight="1" x14ac:dyDescent="0.2">
      <c r="A1093" s="162"/>
      <c r="B1093" s="162"/>
      <c r="C1093" s="206"/>
      <c r="D1093" s="262"/>
      <c r="E1093" s="262"/>
      <c r="F1093" s="262"/>
      <c r="G1093" s="262"/>
      <c r="H1093" s="262"/>
      <c r="I1093" s="262"/>
      <c r="J1093" s="262"/>
      <c r="K1093" s="262"/>
      <c r="L1093" s="262"/>
      <c r="M1093" s="262"/>
      <c r="N1093" s="262"/>
      <c r="O1093" s="262"/>
      <c r="P1093" s="262"/>
      <c r="Q1093" s="262"/>
      <c r="R1093" s="262"/>
      <c r="S1093" s="262"/>
      <c r="T1093" s="262"/>
      <c r="U1093" s="262"/>
      <c r="V1093" s="262"/>
      <c r="W1093" s="262"/>
      <c r="X1093" s="262"/>
      <c r="Y1093" s="262"/>
      <c r="Z1093" s="262"/>
      <c r="AA1093" s="262"/>
      <c r="AB1093" s="262"/>
      <c r="AC1093" s="262"/>
      <c r="AD1093" s="262"/>
      <c r="AE1093" s="262"/>
      <c r="AF1093" s="147"/>
      <c r="AG1093" s="147"/>
      <c r="AH1093" s="147"/>
      <c r="AI1093" s="162"/>
      <c r="AJ1093" s="241"/>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row>
    <row r="1094" spans="1:59" ht="15.75" customHeight="1" x14ac:dyDescent="0.2">
      <c r="A1094" s="162"/>
      <c r="B1094" s="162"/>
      <c r="C1094" s="206"/>
      <c r="D1094" s="262"/>
      <c r="E1094" s="262"/>
      <c r="F1094" s="262"/>
      <c r="G1094" s="262"/>
      <c r="H1094" s="262"/>
      <c r="I1094" s="262"/>
      <c r="J1094" s="262"/>
      <c r="K1094" s="262"/>
      <c r="L1094" s="262"/>
      <c r="M1094" s="262"/>
      <c r="N1094" s="262"/>
      <c r="O1094" s="262"/>
      <c r="P1094" s="262"/>
      <c r="Q1094" s="262"/>
      <c r="R1094" s="262"/>
      <c r="S1094" s="262"/>
      <c r="T1094" s="262"/>
      <c r="U1094" s="262"/>
      <c r="V1094" s="262"/>
      <c r="W1094" s="262"/>
      <c r="X1094" s="262"/>
      <c r="Y1094" s="262"/>
      <c r="Z1094" s="262"/>
      <c r="AA1094" s="262"/>
      <c r="AB1094" s="262"/>
      <c r="AC1094" s="262"/>
      <c r="AD1094" s="262"/>
      <c r="AE1094" s="262"/>
      <c r="AF1094" s="147"/>
      <c r="AG1094" s="147"/>
      <c r="AH1094" s="147"/>
      <c r="AI1094" s="147"/>
      <c r="AJ1094" s="241"/>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row>
    <row r="1095" spans="1:59" ht="15.75" customHeight="1" x14ac:dyDescent="0.2">
      <c r="A1095" s="162"/>
      <c r="B1095" s="162"/>
      <c r="C1095" s="206"/>
      <c r="D1095" s="262"/>
      <c r="E1095" s="262"/>
      <c r="F1095" s="262"/>
      <c r="G1095" s="262"/>
      <c r="H1095" s="262"/>
      <c r="I1095" s="262"/>
      <c r="J1095" s="262"/>
      <c r="K1095" s="262"/>
      <c r="L1095" s="262"/>
      <c r="M1095" s="262"/>
      <c r="N1095" s="262"/>
      <c r="O1095" s="262"/>
      <c r="P1095" s="262"/>
      <c r="Q1095" s="262"/>
      <c r="R1095" s="262"/>
      <c r="S1095" s="262"/>
      <c r="T1095" s="262"/>
      <c r="U1095" s="262"/>
      <c r="V1095" s="262"/>
      <c r="W1095" s="262"/>
      <c r="X1095" s="262"/>
      <c r="Y1095" s="262"/>
      <c r="Z1095" s="262"/>
      <c r="AA1095" s="262"/>
      <c r="AB1095" s="262"/>
      <c r="AC1095" s="262"/>
      <c r="AD1095" s="262"/>
      <c r="AE1095" s="262"/>
      <c r="AF1095" s="147"/>
      <c r="AG1095" s="147"/>
      <c r="AH1095" s="147"/>
      <c r="AI1095" s="147"/>
      <c r="AJ1095" s="241"/>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row>
    <row r="1096" spans="1:59" ht="15.75" customHeight="1" x14ac:dyDescent="0.2">
      <c r="A1096" s="162"/>
      <c r="B1096" s="162"/>
      <c r="C1096" s="206"/>
      <c r="D1096" s="262"/>
      <c r="E1096" s="262"/>
      <c r="F1096" s="262"/>
      <c r="G1096" s="262"/>
      <c r="H1096" s="262"/>
      <c r="I1096" s="262"/>
      <c r="J1096" s="262"/>
      <c r="K1096" s="262"/>
      <c r="L1096" s="262"/>
      <c r="M1096" s="262"/>
      <c r="N1096" s="262"/>
      <c r="O1096" s="262"/>
      <c r="P1096" s="262"/>
      <c r="Q1096" s="262"/>
      <c r="R1096" s="262"/>
      <c r="S1096" s="262"/>
      <c r="T1096" s="262"/>
      <c r="U1096" s="262"/>
      <c r="V1096" s="262"/>
      <c r="W1096" s="262"/>
      <c r="X1096" s="262"/>
      <c r="Y1096" s="262"/>
      <c r="Z1096" s="262"/>
      <c r="AA1096" s="262"/>
      <c r="AB1096" s="262"/>
      <c r="AC1096" s="262"/>
      <c r="AD1096" s="262"/>
      <c r="AE1096" s="262"/>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row>
    <row r="1097" spans="1:59" ht="15.75" customHeight="1" x14ac:dyDescent="0.2">
      <c r="A1097" s="162"/>
      <c r="B1097" s="162"/>
      <c r="C1097" s="206"/>
      <c r="D1097" s="262"/>
      <c r="E1097" s="262"/>
      <c r="F1097" s="262"/>
      <c r="G1097" s="262"/>
      <c r="H1097" s="262"/>
      <c r="I1097" s="262"/>
      <c r="J1097" s="262"/>
      <c r="K1097" s="262"/>
      <c r="L1097" s="262"/>
      <c r="M1097" s="262"/>
      <c r="N1097" s="262"/>
      <c r="O1097" s="262"/>
      <c r="P1097" s="262"/>
      <c r="Q1097" s="262"/>
      <c r="R1097" s="262"/>
      <c r="S1097" s="262"/>
      <c r="T1097" s="262"/>
      <c r="U1097" s="262"/>
      <c r="V1097" s="262"/>
      <c r="W1097" s="262"/>
      <c r="X1097" s="262"/>
      <c r="Y1097" s="262"/>
      <c r="Z1097" s="262"/>
      <c r="AA1097" s="262"/>
      <c r="AB1097" s="262"/>
      <c r="AC1097" s="262"/>
      <c r="AD1097" s="262"/>
      <c r="AE1097" s="262"/>
      <c r="AF1097" s="147"/>
      <c r="AG1097" s="147"/>
      <c r="AH1097" s="147"/>
      <c r="AI1097" s="147"/>
      <c r="AJ1097" s="241"/>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row>
    <row r="1098" spans="1:59" ht="15.75" customHeight="1" x14ac:dyDescent="0.2">
      <c r="A1098" s="162"/>
      <c r="B1098" s="162"/>
      <c r="C1098" s="206"/>
      <c r="D1098" s="262"/>
      <c r="E1098" s="262"/>
      <c r="F1098" s="262"/>
      <c r="G1098" s="262"/>
      <c r="H1098" s="262"/>
      <c r="I1098" s="262"/>
      <c r="J1098" s="262"/>
      <c r="K1098" s="262"/>
      <c r="L1098" s="262"/>
      <c r="M1098" s="262"/>
      <c r="N1098" s="262"/>
      <c r="O1098" s="262"/>
      <c r="P1098" s="262"/>
      <c r="Q1098" s="262"/>
      <c r="R1098" s="262"/>
      <c r="S1098" s="262"/>
      <c r="T1098" s="262"/>
      <c r="U1098" s="262"/>
      <c r="V1098" s="262"/>
      <c r="W1098" s="262"/>
      <c r="X1098" s="262"/>
      <c r="Y1098" s="262"/>
      <c r="Z1098" s="262"/>
      <c r="AA1098" s="262"/>
      <c r="AB1098" s="262"/>
      <c r="AC1098" s="262"/>
      <c r="AD1098" s="262"/>
      <c r="AE1098" s="262"/>
      <c r="AF1098" s="147"/>
      <c r="AG1098" s="147"/>
      <c r="AH1098" s="147"/>
      <c r="AI1098" s="147"/>
      <c r="AJ1098" s="241"/>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row>
    <row r="1099" spans="1:59" ht="15.75" customHeight="1" x14ac:dyDescent="0.2">
      <c r="A1099" s="162"/>
      <c r="B1099" s="162"/>
      <c r="C1099" s="206"/>
      <c r="D1099" s="262"/>
      <c r="E1099" s="262"/>
      <c r="F1099" s="262"/>
      <c r="G1099" s="262"/>
      <c r="H1099" s="262"/>
      <c r="I1099" s="262"/>
      <c r="J1099" s="262"/>
      <c r="K1099" s="262"/>
      <c r="L1099" s="262"/>
      <c r="M1099" s="262"/>
      <c r="N1099" s="262"/>
      <c r="O1099" s="262"/>
      <c r="P1099" s="262"/>
      <c r="Q1099" s="262"/>
      <c r="R1099" s="262"/>
      <c r="S1099" s="262"/>
      <c r="T1099" s="262"/>
      <c r="U1099" s="262"/>
      <c r="V1099" s="262"/>
      <c r="W1099" s="262"/>
      <c r="X1099" s="262"/>
      <c r="Y1099" s="262"/>
      <c r="Z1099" s="262"/>
      <c r="AA1099" s="262"/>
      <c r="AB1099" s="262"/>
      <c r="AC1099" s="262"/>
      <c r="AD1099" s="262"/>
      <c r="AE1099" s="262"/>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row>
    <row r="1100" spans="1:59" ht="15.75" customHeight="1" x14ac:dyDescent="0.2">
      <c r="A1100" s="162"/>
      <c r="B1100" s="162"/>
      <c r="C1100" s="206"/>
      <c r="D1100" s="262"/>
      <c r="E1100" s="262"/>
      <c r="F1100" s="262"/>
      <c r="G1100" s="262"/>
      <c r="H1100" s="262"/>
      <c r="I1100" s="262"/>
      <c r="J1100" s="262"/>
      <c r="K1100" s="262"/>
      <c r="L1100" s="262"/>
      <c r="M1100" s="262"/>
      <c r="N1100" s="262"/>
      <c r="O1100" s="262"/>
      <c r="P1100" s="262"/>
      <c r="Q1100" s="262"/>
      <c r="R1100" s="262"/>
      <c r="S1100" s="262"/>
      <c r="T1100" s="262"/>
      <c r="U1100" s="262"/>
      <c r="V1100" s="262"/>
      <c r="W1100" s="262"/>
      <c r="X1100" s="262"/>
      <c r="Y1100" s="262"/>
      <c r="Z1100" s="262"/>
      <c r="AA1100" s="262"/>
      <c r="AB1100" s="262"/>
      <c r="AC1100" s="262"/>
      <c r="AD1100" s="262"/>
      <c r="AE1100" s="262"/>
      <c r="AF1100" s="147"/>
      <c r="AG1100" s="147"/>
      <c r="AH1100" s="147"/>
      <c r="AI1100" s="147"/>
      <c r="AJ1100" s="241"/>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row>
    <row r="1101" spans="1:59" ht="15.75" customHeight="1" x14ac:dyDescent="0.2">
      <c r="A1101" s="162"/>
      <c r="B1101" s="162"/>
      <c r="C1101" s="206"/>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2"/>
      <c r="Z1101" s="262"/>
      <c r="AA1101" s="262"/>
      <c r="AB1101" s="262"/>
      <c r="AC1101" s="262"/>
      <c r="AD1101" s="262"/>
      <c r="AE1101" s="262"/>
      <c r="AF1101" s="147"/>
      <c r="AG1101" s="147"/>
      <c r="AH1101" s="147"/>
      <c r="AI1101" s="147"/>
      <c r="AJ1101" s="241"/>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row>
    <row r="1102" spans="1:59" ht="15.75" customHeight="1" x14ac:dyDescent="0.2">
      <c r="A1102" s="162"/>
      <c r="B1102" s="162"/>
      <c r="C1102" s="206"/>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row>
    <row r="1103" spans="1:59" ht="15.75" customHeight="1" x14ac:dyDescent="0.2">
      <c r="A1103" s="162"/>
      <c r="B1103" s="162"/>
      <c r="C1103" s="206"/>
      <c r="D1103" s="262"/>
      <c r="E1103" s="262"/>
      <c r="F1103" s="262"/>
      <c r="G1103" s="262"/>
      <c r="H1103" s="262"/>
      <c r="I1103" s="262"/>
      <c r="J1103" s="262"/>
      <c r="K1103" s="262"/>
      <c r="L1103" s="262"/>
      <c r="M1103" s="262"/>
      <c r="N1103" s="262"/>
      <c r="O1103" s="262"/>
      <c r="P1103" s="262"/>
      <c r="Q1103" s="262"/>
      <c r="R1103" s="262"/>
      <c r="S1103" s="262"/>
      <c r="T1103" s="262"/>
      <c r="U1103" s="262"/>
      <c r="V1103" s="262"/>
      <c r="W1103" s="262"/>
      <c r="X1103" s="262"/>
      <c r="Y1103" s="262"/>
      <c r="Z1103" s="262"/>
      <c r="AA1103" s="262"/>
      <c r="AB1103" s="262"/>
      <c r="AC1103" s="262"/>
      <c r="AD1103" s="262"/>
      <c r="AE1103" s="262"/>
      <c r="AF1103" s="147"/>
      <c r="AG1103" s="147"/>
      <c r="AH1103" s="147"/>
      <c r="AI1103" s="147"/>
      <c r="AJ1103" s="241"/>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row>
    <row r="1104" spans="1:59" ht="15.75" customHeight="1" x14ac:dyDescent="0.2">
      <c r="A1104" s="162"/>
      <c r="B1104" s="162"/>
      <c r="C1104" s="206"/>
      <c r="D1104" s="262"/>
      <c r="E1104" s="262"/>
      <c r="F1104" s="262"/>
      <c r="G1104" s="262"/>
      <c r="H1104" s="262"/>
      <c r="I1104" s="262"/>
      <c r="J1104" s="262"/>
      <c r="K1104" s="262"/>
      <c r="L1104" s="262"/>
      <c r="M1104" s="262"/>
      <c r="N1104" s="262"/>
      <c r="O1104" s="262"/>
      <c r="P1104" s="262"/>
      <c r="Q1104" s="262"/>
      <c r="R1104" s="262"/>
      <c r="S1104" s="262"/>
      <c r="T1104" s="262"/>
      <c r="U1104" s="262"/>
      <c r="V1104" s="262"/>
      <c r="W1104" s="262"/>
      <c r="X1104" s="262"/>
      <c r="Y1104" s="262"/>
      <c r="Z1104" s="262"/>
      <c r="AA1104" s="262"/>
      <c r="AB1104" s="262"/>
      <c r="AC1104" s="262"/>
      <c r="AD1104" s="262"/>
      <c r="AE1104" s="262"/>
      <c r="AF1104" s="147"/>
      <c r="AG1104" s="147"/>
      <c r="AH1104" s="147"/>
      <c r="AI1104" s="147"/>
      <c r="AJ1104" s="241"/>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row>
    <row r="1105" spans="1:59" ht="15.75" customHeight="1" x14ac:dyDescent="0.2">
      <c r="A1105" s="162"/>
      <c r="B1105" s="162"/>
      <c r="C1105" s="206"/>
      <c r="D1105" s="262"/>
      <c r="E1105" s="262"/>
      <c r="F1105" s="262"/>
      <c r="G1105" s="262"/>
      <c r="H1105" s="262"/>
      <c r="I1105" s="262"/>
      <c r="J1105" s="262"/>
      <c r="K1105" s="262"/>
      <c r="L1105" s="262"/>
      <c r="M1105" s="262"/>
      <c r="N1105" s="262"/>
      <c r="O1105" s="262"/>
      <c r="P1105" s="262"/>
      <c r="Q1105" s="262"/>
      <c r="R1105" s="262"/>
      <c r="S1105" s="262"/>
      <c r="T1105" s="262"/>
      <c r="U1105" s="262"/>
      <c r="V1105" s="262"/>
      <c r="W1105" s="262"/>
      <c r="X1105" s="262"/>
      <c r="Y1105" s="262"/>
      <c r="Z1105" s="262"/>
      <c r="AA1105" s="262"/>
      <c r="AB1105" s="262"/>
      <c r="AC1105" s="262"/>
      <c r="AD1105" s="262"/>
      <c r="AE1105" s="262"/>
      <c r="AF1105" s="147"/>
      <c r="AG1105" s="147"/>
      <c r="AH1105" s="147"/>
      <c r="AI1105" s="241"/>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row>
    <row r="1106" spans="1:59" ht="15.75" customHeight="1" x14ac:dyDescent="0.2">
      <c r="A1106" s="162"/>
      <c r="B1106" s="162"/>
      <c r="C1106" s="206"/>
      <c r="D1106" s="262"/>
      <c r="E1106" s="262"/>
      <c r="F1106" s="262"/>
      <c r="G1106" s="262"/>
      <c r="H1106" s="262"/>
      <c r="I1106" s="262"/>
      <c r="J1106" s="262"/>
      <c r="K1106" s="262"/>
      <c r="L1106" s="262"/>
      <c r="M1106" s="262"/>
      <c r="N1106" s="262"/>
      <c r="O1106" s="262"/>
      <c r="P1106" s="262"/>
      <c r="Q1106" s="262"/>
      <c r="R1106" s="262"/>
      <c r="S1106" s="262"/>
      <c r="T1106" s="262"/>
      <c r="U1106" s="262"/>
      <c r="V1106" s="262"/>
      <c r="W1106" s="262"/>
      <c r="X1106" s="262"/>
      <c r="Y1106" s="262"/>
      <c r="Z1106" s="262"/>
      <c r="AA1106" s="262"/>
      <c r="AB1106" s="262"/>
      <c r="AC1106" s="262"/>
      <c r="AD1106" s="262"/>
      <c r="AE1106" s="262"/>
      <c r="AF1106" s="147"/>
      <c r="AG1106" s="147"/>
      <c r="AH1106" s="147"/>
      <c r="AI1106" s="241"/>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row>
    <row r="1107" spans="1:59" ht="15.75" customHeight="1" x14ac:dyDescent="0.2">
      <c r="A1107" s="162"/>
      <c r="B1107" s="162"/>
      <c r="C1107" s="206"/>
      <c r="D1107" s="262"/>
      <c r="E1107" s="262"/>
      <c r="F1107" s="262"/>
      <c r="G1107" s="262"/>
      <c r="H1107" s="262"/>
      <c r="I1107" s="262"/>
      <c r="J1107" s="262"/>
      <c r="K1107" s="262"/>
      <c r="L1107" s="262"/>
      <c r="M1107" s="262"/>
      <c r="N1107" s="262"/>
      <c r="O1107" s="262"/>
      <c r="P1107" s="262"/>
      <c r="Q1107" s="262"/>
      <c r="R1107" s="262"/>
      <c r="S1107" s="262"/>
      <c r="T1107" s="262"/>
      <c r="U1107" s="262"/>
      <c r="V1107" s="262"/>
      <c r="W1107" s="262"/>
      <c r="X1107" s="262"/>
      <c r="Y1107" s="262"/>
      <c r="Z1107" s="262"/>
      <c r="AA1107" s="262"/>
      <c r="AB1107" s="262"/>
      <c r="AC1107" s="262"/>
      <c r="AD1107" s="262"/>
      <c r="AE1107" s="262"/>
      <c r="AF1107" s="147"/>
      <c r="AG1107" s="147"/>
      <c r="AH1107" s="147"/>
      <c r="AI1107" s="241"/>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row>
    <row r="1108" spans="1:59" ht="15.75" customHeight="1" x14ac:dyDescent="0.2">
      <c r="A1108" s="162"/>
      <c r="B1108" s="162"/>
      <c r="C1108" s="206"/>
      <c r="D1108" s="262"/>
      <c r="E1108" s="262"/>
      <c r="F1108" s="262"/>
      <c r="G1108" s="262"/>
      <c r="H1108" s="262"/>
      <c r="I1108" s="262"/>
      <c r="J1108" s="262"/>
      <c r="K1108" s="262"/>
      <c r="L1108" s="262"/>
      <c r="M1108" s="262"/>
      <c r="N1108" s="262"/>
      <c r="O1108" s="262"/>
      <c r="P1108" s="262"/>
      <c r="Q1108" s="262"/>
      <c r="R1108" s="262"/>
      <c r="S1108" s="262"/>
      <c r="T1108" s="262"/>
      <c r="U1108" s="262"/>
      <c r="V1108" s="262"/>
      <c r="W1108" s="262"/>
      <c r="X1108" s="262"/>
      <c r="Y1108" s="262"/>
      <c r="Z1108" s="262"/>
      <c r="AA1108" s="262"/>
      <c r="AB1108" s="262"/>
      <c r="AC1108" s="262"/>
      <c r="AD1108" s="262"/>
      <c r="AE1108" s="262"/>
      <c r="AF1108" s="147"/>
      <c r="AG1108" s="147"/>
      <c r="AH1108" s="147"/>
      <c r="AI1108" s="147"/>
      <c r="AJ1108" s="241"/>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row>
    <row r="1109" spans="1:59" ht="15.75" customHeight="1" x14ac:dyDescent="0.2">
      <c r="A1109" s="162"/>
      <c r="B1109" s="162"/>
      <c r="C1109" s="206"/>
      <c r="D1109" s="262"/>
      <c r="E1109" s="262"/>
      <c r="F1109" s="262"/>
      <c r="G1109" s="262"/>
      <c r="H1109" s="262"/>
      <c r="I1109" s="262"/>
      <c r="J1109" s="262"/>
      <c r="K1109" s="262"/>
      <c r="L1109" s="262"/>
      <c r="M1109" s="262"/>
      <c r="N1109" s="262"/>
      <c r="O1109" s="262"/>
      <c r="P1109" s="262"/>
      <c r="Q1109" s="262"/>
      <c r="R1109" s="262"/>
      <c r="S1109" s="262"/>
      <c r="T1109" s="262"/>
      <c r="U1109" s="262"/>
      <c r="V1109" s="262"/>
      <c r="W1109" s="262"/>
      <c r="X1109" s="262"/>
      <c r="Y1109" s="262"/>
      <c r="Z1109" s="262"/>
      <c r="AA1109" s="262"/>
      <c r="AB1109" s="262"/>
      <c r="AC1109" s="262"/>
      <c r="AD1109" s="262"/>
      <c r="AE1109" s="262"/>
      <c r="AF1109" s="147"/>
      <c r="AG1109" s="147"/>
      <c r="AH1109" s="147"/>
      <c r="AI1109" s="241"/>
      <c r="AJ1109" s="241"/>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row>
    <row r="1110" spans="1:59" ht="15.75" customHeight="1" x14ac:dyDescent="0.2">
      <c r="A1110" s="162"/>
      <c r="B1110" s="162"/>
      <c r="C1110" s="206"/>
      <c r="D1110" s="262"/>
      <c r="E1110" s="262"/>
      <c r="F1110" s="262"/>
      <c r="G1110" s="262"/>
      <c r="H1110" s="262"/>
      <c r="I1110" s="262"/>
      <c r="J1110" s="262"/>
      <c r="K1110" s="262"/>
      <c r="L1110" s="262"/>
      <c r="M1110" s="262"/>
      <c r="N1110" s="262"/>
      <c r="O1110" s="262"/>
      <c r="P1110" s="262"/>
      <c r="Q1110" s="262"/>
      <c r="R1110" s="262"/>
      <c r="S1110" s="262"/>
      <c r="T1110" s="262"/>
      <c r="U1110" s="262"/>
      <c r="V1110" s="262"/>
      <c r="W1110" s="262"/>
      <c r="X1110" s="262"/>
      <c r="Y1110" s="262"/>
      <c r="Z1110" s="262"/>
      <c r="AA1110" s="262"/>
      <c r="AB1110" s="262"/>
      <c r="AC1110" s="262"/>
      <c r="AD1110" s="262"/>
      <c r="AE1110" s="262"/>
      <c r="AF1110" s="147"/>
      <c r="AG1110" s="147"/>
      <c r="AH1110" s="147"/>
      <c r="AI1110" s="241"/>
      <c r="AJ1110" s="161"/>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row>
    <row r="1111" spans="1:59" ht="15.75" customHeight="1" x14ac:dyDescent="0.2">
      <c r="A1111" s="162"/>
      <c r="B1111" s="162"/>
      <c r="C1111" s="206"/>
      <c r="D1111" s="262"/>
      <c r="E1111" s="262"/>
      <c r="F1111" s="262"/>
      <c r="G1111" s="262"/>
      <c r="H1111" s="262"/>
      <c r="I1111" s="262"/>
      <c r="J1111" s="262"/>
      <c r="K1111" s="262"/>
      <c r="L1111" s="262"/>
      <c r="M1111" s="262"/>
      <c r="N1111" s="262"/>
      <c r="O1111" s="262"/>
      <c r="P1111" s="262"/>
      <c r="Q1111" s="262"/>
      <c r="R1111" s="262"/>
      <c r="S1111" s="262"/>
      <c r="T1111" s="262"/>
      <c r="U1111" s="262"/>
      <c r="V1111" s="262"/>
      <c r="W1111" s="262"/>
      <c r="X1111" s="262"/>
      <c r="Y1111" s="262"/>
      <c r="Z1111" s="262"/>
      <c r="AA1111" s="262"/>
      <c r="AB1111" s="262"/>
      <c r="AC1111" s="262"/>
      <c r="AD1111" s="262"/>
      <c r="AE1111" s="262"/>
      <c r="AF1111" s="147"/>
      <c r="AG1111" s="147"/>
      <c r="AH1111" s="147"/>
      <c r="AI1111" s="147"/>
      <c r="AJ1111" s="172"/>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row>
    <row r="1112" spans="1:59" ht="15.75" customHeight="1" x14ac:dyDescent="0.2">
      <c r="A1112" s="162"/>
      <c r="B1112" s="162"/>
      <c r="C1112" s="206"/>
      <c r="D1112" s="262"/>
      <c r="E1112" s="262"/>
      <c r="F1112" s="262"/>
      <c r="G1112" s="262"/>
      <c r="H1112" s="262"/>
      <c r="I1112" s="262"/>
      <c r="J1112" s="262"/>
      <c r="K1112" s="262"/>
      <c r="L1112" s="262"/>
      <c r="M1112" s="262"/>
      <c r="N1112" s="262"/>
      <c r="O1112" s="262"/>
      <c r="P1112" s="262"/>
      <c r="Q1112" s="262"/>
      <c r="R1112" s="262"/>
      <c r="S1112" s="262"/>
      <c r="T1112" s="262"/>
      <c r="U1112" s="262"/>
      <c r="V1112" s="262"/>
      <c r="W1112" s="262"/>
      <c r="X1112" s="262"/>
      <c r="Y1112" s="262"/>
      <c r="Z1112" s="262"/>
      <c r="AA1112" s="262"/>
      <c r="AB1112" s="262"/>
      <c r="AC1112" s="262"/>
      <c r="AD1112" s="262"/>
      <c r="AE1112" s="262"/>
      <c r="AF1112" s="147"/>
      <c r="AG1112" s="147"/>
      <c r="AH1112" s="147"/>
      <c r="AI1112" s="241"/>
      <c r="AJ1112" s="161"/>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row>
    <row r="1113" spans="1:59" ht="15.75" customHeight="1" x14ac:dyDescent="0.2">
      <c r="A1113" s="162"/>
      <c r="B1113" s="162"/>
      <c r="C1113" s="206"/>
      <c r="D1113" s="262"/>
      <c r="E1113" s="262"/>
      <c r="F1113" s="262"/>
      <c r="G1113" s="262"/>
      <c r="H1113" s="262"/>
      <c r="I1113" s="262"/>
      <c r="J1113" s="262"/>
      <c r="K1113" s="262"/>
      <c r="L1113" s="262"/>
      <c r="M1113" s="262"/>
      <c r="N1113" s="262"/>
      <c r="O1113" s="262"/>
      <c r="P1113" s="262"/>
      <c r="Q1113" s="262"/>
      <c r="R1113" s="262"/>
      <c r="S1113" s="262"/>
      <c r="T1113" s="262"/>
      <c r="U1113" s="262"/>
      <c r="V1113" s="262"/>
      <c r="W1113" s="262"/>
      <c r="X1113" s="262"/>
      <c r="Y1113" s="262"/>
      <c r="Z1113" s="262"/>
      <c r="AA1113" s="262"/>
      <c r="AB1113" s="262"/>
      <c r="AC1113" s="262"/>
      <c r="AD1113" s="262"/>
      <c r="AE1113" s="262"/>
      <c r="AF1113" s="147"/>
      <c r="AG1113" s="147"/>
      <c r="AH1113" s="147"/>
      <c r="AI1113" s="241"/>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row>
    <row r="1114" spans="1:59" ht="15.75" customHeight="1" x14ac:dyDescent="0.2">
      <c r="A1114" s="162"/>
      <c r="B1114" s="162"/>
      <c r="C1114" s="206"/>
      <c r="D1114" s="262"/>
      <c r="E1114" s="262"/>
      <c r="F1114" s="262"/>
      <c r="G1114" s="262"/>
      <c r="H1114" s="262"/>
      <c r="I1114" s="262"/>
      <c r="J1114" s="262"/>
      <c r="K1114" s="262"/>
      <c r="L1114" s="262"/>
      <c r="M1114" s="262"/>
      <c r="N1114" s="262"/>
      <c r="O1114" s="262"/>
      <c r="P1114" s="262"/>
      <c r="Q1114" s="262"/>
      <c r="R1114" s="262"/>
      <c r="S1114" s="262"/>
      <c r="T1114" s="262"/>
      <c r="U1114" s="262"/>
      <c r="V1114" s="262"/>
      <c r="W1114" s="262"/>
      <c r="X1114" s="262"/>
      <c r="Y1114" s="262"/>
      <c r="Z1114" s="262"/>
      <c r="AA1114" s="262"/>
      <c r="AB1114" s="262"/>
      <c r="AC1114" s="262"/>
      <c r="AD1114" s="262"/>
      <c r="AE1114" s="262"/>
      <c r="AF1114" s="147"/>
      <c r="AG1114" s="147"/>
      <c r="AH1114" s="147"/>
      <c r="AI1114" s="147"/>
      <c r="AJ1114" s="161"/>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row>
    <row r="1115" spans="1:59" ht="15.75" customHeight="1" x14ac:dyDescent="0.2">
      <c r="A1115" s="162"/>
      <c r="B1115" s="162"/>
      <c r="C1115" s="206"/>
      <c r="D1115" s="262"/>
      <c r="E1115" s="262"/>
      <c r="F1115" s="262"/>
      <c r="G1115" s="262"/>
      <c r="H1115" s="262"/>
      <c r="I1115" s="262"/>
      <c r="J1115" s="262"/>
      <c r="K1115" s="262"/>
      <c r="L1115" s="262"/>
      <c r="M1115" s="262"/>
      <c r="N1115" s="262"/>
      <c r="O1115" s="262"/>
      <c r="P1115" s="262"/>
      <c r="Q1115" s="262"/>
      <c r="R1115" s="262"/>
      <c r="S1115" s="262"/>
      <c r="T1115" s="262"/>
      <c r="U1115" s="262"/>
      <c r="V1115" s="262"/>
      <c r="W1115" s="262"/>
      <c r="X1115" s="262"/>
      <c r="Y1115" s="262"/>
      <c r="Z1115" s="262"/>
      <c r="AA1115" s="262"/>
      <c r="AB1115" s="262"/>
      <c r="AC1115" s="262"/>
      <c r="AD1115" s="262"/>
      <c r="AE1115" s="262"/>
      <c r="AF1115" s="147"/>
      <c r="AG1115" s="147"/>
      <c r="AH1115" s="147"/>
      <c r="AI1115" s="241"/>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row>
    <row r="1116" spans="1:59" ht="15.75" customHeight="1" x14ac:dyDescent="0.2">
      <c r="A1116" s="162"/>
      <c r="B1116" s="162"/>
      <c r="C1116" s="206"/>
      <c r="D1116" s="262"/>
      <c r="E1116" s="262"/>
      <c r="F1116" s="262"/>
      <c r="G1116" s="262"/>
      <c r="H1116" s="262"/>
      <c r="I1116" s="262"/>
      <c r="J1116" s="262"/>
      <c r="K1116" s="262"/>
      <c r="L1116" s="262"/>
      <c r="M1116" s="262"/>
      <c r="N1116" s="262"/>
      <c r="O1116" s="262"/>
      <c r="P1116" s="262"/>
      <c r="Q1116" s="262"/>
      <c r="R1116" s="262"/>
      <c r="S1116" s="262"/>
      <c r="T1116" s="262"/>
      <c r="U1116" s="262"/>
      <c r="V1116" s="262"/>
      <c r="W1116" s="262"/>
      <c r="X1116" s="262"/>
      <c r="Y1116" s="262"/>
      <c r="Z1116" s="262"/>
      <c r="AA1116" s="262"/>
      <c r="AB1116" s="262"/>
      <c r="AC1116" s="262"/>
      <c r="AD1116" s="262"/>
      <c r="AE1116" s="262"/>
      <c r="AF1116" s="147"/>
      <c r="AG1116" s="147"/>
      <c r="AH1116" s="147"/>
      <c r="AI1116" s="241"/>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row>
    <row r="1117" spans="1:59" ht="15.75" customHeight="1" x14ac:dyDescent="0.2">
      <c r="A1117" s="162"/>
      <c r="B1117" s="162"/>
      <c r="C1117" s="206"/>
      <c r="D1117" s="262"/>
      <c r="E1117" s="262"/>
      <c r="F1117" s="262"/>
      <c r="G1117" s="262"/>
      <c r="H1117" s="262"/>
      <c r="I1117" s="262"/>
      <c r="J1117" s="262"/>
      <c r="K1117" s="262"/>
      <c r="L1117" s="262"/>
      <c r="M1117" s="262"/>
      <c r="N1117" s="262"/>
      <c r="O1117" s="262"/>
      <c r="P1117" s="262"/>
      <c r="Q1117" s="262"/>
      <c r="R1117" s="262"/>
      <c r="S1117" s="262"/>
      <c r="T1117" s="262"/>
      <c r="U1117" s="262"/>
      <c r="V1117" s="262"/>
      <c r="W1117" s="262"/>
      <c r="X1117" s="262"/>
      <c r="Y1117" s="262"/>
      <c r="Z1117" s="262"/>
      <c r="AA1117" s="262"/>
      <c r="AB1117" s="262"/>
      <c r="AC1117" s="262"/>
      <c r="AD1117" s="262"/>
      <c r="AE1117" s="262"/>
      <c r="AF1117" s="147"/>
      <c r="AG1117" s="147"/>
      <c r="AH1117" s="147"/>
      <c r="AI1117" s="147"/>
      <c r="AJ1117" s="161"/>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row>
    <row r="1118" spans="1:59" ht="15.75" customHeight="1" x14ac:dyDescent="0.2">
      <c r="A1118" s="162"/>
      <c r="B1118" s="162"/>
      <c r="C1118" s="206"/>
      <c r="D1118" s="262"/>
      <c r="E1118" s="262"/>
      <c r="F1118" s="262"/>
      <c r="G1118" s="262"/>
      <c r="H1118" s="262"/>
      <c r="I1118" s="262"/>
      <c r="J1118" s="262"/>
      <c r="K1118" s="262"/>
      <c r="L1118" s="262"/>
      <c r="M1118" s="262"/>
      <c r="N1118" s="262"/>
      <c r="O1118" s="262"/>
      <c r="P1118" s="262"/>
      <c r="Q1118" s="262"/>
      <c r="R1118" s="262"/>
      <c r="S1118" s="262"/>
      <c r="T1118" s="262"/>
      <c r="U1118" s="262"/>
      <c r="V1118" s="262"/>
      <c r="W1118" s="262"/>
      <c r="X1118" s="262"/>
      <c r="Y1118" s="262"/>
      <c r="Z1118" s="262"/>
      <c r="AA1118" s="262"/>
      <c r="AB1118" s="262"/>
      <c r="AC1118" s="262"/>
      <c r="AD1118" s="262"/>
      <c r="AE1118" s="262"/>
      <c r="AF1118" s="147"/>
      <c r="AG1118" s="147"/>
      <c r="AH1118" s="147"/>
      <c r="AI1118" s="147"/>
      <c r="AJ1118" s="161"/>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row>
    <row r="1119" spans="1:59" ht="15.75" customHeight="1" x14ac:dyDescent="0.2">
      <c r="A1119" s="162"/>
      <c r="B1119" s="162"/>
      <c r="C1119" s="206"/>
      <c r="D1119" s="262"/>
      <c r="E1119" s="262"/>
      <c r="F1119" s="262"/>
      <c r="G1119" s="262"/>
      <c r="H1119" s="262"/>
      <c r="I1119" s="262"/>
      <c r="J1119" s="262"/>
      <c r="K1119" s="262"/>
      <c r="L1119" s="262"/>
      <c r="M1119" s="262"/>
      <c r="N1119" s="262"/>
      <c r="O1119" s="262"/>
      <c r="P1119" s="262"/>
      <c r="Q1119" s="262"/>
      <c r="R1119" s="262"/>
      <c r="S1119" s="262"/>
      <c r="T1119" s="262"/>
      <c r="U1119" s="262"/>
      <c r="V1119" s="262"/>
      <c r="W1119" s="262"/>
      <c r="X1119" s="262"/>
      <c r="Y1119" s="262"/>
      <c r="Z1119" s="262"/>
      <c r="AA1119" s="262"/>
      <c r="AB1119" s="262"/>
      <c r="AC1119" s="262"/>
      <c r="AD1119" s="262"/>
      <c r="AE1119" s="262"/>
      <c r="AF1119" s="147"/>
      <c r="AG1119" s="147"/>
      <c r="AH1119" s="147"/>
      <c r="AI1119" s="147"/>
      <c r="AJ1119" s="161"/>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row>
    <row r="1120" spans="1:59" ht="15.75" customHeight="1" x14ac:dyDescent="0.2">
      <c r="A1120" s="162"/>
      <c r="B1120" s="162"/>
      <c r="C1120" s="206"/>
      <c r="D1120" s="262"/>
      <c r="E1120" s="262"/>
      <c r="F1120" s="262"/>
      <c r="G1120" s="262"/>
      <c r="H1120" s="262"/>
      <c r="I1120" s="262"/>
      <c r="J1120" s="262"/>
      <c r="K1120" s="262"/>
      <c r="L1120" s="262"/>
      <c r="M1120" s="262"/>
      <c r="N1120" s="262"/>
      <c r="O1120" s="262"/>
      <c r="P1120" s="262"/>
      <c r="Q1120" s="262"/>
      <c r="R1120" s="262"/>
      <c r="S1120" s="262"/>
      <c r="T1120" s="262"/>
      <c r="U1120" s="262"/>
      <c r="V1120" s="262"/>
      <c r="W1120" s="262"/>
      <c r="X1120" s="262"/>
      <c r="Y1120" s="262"/>
      <c r="Z1120" s="262"/>
      <c r="AA1120" s="262"/>
      <c r="AB1120" s="262"/>
      <c r="AC1120" s="262"/>
      <c r="AD1120" s="262"/>
      <c r="AE1120" s="262"/>
      <c r="AF1120" s="147"/>
      <c r="AG1120" s="147"/>
      <c r="AH1120" s="147"/>
      <c r="AI1120" s="241"/>
      <c r="AJ1120" s="161"/>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row>
    <row r="1121" spans="1:59" ht="15.75" customHeight="1" x14ac:dyDescent="0.2">
      <c r="A1121" s="162"/>
      <c r="B1121" s="162"/>
      <c r="C1121" s="206"/>
      <c r="D1121" s="262"/>
      <c r="E1121" s="262"/>
      <c r="F1121" s="262"/>
      <c r="G1121" s="262"/>
      <c r="H1121" s="262"/>
      <c r="I1121" s="262"/>
      <c r="J1121" s="262"/>
      <c r="K1121" s="262"/>
      <c r="L1121" s="262"/>
      <c r="M1121" s="262"/>
      <c r="N1121" s="262"/>
      <c r="O1121" s="262"/>
      <c r="P1121" s="262"/>
      <c r="Q1121" s="262"/>
      <c r="R1121" s="262"/>
      <c r="S1121" s="262"/>
      <c r="T1121" s="262"/>
      <c r="U1121" s="262"/>
      <c r="V1121" s="262"/>
      <c r="W1121" s="262"/>
      <c r="X1121" s="262"/>
      <c r="Y1121" s="262"/>
      <c r="Z1121" s="262"/>
      <c r="AA1121" s="262"/>
      <c r="AB1121" s="262"/>
      <c r="AC1121" s="262"/>
      <c r="AD1121" s="262"/>
      <c r="AE1121" s="262"/>
      <c r="AF1121" s="147"/>
      <c r="AG1121" s="147"/>
      <c r="AH1121" s="147"/>
      <c r="AI1121" s="241"/>
      <c r="AJ1121" s="161"/>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row>
    <row r="1122" spans="1:59" ht="15.75" customHeight="1" x14ac:dyDescent="0.2">
      <c r="A1122" s="162"/>
      <c r="B1122" s="162"/>
      <c r="C1122" s="206"/>
      <c r="D1122" s="262"/>
      <c r="E1122" s="262"/>
      <c r="F1122" s="262"/>
      <c r="G1122" s="262"/>
      <c r="H1122" s="262"/>
      <c r="I1122" s="262"/>
      <c r="J1122" s="262"/>
      <c r="K1122" s="262"/>
      <c r="L1122" s="262"/>
      <c r="M1122" s="262"/>
      <c r="N1122" s="262"/>
      <c r="O1122" s="262"/>
      <c r="P1122" s="262"/>
      <c r="Q1122" s="262"/>
      <c r="R1122" s="262"/>
      <c r="S1122" s="262"/>
      <c r="T1122" s="262"/>
      <c r="U1122" s="262"/>
      <c r="V1122" s="262"/>
      <c r="W1122" s="262"/>
      <c r="X1122" s="262"/>
      <c r="Y1122" s="262"/>
      <c r="Z1122" s="262"/>
      <c r="AA1122" s="262"/>
      <c r="AB1122" s="262"/>
      <c r="AC1122" s="262"/>
      <c r="AD1122" s="262"/>
      <c r="AE1122" s="262"/>
      <c r="AF1122" s="147"/>
      <c r="AG1122" s="147"/>
      <c r="AH1122" s="147"/>
      <c r="AI1122" s="161"/>
      <c r="AJ1122" s="15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row>
    <row r="1123" spans="1:59" ht="15.75" customHeight="1" x14ac:dyDescent="0.2">
      <c r="A1123" s="162"/>
      <c r="B1123" s="162"/>
      <c r="C1123" s="206"/>
      <c r="D1123" s="262"/>
      <c r="E1123" s="262"/>
      <c r="F1123" s="262"/>
      <c r="G1123" s="262"/>
      <c r="H1123" s="262"/>
      <c r="I1123" s="262"/>
      <c r="J1123" s="262"/>
      <c r="K1123" s="262"/>
      <c r="L1123" s="262"/>
      <c r="M1123" s="262"/>
      <c r="N1123" s="262"/>
      <c r="O1123" s="262"/>
      <c r="P1123" s="262"/>
      <c r="Q1123" s="262"/>
      <c r="R1123" s="262"/>
      <c r="S1123" s="262"/>
      <c r="T1123" s="262"/>
      <c r="U1123" s="262"/>
      <c r="V1123" s="262"/>
      <c r="W1123" s="262"/>
      <c r="X1123" s="262"/>
      <c r="Y1123" s="262"/>
      <c r="Z1123" s="262"/>
      <c r="AA1123" s="262"/>
      <c r="AB1123" s="262"/>
      <c r="AC1123" s="262"/>
      <c r="AD1123" s="262"/>
      <c r="AE1123" s="262"/>
      <c r="AF1123" s="147"/>
      <c r="AG1123" s="147"/>
      <c r="AH1123" s="147"/>
      <c r="AI1123" s="172"/>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row>
    <row r="1124" spans="1:59" ht="15.75" customHeight="1" x14ac:dyDescent="0.2">
      <c r="A1124" s="162"/>
      <c r="B1124" s="162"/>
      <c r="C1124" s="206"/>
      <c r="D1124" s="262"/>
      <c r="E1124" s="262"/>
      <c r="F1124" s="262"/>
      <c r="G1124" s="262"/>
      <c r="H1124" s="262"/>
      <c r="I1124" s="262"/>
      <c r="J1124" s="262"/>
      <c r="K1124" s="262"/>
      <c r="L1124" s="262"/>
      <c r="M1124" s="262"/>
      <c r="N1124" s="262"/>
      <c r="O1124" s="262"/>
      <c r="P1124" s="262"/>
      <c r="Q1124" s="262"/>
      <c r="R1124" s="262"/>
      <c r="S1124" s="262"/>
      <c r="T1124" s="262"/>
      <c r="U1124" s="262"/>
      <c r="V1124" s="262"/>
      <c r="W1124" s="262"/>
      <c r="X1124" s="262"/>
      <c r="Y1124" s="262"/>
      <c r="Z1124" s="262"/>
      <c r="AA1124" s="262"/>
      <c r="AB1124" s="262"/>
      <c r="AC1124" s="262"/>
      <c r="AD1124" s="262"/>
      <c r="AE1124" s="262"/>
      <c r="AF1124" s="147"/>
      <c r="AG1124" s="147"/>
      <c r="AH1124" s="147"/>
      <c r="AI1124" s="161"/>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row>
    <row r="1125" spans="1:59" ht="15.75" customHeight="1" x14ac:dyDescent="0.2">
      <c r="A1125" s="162"/>
      <c r="B1125" s="162"/>
      <c r="C1125" s="206"/>
      <c r="D1125" s="262"/>
      <c r="E1125" s="262"/>
      <c r="F1125" s="262"/>
      <c r="G1125" s="262"/>
      <c r="H1125" s="262"/>
      <c r="I1125" s="262"/>
      <c r="J1125" s="262"/>
      <c r="K1125" s="262"/>
      <c r="L1125" s="262"/>
      <c r="M1125" s="262"/>
      <c r="N1125" s="262"/>
      <c r="O1125" s="262"/>
      <c r="P1125" s="262"/>
      <c r="Q1125" s="262"/>
      <c r="R1125" s="262"/>
      <c r="S1125" s="262"/>
      <c r="T1125" s="262"/>
      <c r="U1125" s="262"/>
      <c r="V1125" s="262"/>
      <c r="W1125" s="262"/>
      <c r="X1125" s="262"/>
      <c r="Y1125" s="262"/>
      <c r="Z1125" s="262"/>
      <c r="AA1125" s="262"/>
      <c r="AB1125" s="262"/>
      <c r="AC1125" s="262"/>
      <c r="AD1125" s="262"/>
      <c r="AE1125" s="262"/>
      <c r="AF1125" s="147"/>
      <c r="AG1125" s="147"/>
      <c r="AH1125" s="147"/>
      <c r="AI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row>
    <row r="1126" spans="1:59" ht="15.75" customHeight="1" x14ac:dyDescent="0.2">
      <c r="A1126" s="162"/>
      <c r="B1126" s="162"/>
      <c r="C1126" s="206"/>
      <c r="D1126" s="262"/>
      <c r="E1126" s="262"/>
      <c r="F1126" s="262"/>
      <c r="G1126" s="262"/>
      <c r="H1126" s="262"/>
      <c r="I1126" s="262"/>
      <c r="J1126" s="262"/>
      <c r="K1126" s="262"/>
      <c r="L1126" s="262"/>
      <c r="M1126" s="262"/>
      <c r="N1126" s="262"/>
      <c r="O1126" s="262"/>
      <c r="P1126" s="262"/>
      <c r="Q1126" s="262"/>
      <c r="R1126" s="262"/>
      <c r="S1126" s="262"/>
      <c r="T1126" s="262"/>
      <c r="U1126" s="262"/>
      <c r="V1126" s="262"/>
      <c r="W1126" s="262"/>
      <c r="X1126" s="262"/>
      <c r="Y1126" s="262"/>
      <c r="Z1126" s="262"/>
      <c r="AA1126" s="262"/>
      <c r="AB1126" s="262"/>
      <c r="AC1126" s="262"/>
      <c r="AD1126" s="262"/>
      <c r="AE1126" s="262"/>
      <c r="AF1126" s="147"/>
      <c r="AG1126" s="147"/>
      <c r="AH1126" s="147"/>
      <c r="AI1126" s="161"/>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row>
    <row r="1127" spans="1:59" ht="15.75" customHeight="1" x14ac:dyDescent="0.2">
      <c r="A1127" s="162"/>
      <c r="B1127" s="162"/>
      <c r="C1127" s="206"/>
      <c r="D1127" s="262"/>
      <c r="E1127" s="262"/>
      <c r="F1127" s="262"/>
      <c r="G1127" s="262"/>
      <c r="H1127" s="262"/>
      <c r="I1127" s="262"/>
      <c r="J1127" s="262"/>
      <c r="K1127" s="262"/>
      <c r="L1127" s="262"/>
      <c r="M1127" s="262"/>
      <c r="N1127" s="262"/>
      <c r="O1127" s="262"/>
      <c r="P1127" s="262"/>
      <c r="Q1127" s="262"/>
      <c r="R1127" s="262"/>
      <c r="S1127" s="262"/>
      <c r="T1127" s="262"/>
      <c r="U1127" s="262"/>
      <c r="V1127" s="262"/>
      <c r="W1127" s="262"/>
      <c r="X1127" s="262"/>
      <c r="Y1127" s="262"/>
      <c r="Z1127" s="262"/>
      <c r="AA1127" s="262"/>
      <c r="AB1127" s="262"/>
      <c r="AC1127" s="262"/>
      <c r="AD1127" s="262"/>
      <c r="AE1127" s="262"/>
      <c r="AF1127" s="147"/>
      <c r="AG1127" s="147"/>
      <c r="AH1127" s="147"/>
      <c r="AI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row>
    <row r="1128" spans="1:59" ht="15.75" customHeight="1" x14ac:dyDescent="0.2">
      <c r="A1128" s="162"/>
      <c r="B1128" s="162"/>
      <c r="C1128" s="206"/>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147"/>
      <c r="AG1128" s="147"/>
      <c r="AH1128" s="147"/>
      <c r="AI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row>
    <row r="1129" spans="1:59" ht="15.75" customHeight="1" x14ac:dyDescent="0.2">
      <c r="A1129" s="162"/>
      <c r="B1129" s="162"/>
      <c r="C1129" s="206"/>
      <c r="D1129" s="262"/>
      <c r="E1129" s="262"/>
      <c r="F1129" s="262"/>
      <c r="G1129" s="262"/>
      <c r="H1129" s="262"/>
      <c r="I1129" s="262"/>
      <c r="J1129" s="262"/>
      <c r="K1129" s="262"/>
      <c r="L1129" s="262"/>
      <c r="M1129" s="262"/>
      <c r="N1129" s="262"/>
      <c r="O1129" s="262"/>
      <c r="P1129" s="262"/>
      <c r="Q1129" s="262"/>
      <c r="R1129" s="262"/>
      <c r="S1129" s="262"/>
      <c r="T1129" s="262"/>
      <c r="U1129" s="262"/>
      <c r="V1129" s="262"/>
      <c r="W1129" s="262"/>
      <c r="X1129" s="262"/>
      <c r="Y1129" s="262"/>
      <c r="Z1129" s="262"/>
      <c r="AA1129" s="262"/>
      <c r="AB1129" s="262"/>
      <c r="AC1129" s="262"/>
      <c r="AD1129" s="262"/>
      <c r="AE1129" s="262"/>
      <c r="AF1129" s="147"/>
      <c r="AG1129" s="147"/>
      <c r="AH1129" s="147"/>
      <c r="AI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row>
    <row r="1130" spans="1:59" ht="15.75" customHeight="1" x14ac:dyDescent="0.2">
      <c r="A1130" s="162"/>
      <c r="B1130" s="162"/>
      <c r="C1130" s="206"/>
      <c r="D1130" s="262"/>
      <c r="E1130" s="262"/>
      <c r="F1130" s="262"/>
      <c r="G1130" s="262"/>
      <c r="H1130" s="262"/>
      <c r="I1130" s="262"/>
      <c r="J1130" s="262"/>
      <c r="K1130" s="262"/>
      <c r="L1130" s="262"/>
      <c r="M1130" s="262"/>
      <c r="N1130" s="262"/>
      <c r="O1130" s="262"/>
      <c r="P1130" s="262"/>
      <c r="Q1130" s="262"/>
      <c r="R1130" s="262"/>
      <c r="S1130" s="262"/>
      <c r="T1130" s="262"/>
      <c r="U1130" s="262"/>
      <c r="V1130" s="262"/>
      <c r="W1130" s="262"/>
      <c r="X1130" s="262"/>
      <c r="Y1130" s="262"/>
      <c r="Z1130" s="262"/>
      <c r="AA1130" s="262"/>
      <c r="AB1130" s="262"/>
      <c r="AC1130" s="262"/>
      <c r="AD1130" s="262"/>
      <c r="AE1130" s="262"/>
      <c r="AF1130" s="147"/>
      <c r="AG1130" s="147"/>
      <c r="AH1130" s="147"/>
      <c r="AI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row>
    <row r="1131" spans="1:59" ht="15.75" customHeight="1" x14ac:dyDescent="0.2">
      <c r="A1131" s="162"/>
      <c r="B1131" s="162"/>
      <c r="C1131" s="206"/>
      <c r="D1131" s="262"/>
      <c r="E1131" s="262"/>
      <c r="F1131" s="262"/>
      <c r="G1131" s="262"/>
      <c r="H1131" s="262"/>
      <c r="I1131" s="262"/>
      <c r="J1131" s="262"/>
      <c r="K1131" s="262"/>
      <c r="L1131" s="262"/>
      <c r="M1131" s="262"/>
      <c r="N1131" s="262"/>
      <c r="O1131" s="262"/>
      <c r="P1131" s="262"/>
      <c r="Q1131" s="262"/>
      <c r="R1131" s="262"/>
      <c r="S1131" s="262"/>
      <c r="T1131" s="262"/>
      <c r="U1131" s="262"/>
      <c r="V1131" s="262"/>
      <c r="W1131" s="262"/>
      <c r="X1131" s="262"/>
      <c r="Y1131" s="262"/>
      <c r="Z1131" s="262"/>
      <c r="AA1131" s="262"/>
      <c r="AB1131" s="262"/>
      <c r="AC1131" s="262"/>
      <c r="AD1131" s="262"/>
      <c r="AE1131" s="262"/>
      <c r="AF1131" s="147"/>
      <c r="AG1131" s="147"/>
      <c r="AH1131" s="147"/>
      <c r="AI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row>
    <row r="1132" spans="1:59" ht="15.75" customHeight="1" x14ac:dyDescent="0.2">
      <c r="A1132" s="162"/>
      <c r="B1132" s="162"/>
      <c r="C1132" s="206"/>
      <c r="D1132" s="262"/>
      <c r="E1132" s="262"/>
      <c r="F1132" s="262"/>
      <c r="G1132" s="262"/>
      <c r="H1132" s="262"/>
      <c r="I1132" s="262"/>
      <c r="J1132" s="262"/>
      <c r="K1132" s="262"/>
      <c r="L1132" s="262"/>
      <c r="M1132" s="262"/>
      <c r="N1132" s="262"/>
      <c r="O1132" s="262"/>
      <c r="P1132" s="262"/>
      <c r="Q1132" s="262"/>
      <c r="R1132" s="262"/>
      <c r="S1132" s="262"/>
      <c r="T1132" s="262"/>
      <c r="U1132" s="262"/>
      <c r="V1132" s="262"/>
      <c r="W1132" s="262"/>
      <c r="X1132" s="262"/>
      <c r="Y1132" s="262"/>
      <c r="Z1132" s="262"/>
      <c r="AA1132" s="262"/>
      <c r="AB1132" s="262"/>
      <c r="AC1132" s="262"/>
      <c r="AD1132" s="262"/>
      <c r="AE1132" s="262"/>
      <c r="AF1132" s="147"/>
      <c r="AG1132" s="147"/>
      <c r="AH1132" s="147"/>
      <c r="AI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row>
    <row r="1133" spans="1:59" ht="15.75" customHeight="1" x14ac:dyDescent="0.2">
      <c r="A1133" s="162"/>
      <c r="B1133" s="162"/>
      <c r="C1133" s="206"/>
      <c r="D1133" s="262"/>
      <c r="E1133" s="262"/>
      <c r="F1133" s="262"/>
      <c r="G1133" s="262"/>
      <c r="H1133" s="262"/>
      <c r="I1133" s="262"/>
      <c r="J1133" s="262"/>
      <c r="K1133" s="262"/>
      <c r="L1133" s="262"/>
      <c r="M1133" s="262"/>
      <c r="N1133" s="262"/>
      <c r="O1133" s="262"/>
      <c r="P1133" s="262"/>
      <c r="Q1133" s="262"/>
      <c r="R1133" s="262"/>
      <c r="S1133" s="262"/>
      <c r="T1133" s="262"/>
      <c r="U1133" s="262"/>
      <c r="V1133" s="262"/>
      <c r="W1133" s="262"/>
      <c r="X1133" s="262"/>
      <c r="Y1133" s="262"/>
      <c r="Z1133" s="262"/>
      <c r="AA1133" s="262"/>
      <c r="AB1133" s="262"/>
      <c r="AC1133" s="262"/>
      <c r="AD1133" s="262"/>
      <c r="AE1133" s="262"/>
      <c r="AF1133" s="147"/>
      <c r="AG1133" s="147"/>
      <c r="AH1133" s="147"/>
      <c r="AI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row>
    <row r="1134" spans="1:59" ht="15.75" customHeight="1" x14ac:dyDescent="0.2">
      <c r="A1134" s="162"/>
      <c r="B1134" s="162"/>
      <c r="C1134" s="206"/>
      <c r="D1134" s="262"/>
      <c r="E1134" s="262"/>
      <c r="F1134" s="262"/>
      <c r="G1134" s="262"/>
      <c r="H1134" s="262"/>
      <c r="I1134" s="262"/>
      <c r="J1134" s="262"/>
      <c r="K1134" s="262"/>
      <c r="L1134" s="262"/>
      <c r="M1134" s="262"/>
      <c r="N1134" s="262"/>
      <c r="O1134" s="262"/>
      <c r="P1134" s="262"/>
      <c r="Q1134" s="262"/>
      <c r="R1134" s="262"/>
      <c r="S1134" s="262"/>
      <c r="T1134" s="262"/>
      <c r="U1134" s="262"/>
      <c r="V1134" s="262"/>
      <c r="W1134" s="262"/>
      <c r="X1134" s="262"/>
      <c r="Y1134" s="262"/>
      <c r="Z1134" s="262"/>
      <c r="AA1134" s="262"/>
      <c r="AB1134" s="262"/>
      <c r="AC1134" s="262"/>
      <c r="AD1134" s="262"/>
      <c r="AE1134" s="262"/>
      <c r="AF1134" s="147"/>
      <c r="AG1134" s="147"/>
      <c r="AH1134" s="147"/>
      <c r="AI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row>
    <row r="1135" spans="1:59" ht="15.75" customHeight="1" x14ac:dyDescent="0.2">
      <c r="A1135" s="162"/>
      <c r="B1135" s="162"/>
      <c r="C1135" s="206"/>
      <c r="D1135" s="262"/>
      <c r="E1135" s="262"/>
      <c r="F1135" s="262"/>
      <c r="G1135" s="262"/>
      <c r="H1135" s="262"/>
      <c r="I1135" s="262"/>
      <c r="J1135" s="262"/>
      <c r="K1135" s="262"/>
      <c r="L1135" s="262"/>
      <c r="M1135" s="262"/>
      <c r="N1135" s="262"/>
      <c r="O1135" s="262"/>
      <c r="P1135" s="262"/>
      <c r="Q1135" s="262"/>
      <c r="R1135" s="262"/>
      <c r="S1135" s="262"/>
      <c r="T1135" s="262"/>
      <c r="U1135" s="262"/>
      <c r="V1135" s="262"/>
      <c r="W1135" s="262"/>
      <c r="X1135" s="262"/>
      <c r="Y1135" s="262"/>
      <c r="Z1135" s="262"/>
      <c r="AA1135" s="262"/>
      <c r="AB1135" s="262"/>
      <c r="AC1135" s="262"/>
      <c r="AD1135" s="262"/>
      <c r="AE1135" s="262"/>
      <c r="AF1135" s="147"/>
      <c r="AG1135" s="147"/>
      <c r="AH1135" s="147"/>
      <c r="AI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row>
    <row r="1136" spans="1:59" ht="15.75" customHeight="1" x14ac:dyDescent="0.2">
      <c r="A1136" s="162"/>
      <c r="B1136" s="162"/>
      <c r="C1136" s="206"/>
      <c r="D1136" s="262"/>
      <c r="E1136" s="262"/>
      <c r="F1136" s="262"/>
      <c r="G1136" s="262"/>
      <c r="H1136" s="262"/>
      <c r="I1136" s="262"/>
      <c r="J1136" s="262"/>
      <c r="K1136" s="262"/>
      <c r="L1136" s="262"/>
      <c r="M1136" s="262"/>
      <c r="N1136" s="262"/>
      <c r="O1136" s="262"/>
      <c r="P1136" s="262"/>
      <c r="Q1136" s="262"/>
      <c r="R1136" s="262"/>
      <c r="S1136" s="262"/>
      <c r="T1136" s="262"/>
      <c r="U1136" s="262"/>
      <c r="V1136" s="262"/>
      <c r="W1136" s="262"/>
      <c r="X1136" s="262"/>
      <c r="Y1136" s="262"/>
      <c r="Z1136" s="262"/>
      <c r="AA1136" s="262"/>
      <c r="AB1136" s="262"/>
      <c r="AC1136" s="262"/>
      <c r="AD1136" s="262"/>
      <c r="AE1136" s="262"/>
      <c r="AF1136" s="147"/>
      <c r="AG1136" s="147"/>
      <c r="AH1136" s="147"/>
      <c r="AI1136" s="84"/>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row>
    <row r="1137" spans="1:59" ht="15.75" customHeight="1" x14ac:dyDescent="0.2">
      <c r="A1137" s="162"/>
      <c r="B1137" s="162"/>
      <c r="C1137" s="206"/>
      <c r="D1137" s="262"/>
      <c r="E1137" s="262"/>
      <c r="F1137" s="262"/>
      <c r="G1137" s="262"/>
      <c r="H1137" s="262"/>
      <c r="I1137" s="262"/>
      <c r="J1137" s="262"/>
      <c r="K1137" s="262"/>
      <c r="L1137" s="262"/>
      <c r="M1137" s="262"/>
      <c r="N1137" s="262"/>
      <c r="O1137" s="262"/>
      <c r="P1137" s="262"/>
      <c r="Q1137" s="262"/>
      <c r="R1137" s="262"/>
      <c r="S1137" s="262"/>
      <c r="T1137" s="262"/>
      <c r="U1137" s="262"/>
      <c r="V1137" s="262"/>
      <c r="W1137" s="262"/>
      <c r="X1137" s="262"/>
      <c r="Y1137" s="262"/>
      <c r="Z1137" s="262"/>
      <c r="AA1137" s="262"/>
      <c r="AB1137" s="262"/>
      <c r="AC1137" s="262"/>
      <c r="AD1137" s="262"/>
      <c r="AE1137" s="262"/>
      <c r="AF1137" s="147"/>
      <c r="AG1137" s="147"/>
      <c r="AH1137" s="147"/>
      <c r="AI1137" s="84"/>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row>
    <row r="1138" spans="1:59" ht="15.75" customHeight="1" x14ac:dyDescent="0.2">
      <c r="A1138" s="162"/>
      <c r="B1138" s="162"/>
      <c r="C1138" s="206"/>
      <c r="D1138" s="262"/>
      <c r="E1138" s="262"/>
      <c r="F1138" s="262"/>
      <c r="G1138" s="262"/>
      <c r="H1138" s="262"/>
      <c r="I1138" s="262"/>
      <c r="J1138" s="262"/>
      <c r="K1138" s="262"/>
      <c r="L1138" s="262"/>
      <c r="M1138" s="262"/>
      <c r="N1138" s="262"/>
      <c r="O1138" s="262"/>
      <c r="P1138" s="262"/>
      <c r="Q1138" s="262"/>
      <c r="R1138" s="262"/>
      <c r="S1138" s="262"/>
      <c r="T1138" s="262"/>
      <c r="U1138" s="262"/>
      <c r="V1138" s="262"/>
      <c r="W1138" s="262"/>
      <c r="X1138" s="262"/>
      <c r="Y1138" s="262"/>
      <c r="Z1138" s="262"/>
      <c r="AA1138" s="262"/>
      <c r="AB1138" s="262"/>
      <c r="AC1138" s="262"/>
      <c r="AD1138" s="262"/>
      <c r="AE1138" s="262"/>
      <c r="AF1138" s="147"/>
      <c r="AG1138" s="147"/>
      <c r="AH1138" s="147"/>
      <c r="AI1138" s="84"/>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row>
    <row r="1139" spans="1:59" ht="15.75" customHeight="1" x14ac:dyDescent="0.2">
      <c r="A1139" s="162"/>
      <c r="B1139" s="162"/>
      <c r="C1139" s="206"/>
      <c r="D1139" s="262"/>
      <c r="E1139" s="262"/>
      <c r="F1139" s="262"/>
      <c r="G1139" s="262"/>
      <c r="H1139" s="262"/>
      <c r="I1139" s="262"/>
      <c r="J1139" s="262"/>
      <c r="K1139" s="262"/>
      <c r="L1139" s="262"/>
      <c r="M1139" s="262"/>
      <c r="N1139" s="262"/>
      <c r="O1139" s="262"/>
      <c r="P1139" s="262"/>
      <c r="Q1139" s="262"/>
      <c r="R1139" s="262"/>
      <c r="S1139" s="262"/>
      <c r="T1139" s="262"/>
      <c r="U1139" s="262"/>
      <c r="V1139" s="262"/>
      <c r="W1139" s="262"/>
      <c r="X1139" s="262"/>
      <c r="Y1139" s="262"/>
      <c r="Z1139" s="262"/>
      <c r="AA1139" s="262"/>
      <c r="AB1139" s="262"/>
      <c r="AC1139" s="262"/>
      <c r="AD1139" s="262"/>
      <c r="AE1139" s="262"/>
      <c r="AF1139" s="147"/>
      <c r="AG1139" s="147"/>
      <c r="AH1139" s="147"/>
      <c r="AI1139" s="84"/>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row>
    <row r="1140" spans="1:59" ht="15.75" customHeight="1" x14ac:dyDescent="0.2">
      <c r="A1140" s="162"/>
      <c r="B1140" s="162"/>
      <c r="C1140" s="206"/>
      <c r="D1140" s="262"/>
      <c r="E1140" s="262"/>
      <c r="F1140" s="262"/>
      <c r="G1140" s="262"/>
      <c r="H1140" s="262"/>
      <c r="I1140" s="262"/>
      <c r="J1140" s="262"/>
      <c r="K1140" s="262"/>
      <c r="L1140" s="262"/>
      <c r="M1140" s="262"/>
      <c r="N1140" s="262"/>
      <c r="O1140" s="262"/>
      <c r="P1140" s="262"/>
      <c r="Q1140" s="262"/>
      <c r="R1140" s="262"/>
      <c r="S1140" s="262"/>
      <c r="T1140" s="262"/>
      <c r="U1140" s="262"/>
      <c r="V1140" s="262"/>
      <c r="W1140" s="262"/>
      <c r="X1140" s="262"/>
      <c r="Y1140" s="262"/>
      <c r="Z1140" s="262"/>
      <c r="AA1140" s="262"/>
      <c r="AB1140" s="262"/>
      <c r="AC1140" s="262"/>
      <c r="AD1140" s="262"/>
      <c r="AE1140" s="262"/>
      <c r="AF1140" s="147"/>
      <c r="AG1140" s="147"/>
      <c r="AH1140" s="147"/>
      <c r="AI1140" s="84"/>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row>
    <row r="1141" spans="1:59" ht="15.75" customHeight="1" x14ac:dyDescent="0.2">
      <c r="A1141" s="162"/>
      <c r="B1141" s="162"/>
      <c r="C1141" s="206"/>
      <c r="D1141" s="262"/>
      <c r="E1141" s="262"/>
      <c r="F1141" s="262"/>
      <c r="G1141" s="262"/>
      <c r="H1141" s="262"/>
      <c r="I1141" s="262"/>
      <c r="J1141" s="262"/>
      <c r="K1141" s="262"/>
      <c r="L1141" s="262"/>
      <c r="M1141" s="262"/>
      <c r="N1141" s="262"/>
      <c r="O1141" s="262"/>
      <c r="P1141" s="262"/>
      <c r="Q1141" s="262"/>
      <c r="R1141" s="262"/>
      <c r="S1141" s="262"/>
      <c r="T1141" s="262"/>
      <c r="U1141" s="262"/>
      <c r="V1141" s="262"/>
      <c r="W1141" s="262"/>
      <c r="X1141" s="262"/>
      <c r="Y1141" s="262"/>
      <c r="Z1141" s="262"/>
      <c r="AA1141" s="262"/>
      <c r="AB1141" s="262"/>
      <c r="AC1141" s="262"/>
      <c r="AD1141" s="262"/>
      <c r="AE1141" s="262"/>
      <c r="AF1141" s="147"/>
      <c r="AG1141" s="147"/>
      <c r="AH1141" s="147"/>
      <c r="AI1141" s="84"/>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row>
    <row r="1142" spans="1:59" ht="15.75" customHeight="1" x14ac:dyDescent="0.2">
      <c r="A1142" s="162"/>
      <c r="B1142" s="162"/>
      <c r="C1142" s="206"/>
      <c r="D1142" s="262"/>
      <c r="E1142" s="262"/>
      <c r="F1142" s="262"/>
      <c r="G1142" s="262"/>
      <c r="H1142" s="262"/>
      <c r="I1142" s="262"/>
      <c r="J1142" s="262"/>
      <c r="K1142" s="262"/>
      <c r="L1142" s="262"/>
      <c r="M1142" s="262"/>
      <c r="N1142" s="262"/>
      <c r="O1142" s="262"/>
      <c r="P1142" s="262"/>
      <c r="Q1142" s="262"/>
      <c r="R1142" s="262"/>
      <c r="S1142" s="262"/>
      <c r="T1142" s="262"/>
      <c r="U1142" s="262"/>
      <c r="V1142" s="262"/>
      <c r="W1142" s="262"/>
      <c r="X1142" s="262"/>
      <c r="Y1142" s="262"/>
      <c r="Z1142" s="262"/>
      <c r="AA1142" s="262"/>
      <c r="AB1142" s="262"/>
      <c r="AC1142" s="262"/>
      <c r="AD1142" s="262"/>
      <c r="AE1142" s="262"/>
      <c r="AF1142" s="147"/>
      <c r="AG1142" s="147"/>
      <c r="AH1142" s="147"/>
      <c r="AI1142" s="84"/>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row>
    <row r="1143" spans="1:59" ht="15.75" customHeight="1" x14ac:dyDescent="0.2">
      <c r="A1143" s="162"/>
      <c r="B1143" s="162"/>
      <c r="C1143" s="206"/>
      <c r="D1143" s="262"/>
      <c r="E1143" s="262"/>
      <c r="F1143" s="262"/>
      <c r="G1143" s="262"/>
      <c r="H1143" s="262"/>
      <c r="I1143" s="262"/>
      <c r="J1143" s="262"/>
      <c r="K1143" s="262"/>
      <c r="L1143" s="262"/>
      <c r="M1143" s="262"/>
      <c r="N1143" s="262"/>
      <c r="O1143" s="262"/>
      <c r="P1143" s="262"/>
      <c r="Q1143" s="262"/>
      <c r="R1143" s="262"/>
      <c r="S1143" s="262"/>
      <c r="T1143" s="262"/>
      <c r="U1143" s="262"/>
      <c r="V1143" s="262"/>
      <c r="W1143" s="262"/>
      <c r="X1143" s="262"/>
      <c r="Y1143" s="262"/>
      <c r="Z1143" s="262"/>
      <c r="AA1143" s="262"/>
      <c r="AB1143" s="262"/>
      <c r="AC1143" s="262"/>
      <c r="AD1143" s="262"/>
      <c r="AE1143" s="262"/>
      <c r="AF1143" s="147"/>
      <c r="AG1143" s="147"/>
      <c r="AH1143" s="147"/>
      <c r="AI1143" s="84"/>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row>
    <row r="1144" spans="1:59" ht="15.75" customHeight="1" x14ac:dyDescent="0.2">
      <c r="A1144" s="162"/>
      <c r="B1144" s="162"/>
      <c r="C1144" s="206"/>
      <c r="D1144" s="262"/>
      <c r="E1144" s="262"/>
      <c r="F1144" s="262"/>
      <c r="G1144" s="262"/>
      <c r="H1144" s="262"/>
      <c r="I1144" s="262"/>
      <c r="J1144" s="262"/>
      <c r="K1144" s="262"/>
      <c r="L1144" s="262"/>
      <c r="M1144" s="262"/>
      <c r="N1144" s="262"/>
      <c r="O1144" s="262"/>
      <c r="P1144" s="262"/>
      <c r="Q1144" s="262"/>
      <c r="R1144" s="262"/>
      <c r="S1144" s="262"/>
      <c r="T1144" s="262"/>
      <c r="U1144" s="262"/>
      <c r="V1144" s="262"/>
      <c r="W1144" s="262"/>
      <c r="X1144" s="262"/>
      <c r="Y1144" s="262"/>
      <c r="Z1144" s="262"/>
      <c r="AA1144" s="262"/>
      <c r="AB1144" s="262"/>
      <c r="AC1144" s="262"/>
      <c r="AD1144" s="262"/>
      <c r="AE1144" s="262"/>
      <c r="AF1144" s="147"/>
      <c r="AG1144" s="147"/>
      <c r="AH1144" s="147"/>
      <c r="AI1144" s="84"/>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row>
    <row r="1145" spans="1:59" ht="15.75" customHeight="1" x14ac:dyDescent="0.2">
      <c r="A1145" s="162"/>
      <c r="B1145" s="162"/>
      <c r="C1145" s="206"/>
      <c r="D1145" s="262"/>
      <c r="E1145" s="262"/>
      <c r="F1145" s="262"/>
      <c r="G1145" s="262"/>
      <c r="H1145" s="262"/>
      <c r="I1145" s="262"/>
      <c r="J1145" s="262"/>
      <c r="K1145" s="262"/>
      <c r="L1145" s="262"/>
      <c r="M1145" s="262"/>
      <c r="N1145" s="262"/>
      <c r="O1145" s="262"/>
      <c r="P1145" s="262"/>
      <c r="Q1145" s="262"/>
      <c r="R1145" s="262"/>
      <c r="S1145" s="262"/>
      <c r="T1145" s="262"/>
      <c r="U1145" s="262"/>
      <c r="V1145" s="262"/>
      <c r="W1145" s="262"/>
      <c r="X1145" s="262"/>
      <c r="Y1145" s="262"/>
      <c r="Z1145" s="262"/>
      <c r="AA1145" s="262"/>
      <c r="AB1145" s="262"/>
      <c r="AC1145" s="262"/>
      <c r="AD1145" s="262"/>
      <c r="AE1145" s="262"/>
      <c r="AF1145" s="147"/>
      <c r="AG1145" s="147"/>
      <c r="AH1145" s="147"/>
      <c r="AI1145" s="84"/>
      <c r="AJ1145" s="15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row>
    <row r="1146" spans="1:59" ht="15.75" customHeight="1" x14ac:dyDescent="0.2">
      <c r="A1146" s="162"/>
      <c r="B1146" s="162"/>
      <c r="C1146" s="206"/>
      <c r="D1146" s="262"/>
      <c r="E1146" s="262"/>
      <c r="F1146" s="262"/>
      <c r="G1146" s="262"/>
      <c r="H1146" s="262"/>
      <c r="I1146" s="262"/>
      <c r="J1146" s="262"/>
      <c r="K1146" s="262"/>
      <c r="L1146" s="262"/>
      <c r="M1146" s="262"/>
      <c r="N1146" s="262"/>
      <c r="O1146" s="262"/>
      <c r="P1146" s="262"/>
      <c r="Q1146" s="262"/>
      <c r="R1146" s="262"/>
      <c r="S1146" s="262"/>
      <c r="T1146" s="262"/>
      <c r="U1146" s="262"/>
      <c r="V1146" s="262"/>
      <c r="W1146" s="262"/>
      <c r="X1146" s="262"/>
      <c r="Y1146" s="262"/>
      <c r="Z1146" s="262"/>
      <c r="AA1146" s="262"/>
      <c r="AB1146" s="262"/>
      <c r="AC1146" s="262"/>
      <c r="AD1146" s="262"/>
      <c r="AE1146" s="262"/>
      <c r="AF1146" s="147"/>
      <c r="AG1146" s="147"/>
      <c r="AH1146" s="147"/>
      <c r="AI1146" s="84"/>
      <c r="AJ1146" s="161"/>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row>
    <row r="1147" spans="1:59" ht="15.75" customHeight="1" x14ac:dyDescent="0.2">
      <c r="A1147" s="162"/>
      <c r="B1147" s="162"/>
      <c r="C1147" s="206"/>
      <c r="D1147" s="262"/>
      <c r="E1147" s="262"/>
      <c r="F1147" s="262"/>
      <c r="G1147" s="262"/>
      <c r="H1147" s="262"/>
      <c r="I1147" s="262"/>
      <c r="J1147" s="262"/>
      <c r="K1147" s="262"/>
      <c r="L1147" s="262"/>
      <c r="M1147" s="262"/>
      <c r="N1147" s="262"/>
      <c r="O1147" s="262"/>
      <c r="P1147" s="262"/>
      <c r="Q1147" s="262"/>
      <c r="R1147" s="262"/>
      <c r="S1147" s="262"/>
      <c r="T1147" s="262"/>
      <c r="U1147" s="262"/>
      <c r="V1147" s="262"/>
      <c r="W1147" s="262"/>
      <c r="X1147" s="262"/>
      <c r="Y1147" s="262"/>
      <c r="Z1147" s="262"/>
      <c r="AA1147" s="262"/>
      <c r="AB1147" s="262"/>
      <c r="AC1147" s="262"/>
      <c r="AD1147" s="262"/>
      <c r="AE1147" s="262"/>
      <c r="AF1147" s="147"/>
      <c r="AG1147" s="147"/>
      <c r="AH1147" s="147"/>
      <c r="AI1147" s="84"/>
      <c r="AJ1147" s="161"/>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row>
    <row r="1148" spans="1:59" ht="15.75" customHeight="1" x14ac:dyDescent="0.2">
      <c r="A1148" s="162"/>
      <c r="B1148" s="162"/>
      <c r="C1148" s="206"/>
      <c r="D1148" s="262"/>
      <c r="E1148" s="262"/>
      <c r="F1148" s="262"/>
      <c r="G1148" s="262"/>
      <c r="H1148" s="262"/>
      <c r="I1148" s="262"/>
      <c r="J1148" s="262"/>
      <c r="K1148" s="262"/>
      <c r="L1148" s="262"/>
      <c r="M1148" s="262"/>
      <c r="N1148" s="262"/>
      <c r="O1148" s="262"/>
      <c r="P1148" s="262"/>
      <c r="Q1148" s="262"/>
      <c r="R1148" s="262"/>
      <c r="S1148" s="262"/>
      <c r="T1148" s="262"/>
      <c r="U1148" s="262"/>
      <c r="V1148" s="262"/>
      <c r="W1148" s="262"/>
      <c r="X1148" s="262"/>
      <c r="Y1148" s="262"/>
      <c r="Z1148" s="262"/>
      <c r="AA1148" s="262"/>
      <c r="AB1148" s="262"/>
      <c r="AC1148" s="262"/>
      <c r="AD1148" s="262"/>
      <c r="AE1148" s="262"/>
      <c r="AF1148" s="147"/>
      <c r="AG1148" s="147"/>
      <c r="AH1148" s="147"/>
      <c r="AI1148" s="84"/>
      <c r="AJ1148" s="161"/>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row>
    <row r="1149" spans="1:59" ht="15.75" customHeight="1" x14ac:dyDescent="0.2">
      <c r="A1149" s="162"/>
      <c r="B1149" s="162"/>
      <c r="C1149" s="206"/>
      <c r="D1149" s="262"/>
      <c r="E1149" s="262"/>
      <c r="F1149" s="262"/>
      <c r="G1149" s="262"/>
      <c r="H1149" s="262"/>
      <c r="I1149" s="262"/>
      <c r="J1149" s="262"/>
      <c r="K1149" s="262"/>
      <c r="L1149" s="262"/>
      <c r="M1149" s="262"/>
      <c r="N1149" s="262"/>
      <c r="O1149" s="262"/>
      <c r="P1149" s="262"/>
      <c r="Q1149" s="262"/>
      <c r="R1149" s="262"/>
      <c r="S1149" s="262"/>
      <c r="T1149" s="262"/>
      <c r="U1149" s="262"/>
      <c r="V1149" s="262"/>
      <c r="W1149" s="262"/>
      <c r="X1149" s="262"/>
      <c r="Y1149" s="262"/>
      <c r="Z1149" s="262"/>
      <c r="AA1149" s="262"/>
      <c r="AB1149" s="262"/>
      <c r="AC1149" s="262"/>
      <c r="AD1149" s="262"/>
      <c r="AE1149" s="262"/>
      <c r="AF1149" s="147"/>
      <c r="AG1149" s="147"/>
      <c r="AH1149" s="147"/>
      <c r="AI1149" s="84"/>
      <c r="AJ1149" s="169"/>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row>
    <row r="1150" spans="1:59" ht="15.75" customHeight="1" x14ac:dyDescent="0.2">
      <c r="A1150" s="162"/>
      <c r="B1150" s="162"/>
      <c r="C1150" s="206"/>
      <c r="D1150" s="262"/>
      <c r="E1150" s="262"/>
      <c r="F1150" s="262"/>
      <c r="G1150" s="262"/>
      <c r="H1150" s="262"/>
      <c r="I1150" s="262"/>
      <c r="J1150" s="262"/>
      <c r="K1150" s="262"/>
      <c r="L1150" s="262"/>
      <c r="M1150" s="262"/>
      <c r="N1150" s="262"/>
      <c r="O1150" s="262"/>
      <c r="P1150" s="262"/>
      <c r="Q1150" s="262"/>
      <c r="R1150" s="262"/>
      <c r="S1150" s="262"/>
      <c r="T1150" s="262"/>
      <c r="U1150" s="262"/>
      <c r="V1150" s="262"/>
      <c r="W1150" s="262"/>
      <c r="X1150" s="262"/>
      <c r="Y1150" s="262"/>
      <c r="Z1150" s="262"/>
      <c r="AA1150" s="262"/>
      <c r="AB1150" s="262"/>
      <c r="AC1150" s="262"/>
      <c r="AD1150" s="262"/>
      <c r="AE1150" s="262"/>
      <c r="AF1150" s="147"/>
      <c r="AG1150" s="147"/>
      <c r="AH1150" s="147"/>
      <c r="AI1150" s="84"/>
      <c r="AJ1150" s="169"/>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row>
    <row r="1151" spans="1:59" ht="15.75" customHeight="1" x14ac:dyDescent="0.2">
      <c r="A1151" s="162"/>
      <c r="B1151" s="162"/>
      <c r="C1151" s="206"/>
      <c r="D1151" s="262"/>
      <c r="E1151" s="262"/>
      <c r="F1151" s="262"/>
      <c r="G1151" s="262"/>
      <c r="H1151" s="262"/>
      <c r="I1151" s="262"/>
      <c r="J1151" s="262"/>
      <c r="K1151" s="262"/>
      <c r="L1151" s="262"/>
      <c r="M1151" s="262"/>
      <c r="N1151" s="262"/>
      <c r="O1151" s="262"/>
      <c r="P1151" s="262"/>
      <c r="Q1151" s="262"/>
      <c r="R1151" s="262"/>
      <c r="S1151" s="262"/>
      <c r="T1151" s="262"/>
      <c r="U1151" s="262"/>
      <c r="V1151" s="262"/>
      <c r="W1151" s="262"/>
      <c r="X1151" s="262"/>
      <c r="Y1151" s="262"/>
      <c r="Z1151" s="262"/>
      <c r="AA1151" s="262"/>
      <c r="AB1151" s="262"/>
      <c r="AC1151" s="262"/>
      <c r="AD1151" s="262"/>
      <c r="AE1151" s="262"/>
      <c r="AF1151" s="147"/>
      <c r="AG1151" s="147"/>
      <c r="AH1151" s="147"/>
      <c r="AI1151" s="84"/>
      <c r="AJ1151" s="169"/>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row>
    <row r="1152" spans="1:59" ht="15.75" customHeight="1" x14ac:dyDescent="0.2">
      <c r="A1152" s="162"/>
      <c r="B1152" s="162"/>
      <c r="C1152" s="206"/>
      <c r="D1152" s="262"/>
      <c r="E1152" s="262"/>
      <c r="F1152" s="262"/>
      <c r="G1152" s="262"/>
      <c r="H1152" s="262"/>
      <c r="I1152" s="262"/>
      <c r="J1152" s="262"/>
      <c r="K1152" s="262"/>
      <c r="L1152" s="262"/>
      <c r="M1152" s="262"/>
      <c r="N1152" s="262"/>
      <c r="O1152" s="262"/>
      <c r="P1152" s="262"/>
      <c r="Q1152" s="262"/>
      <c r="R1152" s="262"/>
      <c r="S1152" s="262"/>
      <c r="T1152" s="262"/>
      <c r="U1152" s="262"/>
      <c r="V1152" s="262"/>
      <c r="W1152" s="262"/>
      <c r="X1152" s="262"/>
      <c r="Y1152" s="262"/>
      <c r="Z1152" s="262"/>
      <c r="AA1152" s="262"/>
      <c r="AB1152" s="262"/>
      <c r="AC1152" s="262"/>
      <c r="AD1152" s="262"/>
      <c r="AE1152" s="262"/>
      <c r="AF1152" s="147"/>
      <c r="AG1152" s="147"/>
      <c r="AH1152" s="147"/>
      <c r="AI1152" s="84"/>
      <c r="AJ1152" s="15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row>
    <row r="1153" spans="1:59" ht="15.75" customHeight="1" x14ac:dyDescent="0.2">
      <c r="A1153" s="162"/>
      <c r="B1153" s="162"/>
      <c r="C1153" s="206"/>
      <c r="D1153" s="262"/>
      <c r="E1153" s="262"/>
      <c r="F1153" s="262"/>
      <c r="G1153" s="262"/>
      <c r="H1153" s="262"/>
      <c r="I1153" s="262"/>
      <c r="J1153" s="262"/>
      <c r="K1153" s="262"/>
      <c r="L1153" s="262"/>
      <c r="M1153" s="262"/>
      <c r="N1153" s="262"/>
      <c r="O1153" s="262"/>
      <c r="P1153" s="262"/>
      <c r="Q1153" s="262"/>
      <c r="R1153" s="262"/>
      <c r="S1153" s="262"/>
      <c r="T1153" s="262"/>
      <c r="U1153" s="262"/>
      <c r="V1153" s="262"/>
      <c r="W1153" s="262"/>
      <c r="X1153" s="262"/>
      <c r="Y1153" s="262"/>
      <c r="Z1153" s="262"/>
      <c r="AA1153" s="262"/>
      <c r="AB1153" s="262"/>
      <c r="AC1153" s="262"/>
      <c r="AD1153" s="262"/>
      <c r="AE1153" s="262"/>
      <c r="AF1153" s="147"/>
      <c r="AG1153" s="147"/>
      <c r="AH1153" s="147"/>
      <c r="AI1153" s="84"/>
      <c r="AJ1153" s="15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row>
    <row r="1154" spans="1:59" ht="15.75" customHeight="1" x14ac:dyDescent="0.2">
      <c r="A1154" s="162"/>
      <c r="B1154" s="162"/>
      <c r="C1154" s="206"/>
      <c r="D1154" s="262"/>
      <c r="E1154" s="262"/>
      <c r="F1154" s="262"/>
      <c r="G1154" s="262"/>
      <c r="H1154" s="262"/>
      <c r="I1154" s="262"/>
      <c r="J1154" s="262"/>
      <c r="K1154" s="262"/>
      <c r="L1154" s="262"/>
      <c r="M1154" s="262"/>
      <c r="N1154" s="262"/>
      <c r="O1154" s="262"/>
      <c r="P1154" s="262"/>
      <c r="Q1154" s="262"/>
      <c r="R1154" s="262"/>
      <c r="S1154" s="262"/>
      <c r="T1154" s="262"/>
      <c r="U1154" s="262"/>
      <c r="V1154" s="262"/>
      <c r="W1154" s="262"/>
      <c r="X1154" s="262"/>
      <c r="Y1154" s="262"/>
      <c r="Z1154" s="262"/>
      <c r="AA1154" s="262"/>
      <c r="AB1154" s="262"/>
      <c r="AC1154" s="262"/>
      <c r="AD1154" s="262"/>
      <c r="AE1154" s="262"/>
      <c r="AF1154" s="147"/>
      <c r="AG1154" s="147"/>
      <c r="AH1154" s="147"/>
      <c r="AI1154" s="84"/>
      <c r="AJ1154" s="15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row>
    <row r="1155" spans="1:59" ht="15.75" customHeight="1" x14ac:dyDescent="0.2">
      <c r="A1155" s="162"/>
      <c r="B1155" s="162"/>
      <c r="C1155" s="206"/>
      <c r="D1155" s="262"/>
      <c r="E1155" s="262"/>
      <c r="F1155" s="262"/>
      <c r="G1155" s="262"/>
      <c r="H1155" s="262"/>
      <c r="I1155" s="262"/>
      <c r="J1155" s="262"/>
      <c r="K1155" s="262"/>
      <c r="L1155" s="262"/>
      <c r="M1155" s="262"/>
      <c r="N1155" s="262"/>
      <c r="O1155" s="262"/>
      <c r="P1155" s="262"/>
      <c r="Q1155" s="262"/>
      <c r="R1155" s="262"/>
      <c r="S1155" s="262"/>
      <c r="T1155" s="262"/>
      <c r="U1155" s="262"/>
      <c r="V1155" s="262"/>
      <c r="W1155" s="262"/>
      <c r="X1155" s="262"/>
      <c r="Y1155" s="262"/>
      <c r="Z1155" s="262"/>
      <c r="AA1155" s="262"/>
      <c r="AB1155" s="262"/>
      <c r="AC1155" s="262"/>
      <c r="AD1155" s="262"/>
      <c r="AE1155" s="262"/>
      <c r="AF1155" s="147"/>
      <c r="AG1155" s="147"/>
      <c r="AH1155" s="147"/>
      <c r="AI1155" s="84"/>
      <c r="AJ1155" s="175"/>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row>
    <row r="1156" spans="1:59" ht="15.75" customHeight="1" x14ac:dyDescent="0.2">
      <c r="A1156" s="162"/>
      <c r="B1156" s="162"/>
      <c r="C1156" s="206"/>
      <c r="D1156" s="262"/>
      <c r="E1156" s="262"/>
      <c r="F1156" s="262"/>
      <c r="G1156" s="262"/>
      <c r="H1156" s="262"/>
      <c r="I1156" s="262"/>
      <c r="J1156" s="262"/>
      <c r="K1156" s="262"/>
      <c r="L1156" s="262"/>
      <c r="M1156" s="262"/>
      <c r="N1156" s="262"/>
      <c r="O1156" s="262"/>
      <c r="P1156" s="262"/>
      <c r="Q1156" s="262"/>
      <c r="R1156" s="262"/>
      <c r="S1156" s="262"/>
      <c r="T1156" s="262"/>
      <c r="U1156" s="262"/>
      <c r="V1156" s="262"/>
      <c r="W1156" s="262"/>
      <c r="X1156" s="262"/>
      <c r="Y1156" s="262"/>
      <c r="Z1156" s="262"/>
      <c r="AA1156" s="262"/>
      <c r="AB1156" s="262"/>
      <c r="AC1156" s="262"/>
      <c r="AD1156" s="262"/>
      <c r="AE1156" s="262"/>
      <c r="AF1156" s="147"/>
      <c r="AG1156" s="147"/>
      <c r="AH1156" s="147"/>
      <c r="AI1156" s="84"/>
      <c r="AJ1156" s="15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row>
    <row r="1157" spans="1:59" ht="15.75" customHeight="1" x14ac:dyDescent="0.2">
      <c r="A1157" s="162"/>
      <c r="B1157" s="162"/>
      <c r="C1157" s="206"/>
      <c r="D1157" s="262"/>
      <c r="E1157" s="262"/>
      <c r="F1157" s="262"/>
      <c r="G1157" s="262"/>
      <c r="H1157" s="262"/>
      <c r="I1157" s="262"/>
      <c r="J1157" s="262"/>
      <c r="K1157" s="262"/>
      <c r="L1157" s="262"/>
      <c r="M1157" s="262"/>
      <c r="N1157" s="262"/>
      <c r="O1157" s="262"/>
      <c r="P1157" s="262"/>
      <c r="Q1157" s="262"/>
      <c r="R1157" s="262"/>
      <c r="S1157" s="262"/>
      <c r="T1157" s="262"/>
      <c r="U1157" s="262"/>
      <c r="V1157" s="262"/>
      <c r="W1157" s="262"/>
      <c r="X1157" s="262"/>
      <c r="Y1157" s="262"/>
      <c r="Z1157" s="262"/>
      <c r="AA1157" s="262"/>
      <c r="AB1157" s="262"/>
      <c r="AC1157" s="262"/>
      <c r="AD1157" s="262"/>
      <c r="AE1157" s="262"/>
      <c r="AF1157" s="147"/>
      <c r="AG1157" s="147"/>
      <c r="AH1157" s="147"/>
      <c r="AI1157" s="84"/>
      <c r="AJ1157" s="15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row>
    <row r="1158" spans="1:59" ht="15.75" customHeight="1" x14ac:dyDescent="0.2">
      <c r="A1158" s="162"/>
      <c r="B1158" s="162"/>
      <c r="C1158" s="206"/>
      <c r="D1158" s="262"/>
      <c r="E1158" s="262"/>
      <c r="F1158" s="262"/>
      <c r="G1158" s="262"/>
      <c r="H1158" s="262"/>
      <c r="I1158" s="262"/>
      <c r="J1158" s="262"/>
      <c r="K1158" s="262"/>
      <c r="L1158" s="262"/>
      <c r="M1158" s="262"/>
      <c r="N1158" s="262"/>
      <c r="O1158" s="262"/>
      <c r="P1158" s="262"/>
      <c r="Q1158" s="262"/>
      <c r="R1158" s="262"/>
      <c r="S1158" s="262"/>
      <c r="T1158" s="262"/>
      <c r="U1158" s="262"/>
      <c r="V1158" s="262"/>
      <c r="W1158" s="262"/>
      <c r="X1158" s="262"/>
      <c r="Y1158" s="262"/>
      <c r="Z1158" s="262"/>
      <c r="AA1158" s="262"/>
      <c r="AB1158" s="262"/>
      <c r="AC1158" s="262"/>
      <c r="AD1158" s="262"/>
      <c r="AE1158" s="262"/>
      <c r="AF1158" s="147"/>
      <c r="AG1158" s="147"/>
      <c r="AH1158" s="147"/>
      <c r="AI1158" s="84"/>
      <c r="AJ1158" s="15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row>
    <row r="1159" spans="1:59" ht="15.75" customHeight="1" x14ac:dyDescent="0.2">
      <c r="A1159" s="162"/>
      <c r="B1159" s="162"/>
      <c r="C1159" s="206"/>
      <c r="D1159" s="262"/>
      <c r="E1159" s="262"/>
      <c r="F1159" s="262"/>
      <c r="G1159" s="262"/>
      <c r="H1159" s="262"/>
      <c r="I1159" s="262"/>
      <c r="J1159" s="262"/>
      <c r="K1159" s="262"/>
      <c r="L1159" s="262"/>
      <c r="M1159" s="262"/>
      <c r="N1159" s="262"/>
      <c r="O1159" s="262"/>
      <c r="P1159" s="262"/>
      <c r="Q1159" s="262"/>
      <c r="R1159" s="262"/>
      <c r="S1159" s="262"/>
      <c r="T1159" s="262"/>
      <c r="U1159" s="262"/>
      <c r="V1159" s="262"/>
      <c r="W1159" s="262"/>
      <c r="X1159" s="262"/>
      <c r="Y1159" s="262"/>
      <c r="Z1159" s="262"/>
      <c r="AA1159" s="262"/>
      <c r="AB1159" s="262"/>
      <c r="AC1159" s="262"/>
      <c r="AD1159" s="262"/>
      <c r="AE1159" s="262"/>
      <c r="AF1159" s="147"/>
      <c r="AG1159" s="147"/>
      <c r="AH1159" s="147"/>
      <c r="AI1159" s="84"/>
      <c r="AJ1159" s="15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row>
    <row r="1160" spans="1:59" ht="15.75" customHeight="1" x14ac:dyDescent="0.2">
      <c r="A1160" s="162"/>
      <c r="B1160" s="162"/>
      <c r="C1160" s="206"/>
      <c r="D1160" s="262"/>
      <c r="E1160" s="262"/>
      <c r="F1160" s="262"/>
      <c r="G1160" s="262"/>
      <c r="H1160" s="262"/>
      <c r="I1160" s="262"/>
      <c r="J1160" s="262"/>
      <c r="K1160" s="262"/>
      <c r="L1160" s="262"/>
      <c r="M1160" s="262"/>
      <c r="N1160" s="262"/>
      <c r="O1160" s="262"/>
      <c r="P1160" s="262"/>
      <c r="Q1160" s="262"/>
      <c r="R1160" s="262"/>
      <c r="S1160" s="262"/>
      <c r="T1160" s="262"/>
      <c r="U1160" s="262"/>
      <c r="V1160" s="262"/>
      <c r="W1160" s="262"/>
      <c r="X1160" s="262"/>
      <c r="Y1160" s="262"/>
      <c r="Z1160" s="262"/>
      <c r="AA1160" s="262"/>
      <c r="AB1160" s="262"/>
      <c r="AC1160" s="262"/>
      <c r="AD1160" s="262"/>
      <c r="AE1160" s="262"/>
      <c r="AF1160" s="147"/>
      <c r="AG1160" s="147"/>
      <c r="AH1160" s="147"/>
      <c r="AI1160" s="84"/>
      <c r="AJ1160" s="15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row>
    <row r="1161" spans="1:59" ht="15.75" customHeight="1" x14ac:dyDescent="0.2">
      <c r="A1161" s="162"/>
      <c r="B1161" s="162"/>
      <c r="C1161" s="206"/>
      <c r="D1161" s="262"/>
      <c r="E1161" s="262"/>
      <c r="F1161" s="262"/>
      <c r="G1161" s="262"/>
      <c r="H1161" s="262"/>
      <c r="I1161" s="262"/>
      <c r="J1161" s="262"/>
      <c r="K1161" s="262"/>
      <c r="L1161" s="262"/>
      <c r="M1161" s="262"/>
      <c r="N1161" s="262"/>
      <c r="O1161" s="262"/>
      <c r="P1161" s="262"/>
      <c r="Q1161" s="262"/>
      <c r="R1161" s="262"/>
      <c r="S1161" s="262"/>
      <c r="T1161" s="262"/>
      <c r="U1161" s="262"/>
      <c r="V1161" s="262"/>
      <c r="W1161" s="262"/>
      <c r="X1161" s="262"/>
      <c r="Y1161" s="262"/>
      <c r="Z1161" s="262"/>
      <c r="AA1161" s="262"/>
      <c r="AB1161" s="262"/>
      <c r="AC1161" s="262"/>
      <c r="AD1161" s="262"/>
      <c r="AE1161" s="262"/>
      <c r="AF1161" s="147"/>
      <c r="AG1161" s="147"/>
      <c r="AH1161" s="147"/>
      <c r="AI1161" s="84"/>
      <c r="AJ1161" s="15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row>
    <row r="1162" spans="1:59" ht="15.75" customHeight="1" x14ac:dyDescent="0.2">
      <c r="A1162" s="162"/>
      <c r="B1162" s="162"/>
      <c r="C1162" s="206"/>
      <c r="D1162" s="262"/>
      <c r="E1162" s="262"/>
      <c r="F1162" s="262"/>
      <c r="G1162" s="262"/>
      <c r="H1162" s="262"/>
      <c r="I1162" s="262"/>
      <c r="J1162" s="262"/>
      <c r="K1162" s="262"/>
      <c r="L1162" s="262"/>
      <c r="M1162" s="262"/>
      <c r="N1162" s="262"/>
      <c r="O1162" s="262"/>
      <c r="P1162" s="262"/>
      <c r="Q1162" s="262"/>
      <c r="R1162" s="262"/>
      <c r="S1162" s="262"/>
      <c r="T1162" s="262"/>
      <c r="U1162" s="262"/>
      <c r="V1162" s="262"/>
      <c r="W1162" s="262"/>
      <c r="X1162" s="262"/>
      <c r="Y1162" s="262"/>
      <c r="Z1162" s="262"/>
      <c r="AA1162" s="262"/>
      <c r="AB1162" s="262"/>
      <c r="AC1162" s="262"/>
      <c r="AD1162" s="262"/>
      <c r="AE1162" s="262"/>
      <c r="AF1162" s="147"/>
      <c r="AG1162" s="147"/>
      <c r="AH1162" s="147"/>
      <c r="AI1162" s="84"/>
      <c r="AJ1162" s="15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row>
    <row r="1163" spans="1:59" ht="15.75" customHeight="1" x14ac:dyDescent="0.2">
      <c r="A1163" s="162"/>
      <c r="B1163" s="162"/>
      <c r="C1163" s="206"/>
      <c r="D1163" s="262"/>
      <c r="E1163" s="262"/>
      <c r="F1163" s="262"/>
      <c r="G1163" s="262"/>
      <c r="H1163" s="262"/>
      <c r="I1163" s="262"/>
      <c r="J1163" s="262"/>
      <c r="K1163" s="262"/>
      <c r="L1163" s="262"/>
      <c r="M1163" s="262"/>
      <c r="N1163" s="262"/>
      <c r="O1163" s="262"/>
      <c r="P1163" s="262"/>
      <c r="Q1163" s="262"/>
      <c r="R1163" s="262"/>
      <c r="S1163" s="262"/>
      <c r="T1163" s="262"/>
      <c r="U1163" s="262"/>
      <c r="V1163" s="262"/>
      <c r="W1163" s="262"/>
      <c r="X1163" s="262"/>
      <c r="Y1163" s="262"/>
      <c r="Z1163" s="262"/>
      <c r="AA1163" s="262"/>
      <c r="AB1163" s="262"/>
      <c r="AC1163" s="262"/>
      <c r="AD1163" s="262"/>
      <c r="AE1163" s="262"/>
      <c r="AF1163" s="147"/>
      <c r="AG1163" s="147"/>
      <c r="AH1163" s="147"/>
      <c r="AI1163" s="84"/>
      <c r="AJ1163" s="15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row>
    <row r="1164" spans="1:59" ht="15.75" customHeight="1" x14ac:dyDescent="0.2">
      <c r="A1164" s="162"/>
      <c r="B1164" s="162"/>
      <c r="C1164" s="206"/>
      <c r="D1164" s="262"/>
      <c r="E1164" s="262"/>
      <c r="F1164" s="262"/>
      <c r="G1164" s="262"/>
      <c r="H1164" s="262"/>
      <c r="I1164" s="262"/>
      <c r="J1164" s="262"/>
      <c r="K1164" s="262"/>
      <c r="L1164" s="262"/>
      <c r="M1164" s="262"/>
      <c r="N1164" s="262"/>
      <c r="O1164" s="262"/>
      <c r="P1164" s="262"/>
      <c r="Q1164" s="262"/>
      <c r="R1164" s="262"/>
      <c r="S1164" s="262"/>
      <c r="T1164" s="262"/>
      <c r="U1164" s="262"/>
      <c r="V1164" s="262"/>
      <c r="W1164" s="262"/>
      <c r="X1164" s="262"/>
      <c r="Y1164" s="262"/>
      <c r="Z1164" s="262"/>
      <c r="AA1164" s="262"/>
      <c r="AB1164" s="262"/>
      <c r="AC1164" s="262"/>
      <c r="AD1164" s="262"/>
      <c r="AE1164" s="262"/>
      <c r="AF1164" s="147"/>
      <c r="AG1164" s="147"/>
      <c r="AH1164" s="147"/>
      <c r="AI1164" s="84"/>
      <c r="AJ1164" s="15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row>
    <row r="1165" spans="1:59" ht="15.75" customHeight="1" x14ac:dyDescent="0.2">
      <c r="A1165" s="162"/>
      <c r="B1165" s="162"/>
      <c r="C1165" s="206"/>
      <c r="D1165" s="262"/>
      <c r="E1165" s="262"/>
      <c r="F1165" s="262"/>
      <c r="G1165" s="262"/>
      <c r="H1165" s="262"/>
      <c r="I1165" s="262"/>
      <c r="J1165" s="262"/>
      <c r="K1165" s="262"/>
      <c r="L1165" s="262"/>
      <c r="M1165" s="262"/>
      <c r="N1165" s="262"/>
      <c r="O1165" s="262"/>
      <c r="P1165" s="262"/>
      <c r="Q1165" s="262"/>
      <c r="R1165" s="262"/>
      <c r="S1165" s="262"/>
      <c r="T1165" s="262"/>
      <c r="U1165" s="262"/>
      <c r="V1165" s="262"/>
      <c r="W1165" s="262"/>
      <c r="X1165" s="262"/>
      <c r="Y1165" s="262"/>
      <c r="Z1165" s="262"/>
      <c r="AA1165" s="262"/>
      <c r="AB1165" s="262"/>
      <c r="AC1165" s="262"/>
      <c r="AD1165" s="262"/>
      <c r="AE1165" s="262"/>
      <c r="AF1165" s="147"/>
      <c r="AG1165" s="147"/>
      <c r="AH1165" s="147"/>
      <c r="AI1165" s="84"/>
      <c r="AJ1165" s="161"/>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row>
    <row r="1166" spans="1:59" ht="15.75" customHeight="1" x14ac:dyDescent="0.2">
      <c r="A1166" s="162"/>
      <c r="B1166" s="162"/>
      <c r="C1166" s="206"/>
      <c r="D1166" s="262"/>
      <c r="E1166" s="262"/>
      <c r="F1166" s="262"/>
      <c r="G1166" s="262"/>
      <c r="H1166" s="262"/>
      <c r="I1166" s="262"/>
      <c r="J1166" s="262"/>
      <c r="K1166" s="262"/>
      <c r="L1166" s="262"/>
      <c r="M1166" s="262"/>
      <c r="N1166" s="262"/>
      <c r="O1166" s="262"/>
      <c r="P1166" s="262"/>
      <c r="Q1166" s="262"/>
      <c r="R1166" s="262"/>
      <c r="S1166" s="262"/>
      <c r="T1166" s="262"/>
      <c r="U1166" s="262"/>
      <c r="V1166" s="262"/>
      <c r="W1166" s="262"/>
      <c r="X1166" s="262"/>
      <c r="Y1166" s="262"/>
      <c r="Z1166" s="262"/>
      <c r="AA1166" s="262"/>
      <c r="AB1166" s="262"/>
      <c r="AC1166" s="262"/>
      <c r="AD1166" s="262"/>
      <c r="AE1166" s="262"/>
      <c r="AF1166" s="147"/>
      <c r="AG1166" s="147"/>
      <c r="AH1166" s="147"/>
      <c r="AI1166" s="84"/>
      <c r="AJ1166" s="161"/>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row>
    <row r="1167" spans="1:59" ht="15.75" customHeight="1" x14ac:dyDescent="0.2">
      <c r="A1167" s="162"/>
      <c r="B1167" s="162"/>
      <c r="C1167" s="206"/>
      <c r="D1167" s="262"/>
      <c r="E1167" s="262"/>
      <c r="F1167" s="262"/>
      <c r="G1167" s="262"/>
      <c r="H1167" s="262"/>
      <c r="I1167" s="262"/>
      <c r="J1167" s="262"/>
      <c r="K1167" s="262"/>
      <c r="L1167" s="262"/>
      <c r="M1167" s="262"/>
      <c r="N1167" s="262"/>
      <c r="O1167" s="262"/>
      <c r="P1167" s="262"/>
      <c r="Q1167" s="262"/>
      <c r="R1167" s="262"/>
      <c r="S1167" s="262"/>
      <c r="T1167" s="262"/>
      <c r="U1167" s="262"/>
      <c r="V1167" s="262"/>
      <c r="W1167" s="262"/>
      <c r="X1167" s="262"/>
      <c r="Y1167" s="262"/>
      <c r="Z1167" s="262"/>
      <c r="AA1167" s="262"/>
      <c r="AB1167" s="262"/>
      <c r="AC1167" s="262"/>
      <c r="AD1167" s="262"/>
      <c r="AE1167" s="262"/>
      <c r="AF1167" s="147"/>
      <c r="AG1167" s="147"/>
      <c r="AH1167" s="147"/>
      <c r="AI1167" s="84"/>
      <c r="AJ1167" s="161"/>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row>
    <row r="1168" spans="1:59" ht="15.75" customHeight="1" x14ac:dyDescent="0.2">
      <c r="A1168" s="162"/>
      <c r="B1168" s="162"/>
      <c r="C1168" s="206"/>
      <c r="D1168" s="262"/>
      <c r="E1168" s="262"/>
      <c r="F1168" s="262"/>
      <c r="G1168" s="262"/>
      <c r="H1168" s="262"/>
      <c r="I1168" s="262"/>
      <c r="J1168" s="262"/>
      <c r="K1168" s="262"/>
      <c r="L1168" s="262"/>
      <c r="M1168" s="262"/>
      <c r="N1168" s="262"/>
      <c r="O1168" s="262"/>
      <c r="P1168" s="262"/>
      <c r="Q1168" s="262"/>
      <c r="R1168" s="262"/>
      <c r="S1168" s="262"/>
      <c r="T1168" s="262"/>
      <c r="U1168" s="262"/>
      <c r="V1168" s="262"/>
      <c r="W1168" s="262"/>
      <c r="X1168" s="262"/>
      <c r="Y1168" s="262"/>
      <c r="Z1168" s="262"/>
      <c r="AA1168" s="262"/>
      <c r="AB1168" s="262"/>
      <c r="AC1168" s="262"/>
      <c r="AD1168" s="262"/>
      <c r="AE1168" s="262"/>
      <c r="AF1168" s="147"/>
      <c r="AG1168" s="147"/>
      <c r="AH1168" s="147"/>
      <c r="AI1168" s="84"/>
      <c r="AJ1168" s="161"/>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row>
    <row r="1169" spans="1:59" ht="15.75" customHeight="1" x14ac:dyDescent="0.2">
      <c r="A1169" s="162"/>
      <c r="B1169" s="162"/>
      <c r="C1169" s="206"/>
      <c r="D1169" s="262"/>
      <c r="E1169" s="262"/>
      <c r="F1169" s="262"/>
      <c r="G1169" s="262"/>
      <c r="H1169" s="262"/>
      <c r="I1169" s="262"/>
      <c r="J1169" s="262"/>
      <c r="K1169" s="262"/>
      <c r="L1169" s="262"/>
      <c r="M1169" s="262"/>
      <c r="N1169" s="262"/>
      <c r="O1169" s="262"/>
      <c r="P1169" s="262"/>
      <c r="Q1169" s="262"/>
      <c r="R1169" s="262"/>
      <c r="S1169" s="262"/>
      <c r="T1169" s="262"/>
      <c r="U1169" s="262"/>
      <c r="V1169" s="262"/>
      <c r="W1169" s="262"/>
      <c r="X1169" s="262"/>
      <c r="Y1169" s="262"/>
      <c r="Z1169" s="262"/>
      <c r="AA1169" s="262"/>
      <c r="AB1169" s="262"/>
      <c r="AC1169" s="262"/>
      <c r="AD1169" s="262"/>
      <c r="AE1169" s="262"/>
      <c r="AF1169" s="147"/>
      <c r="AG1169" s="147"/>
      <c r="AH1169" s="147"/>
      <c r="AI1169" s="84"/>
      <c r="AJ1169" s="161"/>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row>
    <row r="1170" spans="1:59" ht="15.75" customHeight="1" x14ac:dyDescent="0.2">
      <c r="A1170" s="162"/>
      <c r="B1170" s="162"/>
      <c r="C1170" s="206"/>
      <c r="D1170" s="262"/>
      <c r="E1170" s="262"/>
      <c r="F1170" s="262"/>
      <c r="G1170" s="262"/>
      <c r="H1170" s="262"/>
      <c r="I1170" s="262"/>
      <c r="J1170" s="262"/>
      <c r="K1170" s="262"/>
      <c r="L1170" s="262"/>
      <c r="M1170" s="262"/>
      <c r="N1170" s="262"/>
      <c r="O1170" s="262"/>
      <c r="P1170" s="262"/>
      <c r="Q1170" s="262"/>
      <c r="R1170" s="262"/>
      <c r="S1170" s="262"/>
      <c r="T1170" s="262"/>
      <c r="U1170" s="262"/>
      <c r="V1170" s="262"/>
      <c r="W1170" s="262"/>
      <c r="X1170" s="262"/>
      <c r="Y1170" s="262"/>
      <c r="Z1170" s="262"/>
      <c r="AA1170" s="262"/>
      <c r="AB1170" s="262"/>
      <c r="AC1170" s="262"/>
      <c r="AD1170" s="262"/>
      <c r="AE1170" s="262"/>
      <c r="AF1170" s="147"/>
      <c r="AG1170" s="147"/>
      <c r="AH1170" s="147"/>
      <c r="AI1170" s="84"/>
      <c r="AJ1170" s="182"/>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row>
    <row r="1171" spans="1:59" ht="15.75" customHeight="1" x14ac:dyDescent="0.2">
      <c r="A1171" s="162"/>
      <c r="B1171" s="162"/>
      <c r="C1171" s="206"/>
      <c r="D1171" s="262"/>
      <c r="E1171" s="262"/>
      <c r="F1171" s="262"/>
      <c r="G1171" s="262"/>
      <c r="H1171" s="262"/>
      <c r="I1171" s="262"/>
      <c r="J1171" s="262"/>
      <c r="K1171" s="262"/>
      <c r="L1171" s="262"/>
      <c r="M1171" s="262"/>
      <c r="N1171" s="262"/>
      <c r="O1171" s="262"/>
      <c r="P1171" s="262"/>
      <c r="Q1171" s="262"/>
      <c r="R1171" s="262"/>
      <c r="S1171" s="262"/>
      <c r="T1171" s="262"/>
      <c r="U1171" s="262"/>
      <c r="V1171" s="262"/>
      <c r="W1171" s="262"/>
      <c r="X1171" s="262"/>
      <c r="Y1171" s="262"/>
      <c r="Z1171" s="262"/>
      <c r="AA1171" s="262"/>
      <c r="AB1171" s="262"/>
      <c r="AC1171" s="262"/>
      <c r="AD1171" s="262"/>
      <c r="AE1171" s="262"/>
      <c r="AF1171" s="147"/>
      <c r="AG1171" s="147"/>
      <c r="AH1171" s="147"/>
      <c r="AI1171" s="84"/>
      <c r="AJ1171" s="161"/>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row>
    <row r="1172" spans="1:59" ht="15.75" customHeight="1" x14ac:dyDescent="0.2">
      <c r="A1172" s="162"/>
      <c r="B1172" s="162"/>
      <c r="C1172" s="206"/>
      <c r="D1172" s="262"/>
      <c r="E1172" s="262"/>
      <c r="F1172" s="262"/>
      <c r="G1172" s="262"/>
      <c r="H1172" s="262"/>
      <c r="I1172" s="262"/>
      <c r="J1172" s="262"/>
      <c r="K1172" s="262"/>
      <c r="L1172" s="262"/>
      <c r="M1172" s="262"/>
      <c r="N1172" s="262"/>
      <c r="O1172" s="262"/>
      <c r="P1172" s="262"/>
      <c r="Q1172" s="262"/>
      <c r="R1172" s="262"/>
      <c r="S1172" s="262"/>
      <c r="T1172" s="262"/>
      <c r="U1172" s="262"/>
      <c r="V1172" s="262"/>
      <c r="W1172" s="262"/>
      <c r="X1172" s="262"/>
      <c r="Y1172" s="262"/>
      <c r="Z1172" s="262"/>
      <c r="AA1172" s="262"/>
      <c r="AB1172" s="262"/>
      <c r="AC1172" s="262"/>
      <c r="AD1172" s="262"/>
      <c r="AE1172" s="262"/>
      <c r="AF1172" s="147"/>
      <c r="AG1172" s="147"/>
      <c r="AH1172" s="147"/>
      <c r="AI1172" s="84"/>
      <c r="AJ1172" s="161"/>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row>
    <row r="1173" spans="1:59" ht="15.75" customHeight="1" x14ac:dyDescent="0.2">
      <c r="A1173" s="162"/>
      <c r="B1173" s="162"/>
      <c r="C1173" s="206"/>
      <c r="D1173" s="262"/>
      <c r="E1173" s="262"/>
      <c r="F1173" s="262"/>
      <c r="G1173" s="262"/>
      <c r="H1173" s="262"/>
      <c r="I1173" s="262"/>
      <c r="J1173" s="262"/>
      <c r="K1173" s="262"/>
      <c r="L1173" s="262"/>
      <c r="M1173" s="262"/>
      <c r="N1173" s="262"/>
      <c r="O1173" s="262"/>
      <c r="P1173" s="262"/>
      <c r="Q1173" s="262"/>
      <c r="R1173" s="262"/>
      <c r="S1173" s="262"/>
      <c r="T1173" s="262"/>
      <c r="U1173" s="262"/>
      <c r="V1173" s="262"/>
      <c r="W1173" s="262"/>
      <c r="X1173" s="262"/>
      <c r="Y1173" s="262"/>
      <c r="Z1173" s="262"/>
      <c r="AA1173" s="262"/>
      <c r="AB1173" s="262"/>
      <c r="AC1173" s="262"/>
      <c r="AD1173" s="262"/>
      <c r="AE1173" s="262"/>
      <c r="AF1173" s="147"/>
      <c r="AG1173" s="147"/>
      <c r="AH1173" s="147"/>
      <c r="AI1173" s="84"/>
      <c r="AJ1173" s="161"/>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row>
    <row r="1174" spans="1:59" ht="15.75" customHeight="1" x14ac:dyDescent="0.2">
      <c r="A1174" s="162"/>
      <c r="B1174" s="162"/>
      <c r="C1174" s="206"/>
      <c r="D1174" s="262"/>
      <c r="E1174" s="262"/>
      <c r="F1174" s="262"/>
      <c r="G1174" s="262"/>
      <c r="H1174" s="262"/>
      <c r="I1174" s="262"/>
      <c r="J1174" s="262"/>
      <c r="K1174" s="262"/>
      <c r="L1174" s="262"/>
      <c r="M1174" s="262"/>
      <c r="N1174" s="262"/>
      <c r="O1174" s="262"/>
      <c r="P1174" s="262"/>
      <c r="Q1174" s="262"/>
      <c r="R1174" s="262"/>
      <c r="S1174" s="262"/>
      <c r="T1174" s="262"/>
      <c r="U1174" s="262"/>
      <c r="V1174" s="262"/>
      <c r="W1174" s="262"/>
      <c r="X1174" s="262"/>
      <c r="Y1174" s="262"/>
      <c r="Z1174" s="262"/>
      <c r="AA1174" s="262"/>
      <c r="AB1174" s="262"/>
      <c r="AC1174" s="262"/>
      <c r="AD1174" s="262"/>
      <c r="AE1174" s="262"/>
      <c r="AF1174" s="147"/>
      <c r="AG1174" s="147"/>
      <c r="AH1174" s="147"/>
      <c r="AI1174" s="84"/>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row>
    <row r="1175" spans="1:59" ht="15.75" customHeight="1" x14ac:dyDescent="0.2">
      <c r="A1175" s="162"/>
      <c r="B1175" s="162"/>
      <c r="C1175" s="206"/>
      <c r="D1175" s="262"/>
      <c r="E1175" s="262"/>
      <c r="F1175" s="262"/>
      <c r="G1175" s="262"/>
      <c r="H1175" s="262"/>
      <c r="I1175" s="262"/>
      <c r="J1175" s="262"/>
      <c r="K1175" s="262"/>
      <c r="L1175" s="262"/>
      <c r="M1175" s="262"/>
      <c r="N1175" s="262"/>
      <c r="O1175" s="262"/>
      <c r="P1175" s="262"/>
      <c r="Q1175" s="262"/>
      <c r="R1175" s="262"/>
      <c r="S1175" s="262"/>
      <c r="T1175" s="262"/>
      <c r="U1175" s="262"/>
      <c r="V1175" s="262"/>
      <c r="W1175" s="262"/>
      <c r="X1175" s="262"/>
      <c r="Y1175" s="262"/>
      <c r="Z1175" s="262"/>
      <c r="AA1175" s="262"/>
      <c r="AB1175" s="262"/>
      <c r="AC1175" s="262"/>
      <c r="AD1175" s="262"/>
      <c r="AE1175" s="262"/>
      <c r="AF1175" s="147"/>
      <c r="AG1175" s="147"/>
      <c r="AH1175" s="147"/>
      <c r="AI1175" s="84"/>
      <c r="AJ1175" s="15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row>
    <row r="1176" spans="1:59" ht="15.75" customHeight="1" x14ac:dyDescent="0.2">
      <c r="A1176" s="162"/>
      <c r="B1176" s="162"/>
      <c r="C1176" s="206"/>
      <c r="D1176" s="262"/>
      <c r="E1176" s="262"/>
      <c r="F1176" s="262"/>
      <c r="G1176" s="262"/>
      <c r="H1176" s="262"/>
      <c r="I1176" s="262"/>
      <c r="J1176" s="262"/>
      <c r="K1176" s="262"/>
      <c r="L1176" s="262"/>
      <c r="M1176" s="262"/>
      <c r="N1176" s="262"/>
      <c r="O1176" s="262"/>
      <c r="P1176" s="262"/>
      <c r="Q1176" s="262"/>
      <c r="R1176" s="262"/>
      <c r="S1176" s="262"/>
      <c r="T1176" s="262"/>
      <c r="U1176" s="262"/>
      <c r="V1176" s="262"/>
      <c r="W1176" s="262"/>
      <c r="X1176" s="262"/>
      <c r="Y1176" s="262"/>
      <c r="Z1176" s="262"/>
      <c r="AA1176" s="262"/>
      <c r="AB1176" s="262"/>
      <c r="AC1176" s="262"/>
      <c r="AD1176" s="262"/>
      <c r="AE1176" s="262"/>
      <c r="AF1176" s="147"/>
      <c r="AG1176" s="147"/>
      <c r="AH1176" s="147"/>
      <c r="AI1176" s="84"/>
      <c r="AJ1176" s="161"/>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row>
    <row r="1177" spans="1:59" ht="15.75" customHeight="1" x14ac:dyDescent="0.2">
      <c r="A1177" s="162"/>
      <c r="B1177" s="162"/>
      <c r="C1177" s="206"/>
      <c r="D1177" s="262"/>
      <c r="E1177" s="262"/>
      <c r="F1177" s="262"/>
      <c r="G1177" s="262"/>
      <c r="H1177" s="262"/>
      <c r="I1177" s="262"/>
      <c r="J1177" s="262"/>
      <c r="K1177" s="262"/>
      <c r="L1177" s="262"/>
      <c r="M1177" s="262"/>
      <c r="N1177" s="262"/>
      <c r="O1177" s="262"/>
      <c r="P1177" s="262"/>
      <c r="Q1177" s="262"/>
      <c r="R1177" s="262"/>
      <c r="S1177" s="262"/>
      <c r="T1177" s="262"/>
      <c r="U1177" s="262"/>
      <c r="V1177" s="262"/>
      <c r="W1177" s="262"/>
      <c r="X1177" s="262"/>
      <c r="Y1177" s="262"/>
      <c r="Z1177" s="262"/>
      <c r="AA1177" s="262"/>
      <c r="AB1177" s="262"/>
      <c r="AC1177" s="262"/>
      <c r="AD1177" s="262"/>
      <c r="AE1177" s="262"/>
      <c r="AF1177" s="147"/>
      <c r="AG1177" s="147"/>
      <c r="AH1177" s="147"/>
      <c r="AI1177" s="84"/>
      <c r="AJ1177" s="192"/>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row>
    <row r="1178" spans="1:59" ht="15.75" customHeight="1" x14ac:dyDescent="0.2">
      <c r="A1178" s="162"/>
      <c r="B1178" s="162"/>
      <c r="C1178" s="206"/>
      <c r="D1178" s="262"/>
      <c r="E1178" s="262"/>
      <c r="F1178" s="262"/>
      <c r="G1178" s="262"/>
      <c r="H1178" s="262"/>
      <c r="I1178" s="262"/>
      <c r="J1178" s="262"/>
      <c r="K1178" s="262"/>
      <c r="L1178" s="262"/>
      <c r="M1178" s="262"/>
      <c r="N1178" s="262"/>
      <c r="O1178" s="262"/>
      <c r="P1178" s="262"/>
      <c r="Q1178" s="262"/>
      <c r="R1178" s="262"/>
      <c r="S1178" s="262"/>
      <c r="T1178" s="262"/>
      <c r="U1178" s="262"/>
      <c r="V1178" s="262"/>
      <c r="W1178" s="262"/>
      <c r="X1178" s="262"/>
      <c r="Y1178" s="262"/>
      <c r="Z1178" s="262"/>
      <c r="AA1178" s="262"/>
      <c r="AB1178" s="262"/>
      <c r="AC1178" s="262"/>
      <c r="AD1178" s="262"/>
      <c r="AE1178" s="262"/>
      <c r="AF1178" s="147"/>
      <c r="AG1178" s="147"/>
      <c r="AH1178" s="147"/>
      <c r="AI1178" s="84"/>
      <c r="AJ1178" s="192"/>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row>
    <row r="1179" spans="1:59" ht="15.75" customHeight="1" x14ac:dyDescent="0.2">
      <c r="A1179" s="162"/>
      <c r="B1179" s="162"/>
      <c r="C1179" s="206"/>
      <c r="D1179" s="262"/>
      <c r="E1179" s="262"/>
      <c r="F1179" s="262"/>
      <c r="G1179" s="262"/>
      <c r="H1179" s="262"/>
      <c r="I1179" s="262"/>
      <c r="J1179" s="262"/>
      <c r="K1179" s="262"/>
      <c r="L1179" s="262"/>
      <c r="M1179" s="262"/>
      <c r="N1179" s="262"/>
      <c r="O1179" s="262"/>
      <c r="P1179" s="262"/>
      <c r="Q1179" s="262"/>
      <c r="R1179" s="262"/>
      <c r="S1179" s="262"/>
      <c r="T1179" s="262"/>
      <c r="U1179" s="262"/>
      <c r="V1179" s="262"/>
      <c r="W1179" s="262"/>
      <c r="X1179" s="262"/>
      <c r="Y1179" s="262"/>
      <c r="Z1179" s="262"/>
      <c r="AA1179" s="262"/>
      <c r="AB1179" s="262"/>
      <c r="AC1179" s="262"/>
      <c r="AD1179" s="262"/>
      <c r="AE1179" s="262"/>
      <c r="AF1179" s="147"/>
      <c r="AG1179" s="147"/>
      <c r="AH1179" s="147"/>
      <c r="AI1179" s="84"/>
      <c r="AJ1179" s="192"/>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row>
    <row r="1180" spans="1:59" ht="15.75" customHeight="1" x14ac:dyDescent="0.2">
      <c r="A1180" s="162"/>
      <c r="B1180" s="162"/>
      <c r="C1180" s="206"/>
      <c r="D1180" s="262"/>
      <c r="E1180" s="262"/>
      <c r="F1180" s="262"/>
      <c r="G1180" s="262"/>
      <c r="H1180" s="262"/>
      <c r="I1180" s="262"/>
      <c r="J1180" s="262"/>
      <c r="K1180" s="262"/>
      <c r="L1180" s="262"/>
      <c r="M1180" s="262"/>
      <c r="N1180" s="262"/>
      <c r="O1180" s="262"/>
      <c r="P1180" s="262"/>
      <c r="Q1180" s="262"/>
      <c r="R1180" s="262"/>
      <c r="S1180" s="262"/>
      <c r="T1180" s="262"/>
      <c r="U1180" s="262"/>
      <c r="V1180" s="262"/>
      <c r="W1180" s="262"/>
      <c r="X1180" s="262"/>
      <c r="Y1180" s="262"/>
      <c r="Z1180" s="262"/>
      <c r="AA1180" s="262"/>
      <c r="AB1180" s="262"/>
      <c r="AC1180" s="262"/>
      <c r="AD1180" s="262"/>
      <c r="AE1180" s="262"/>
      <c r="AF1180" s="147"/>
      <c r="AG1180" s="147"/>
      <c r="AH1180" s="147"/>
      <c r="AI1180" s="84"/>
      <c r="AJ1180" s="192"/>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row>
    <row r="1181" spans="1:59" ht="15.75" customHeight="1" x14ac:dyDescent="0.2">
      <c r="A1181" s="162"/>
      <c r="B1181" s="162"/>
      <c r="C1181" s="206"/>
      <c r="D1181" s="262"/>
      <c r="E1181" s="262"/>
      <c r="F1181" s="262"/>
      <c r="G1181" s="262"/>
      <c r="H1181" s="262"/>
      <c r="I1181" s="262"/>
      <c r="J1181" s="262"/>
      <c r="K1181" s="262"/>
      <c r="L1181" s="262"/>
      <c r="M1181" s="262"/>
      <c r="N1181" s="262"/>
      <c r="O1181" s="262"/>
      <c r="P1181" s="262"/>
      <c r="Q1181" s="262"/>
      <c r="R1181" s="262"/>
      <c r="S1181" s="262"/>
      <c r="T1181" s="262"/>
      <c r="U1181" s="262"/>
      <c r="V1181" s="262"/>
      <c r="W1181" s="262"/>
      <c r="X1181" s="262"/>
      <c r="Y1181" s="262"/>
      <c r="Z1181" s="262"/>
      <c r="AA1181" s="262"/>
      <c r="AB1181" s="262"/>
      <c r="AC1181" s="262"/>
      <c r="AD1181" s="262"/>
      <c r="AE1181" s="262"/>
      <c r="AF1181" s="147"/>
      <c r="AG1181" s="147"/>
      <c r="AH1181" s="147"/>
      <c r="AI1181" s="84"/>
      <c r="AJ1181" s="192"/>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row>
    <row r="1182" spans="1:59" ht="15.75" customHeight="1" x14ac:dyDescent="0.2">
      <c r="A1182" s="162"/>
      <c r="B1182" s="162"/>
      <c r="C1182" s="206"/>
      <c r="D1182" s="262"/>
      <c r="E1182" s="262"/>
      <c r="F1182" s="262"/>
      <c r="G1182" s="262"/>
      <c r="H1182" s="262"/>
      <c r="I1182" s="262"/>
      <c r="J1182" s="262"/>
      <c r="K1182" s="262"/>
      <c r="L1182" s="262"/>
      <c r="M1182" s="262"/>
      <c r="N1182" s="262"/>
      <c r="O1182" s="262"/>
      <c r="P1182" s="262"/>
      <c r="Q1182" s="262"/>
      <c r="R1182" s="262"/>
      <c r="S1182" s="262"/>
      <c r="T1182" s="262"/>
      <c r="U1182" s="262"/>
      <c r="V1182" s="262"/>
      <c r="W1182" s="262"/>
      <c r="X1182" s="262"/>
      <c r="Y1182" s="262"/>
      <c r="Z1182" s="262"/>
      <c r="AA1182" s="262"/>
      <c r="AB1182" s="262"/>
      <c r="AC1182" s="262"/>
      <c r="AD1182" s="262"/>
      <c r="AE1182" s="262"/>
      <c r="AF1182" s="147"/>
      <c r="AG1182" s="147"/>
      <c r="AH1182" s="147"/>
      <c r="AI1182" s="84"/>
      <c r="AJ1182" s="192"/>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row>
    <row r="1183" spans="1:59" ht="15.75" customHeight="1" x14ac:dyDescent="0.2">
      <c r="A1183" s="162"/>
      <c r="B1183" s="162"/>
      <c r="C1183" s="206"/>
      <c r="D1183" s="262"/>
      <c r="E1183" s="262"/>
      <c r="F1183" s="262"/>
      <c r="G1183" s="262"/>
      <c r="H1183" s="262"/>
      <c r="I1183" s="262"/>
      <c r="J1183" s="262"/>
      <c r="K1183" s="262"/>
      <c r="L1183" s="262"/>
      <c r="M1183" s="262"/>
      <c r="N1183" s="262"/>
      <c r="O1183" s="262"/>
      <c r="P1183" s="262"/>
      <c r="Q1183" s="262"/>
      <c r="R1183" s="262"/>
      <c r="S1183" s="262"/>
      <c r="T1183" s="262"/>
      <c r="U1183" s="262"/>
      <c r="V1183" s="262"/>
      <c r="W1183" s="262"/>
      <c r="X1183" s="262"/>
      <c r="Y1183" s="262"/>
      <c r="Z1183" s="262"/>
      <c r="AA1183" s="262"/>
      <c r="AB1183" s="262"/>
      <c r="AC1183" s="262"/>
      <c r="AD1183" s="262"/>
      <c r="AE1183" s="262"/>
      <c r="AF1183" s="147"/>
      <c r="AG1183" s="147"/>
      <c r="AH1183" s="147"/>
      <c r="AI1183" s="84"/>
      <c r="AJ1183" s="192"/>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row>
    <row r="1184" spans="1:59" ht="15.75" customHeight="1" x14ac:dyDescent="0.2">
      <c r="A1184" s="162"/>
      <c r="B1184" s="162"/>
      <c r="C1184" s="206"/>
      <c r="D1184" s="262"/>
      <c r="E1184" s="262"/>
      <c r="F1184" s="262"/>
      <c r="G1184" s="262"/>
      <c r="H1184" s="262"/>
      <c r="I1184" s="262"/>
      <c r="J1184" s="262"/>
      <c r="K1184" s="262"/>
      <c r="L1184" s="262"/>
      <c r="M1184" s="262"/>
      <c r="N1184" s="262"/>
      <c r="O1184" s="262"/>
      <c r="P1184" s="262"/>
      <c r="Q1184" s="262"/>
      <c r="R1184" s="262"/>
      <c r="S1184" s="262"/>
      <c r="T1184" s="262"/>
      <c r="U1184" s="262"/>
      <c r="V1184" s="262"/>
      <c r="W1184" s="262"/>
      <c r="X1184" s="262"/>
      <c r="Y1184" s="262"/>
      <c r="Z1184" s="262"/>
      <c r="AA1184" s="262"/>
      <c r="AB1184" s="262"/>
      <c r="AC1184" s="262"/>
      <c r="AD1184" s="262"/>
      <c r="AE1184" s="262"/>
      <c r="AF1184" s="147"/>
      <c r="AG1184" s="147"/>
      <c r="AH1184" s="147"/>
      <c r="AI1184" s="84"/>
      <c r="AJ1184" s="182"/>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row>
    <row r="1185" spans="1:59" ht="15.75" customHeight="1" x14ac:dyDescent="0.2">
      <c r="A1185" s="162"/>
      <c r="B1185" s="162"/>
      <c r="C1185" s="206"/>
      <c r="D1185" s="262"/>
      <c r="E1185" s="262"/>
      <c r="F1185" s="262"/>
      <c r="G1185" s="262"/>
      <c r="H1185" s="262"/>
      <c r="I1185" s="262"/>
      <c r="J1185" s="262"/>
      <c r="K1185" s="262"/>
      <c r="L1185" s="262"/>
      <c r="M1185" s="262"/>
      <c r="N1185" s="262"/>
      <c r="O1185" s="262"/>
      <c r="P1185" s="262"/>
      <c r="Q1185" s="262"/>
      <c r="R1185" s="262"/>
      <c r="S1185" s="262"/>
      <c r="T1185" s="262"/>
      <c r="U1185" s="262"/>
      <c r="V1185" s="262"/>
      <c r="W1185" s="262"/>
      <c r="X1185" s="262"/>
      <c r="Y1185" s="262"/>
      <c r="Z1185" s="262"/>
      <c r="AA1185" s="262"/>
      <c r="AB1185" s="262"/>
      <c r="AC1185" s="262"/>
      <c r="AD1185" s="262"/>
      <c r="AE1185" s="262"/>
      <c r="AF1185" s="147"/>
      <c r="AG1185" s="147"/>
      <c r="AH1185" s="147"/>
      <c r="AI1185" s="84"/>
      <c r="AJ1185" s="182"/>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row>
    <row r="1186" spans="1:59" ht="15.75" customHeight="1" x14ac:dyDescent="0.2">
      <c r="A1186" s="162"/>
      <c r="B1186" s="162"/>
      <c r="C1186" s="206"/>
      <c r="D1186" s="262"/>
      <c r="E1186" s="262"/>
      <c r="F1186" s="262"/>
      <c r="G1186" s="262"/>
      <c r="H1186" s="262"/>
      <c r="I1186" s="262"/>
      <c r="J1186" s="262"/>
      <c r="K1186" s="262"/>
      <c r="L1186" s="262"/>
      <c r="M1186" s="262"/>
      <c r="N1186" s="262"/>
      <c r="O1186" s="262"/>
      <c r="P1186" s="262"/>
      <c r="Q1186" s="262"/>
      <c r="R1186" s="262"/>
      <c r="S1186" s="262"/>
      <c r="T1186" s="262"/>
      <c r="U1186" s="262"/>
      <c r="V1186" s="262"/>
      <c r="W1186" s="262"/>
      <c r="X1186" s="262"/>
      <c r="Y1186" s="262"/>
      <c r="Z1186" s="262"/>
      <c r="AA1186" s="262"/>
      <c r="AB1186" s="262"/>
      <c r="AC1186" s="262"/>
      <c r="AD1186" s="262"/>
      <c r="AE1186" s="262"/>
      <c r="AF1186" s="147"/>
      <c r="AG1186" s="147"/>
      <c r="AH1186" s="147"/>
      <c r="AI1186" s="84"/>
      <c r="AJ1186" s="182"/>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row>
    <row r="1187" spans="1:59" ht="15.75" customHeight="1" x14ac:dyDescent="0.2">
      <c r="A1187" s="162"/>
      <c r="B1187" s="162"/>
      <c r="C1187" s="206"/>
      <c r="D1187" s="262"/>
      <c r="E1187" s="262"/>
      <c r="F1187" s="262"/>
      <c r="G1187" s="262"/>
      <c r="H1187" s="262"/>
      <c r="I1187" s="262"/>
      <c r="J1187" s="262"/>
      <c r="K1187" s="262"/>
      <c r="L1187" s="262"/>
      <c r="M1187" s="262"/>
      <c r="N1187" s="262"/>
      <c r="O1187" s="262"/>
      <c r="P1187" s="262"/>
      <c r="Q1187" s="262"/>
      <c r="R1187" s="262"/>
      <c r="S1187" s="262"/>
      <c r="T1187" s="262"/>
      <c r="U1187" s="262"/>
      <c r="V1187" s="262"/>
      <c r="W1187" s="262"/>
      <c r="X1187" s="262"/>
      <c r="Y1187" s="262"/>
      <c r="Z1187" s="262"/>
      <c r="AA1187" s="262"/>
      <c r="AB1187" s="262"/>
      <c r="AC1187" s="262"/>
      <c r="AD1187" s="262"/>
      <c r="AE1187" s="262"/>
      <c r="AF1187" s="147"/>
      <c r="AG1187" s="147"/>
      <c r="AH1187" s="147"/>
      <c r="AI1187" s="84"/>
      <c r="AJ1187" s="182"/>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row>
    <row r="1188" spans="1:59" ht="15.75" customHeight="1" x14ac:dyDescent="0.2">
      <c r="A1188" s="162"/>
      <c r="B1188" s="162"/>
      <c r="C1188" s="206"/>
      <c r="D1188" s="262"/>
      <c r="E1188" s="262"/>
      <c r="F1188" s="262"/>
      <c r="G1188" s="262"/>
      <c r="H1188" s="262"/>
      <c r="I1188" s="262"/>
      <c r="J1188" s="262"/>
      <c r="K1188" s="262"/>
      <c r="L1188" s="262"/>
      <c r="M1188" s="262"/>
      <c r="N1188" s="262"/>
      <c r="O1188" s="262"/>
      <c r="P1188" s="262"/>
      <c r="Q1188" s="262"/>
      <c r="R1188" s="262"/>
      <c r="S1188" s="262"/>
      <c r="T1188" s="262"/>
      <c r="U1188" s="262"/>
      <c r="V1188" s="262"/>
      <c r="W1188" s="262"/>
      <c r="X1188" s="262"/>
      <c r="Y1188" s="262"/>
      <c r="Z1188" s="262"/>
      <c r="AA1188" s="262"/>
      <c r="AB1188" s="262"/>
      <c r="AC1188" s="262"/>
      <c r="AD1188" s="262"/>
      <c r="AE1188" s="262"/>
      <c r="AF1188" s="147"/>
      <c r="AG1188" s="147"/>
      <c r="AH1188" s="147"/>
      <c r="AI1188" s="84"/>
      <c r="AJ1188" s="182"/>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row>
    <row r="1189" spans="1:59" ht="15.75" customHeight="1" x14ac:dyDescent="0.2">
      <c r="A1189" s="162"/>
      <c r="B1189" s="162"/>
      <c r="C1189" s="206"/>
      <c r="D1189" s="262"/>
      <c r="E1189" s="262"/>
      <c r="F1189" s="262"/>
      <c r="G1189" s="262"/>
      <c r="H1189" s="262"/>
      <c r="I1189" s="262"/>
      <c r="J1189" s="262"/>
      <c r="K1189" s="262"/>
      <c r="L1189" s="262"/>
      <c r="M1189" s="262"/>
      <c r="N1189" s="262"/>
      <c r="O1189" s="262"/>
      <c r="P1189" s="262"/>
      <c r="Q1189" s="262"/>
      <c r="R1189" s="262"/>
      <c r="S1189" s="262"/>
      <c r="T1189" s="262"/>
      <c r="U1189" s="262"/>
      <c r="V1189" s="262"/>
      <c r="W1189" s="262"/>
      <c r="X1189" s="262"/>
      <c r="Y1189" s="262"/>
      <c r="Z1189" s="262"/>
      <c r="AA1189" s="262"/>
      <c r="AB1189" s="262"/>
      <c r="AC1189" s="262"/>
      <c r="AD1189" s="262"/>
      <c r="AE1189" s="262"/>
      <c r="AF1189" s="147"/>
      <c r="AG1189" s="147"/>
      <c r="AH1189" s="147"/>
      <c r="AI1189" s="84"/>
      <c r="AJ1189" s="182"/>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row>
    <row r="1190" spans="1:59" ht="15.75" customHeight="1" x14ac:dyDescent="0.2">
      <c r="A1190" s="162"/>
      <c r="B1190" s="162"/>
      <c r="C1190" s="206"/>
      <c r="D1190" s="262"/>
      <c r="E1190" s="262"/>
      <c r="F1190" s="262"/>
      <c r="G1190" s="262"/>
      <c r="H1190" s="262"/>
      <c r="I1190" s="262"/>
      <c r="J1190" s="262"/>
      <c r="K1190" s="262"/>
      <c r="L1190" s="262"/>
      <c r="M1190" s="262"/>
      <c r="N1190" s="262"/>
      <c r="O1190" s="262"/>
      <c r="P1190" s="262"/>
      <c r="Q1190" s="262"/>
      <c r="R1190" s="262"/>
      <c r="S1190" s="262"/>
      <c r="T1190" s="262"/>
      <c r="U1190" s="262"/>
      <c r="V1190" s="262"/>
      <c r="W1190" s="262"/>
      <c r="X1190" s="262"/>
      <c r="Y1190" s="262"/>
      <c r="Z1190" s="262"/>
      <c r="AA1190" s="262"/>
      <c r="AB1190" s="262"/>
      <c r="AC1190" s="262"/>
      <c r="AD1190" s="262"/>
      <c r="AE1190" s="262"/>
      <c r="AF1190" s="147"/>
      <c r="AG1190" s="147"/>
      <c r="AH1190" s="147"/>
      <c r="AI1190" s="84"/>
      <c r="AJ1190" s="182"/>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row>
    <row r="1191" spans="1:59" ht="15.75" customHeight="1" x14ac:dyDescent="0.2">
      <c r="A1191" s="162"/>
      <c r="B1191" s="162"/>
      <c r="C1191" s="206"/>
      <c r="D1191" s="262"/>
      <c r="E1191" s="262"/>
      <c r="F1191" s="262"/>
      <c r="G1191" s="262"/>
      <c r="H1191" s="262"/>
      <c r="I1191" s="262"/>
      <c r="J1191" s="262"/>
      <c r="K1191" s="262"/>
      <c r="L1191" s="262"/>
      <c r="M1191" s="262"/>
      <c r="N1191" s="262"/>
      <c r="O1191" s="262"/>
      <c r="P1191" s="262"/>
      <c r="Q1191" s="262"/>
      <c r="R1191" s="262"/>
      <c r="S1191" s="262"/>
      <c r="T1191" s="262"/>
      <c r="U1191" s="262"/>
      <c r="V1191" s="262"/>
      <c r="W1191" s="262"/>
      <c r="X1191" s="262"/>
      <c r="Y1191" s="262"/>
      <c r="Z1191" s="262"/>
      <c r="AA1191" s="262"/>
      <c r="AB1191" s="262"/>
      <c r="AC1191" s="262"/>
      <c r="AD1191" s="262"/>
      <c r="AE1191" s="262"/>
      <c r="AF1191" s="147"/>
      <c r="AG1191" s="147"/>
      <c r="AH1191" s="147"/>
      <c r="AI1191" s="84"/>
      <c r="AJ1191" s="182"/>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row>
    <row r="1192" spans="1:59" ht="15.75" customHeight="1" x14ac:dyDescent="0.2">
      <c r="A1192" s="162"/>
      <c r="B1192" s="162"/>
      <c r="C1192" s="206"/>
      <c r="D1192" s="262"/>
      <c r="E1192" s="262"/>
      <c r="F1192" s="262"/>
      <c r="G1192" s="262"/>
      <c r="H1192" s="262"/>
      <c r="I1192" s="262"/>
      <c r="J1192" s="262"/>
      <c r="K1192" s="262"/>
      <c r="L1192" s="262"/>
      <c r="M1192" s="262"/>
      <c r="N1192" s="262"/>
      <c r="O1192" s="262"/>
      <c r="P1192" s="262"/>
      <c r="Q1192" s="262"/>
      <c r="R1192" s="262"/>
      <c r="S1192" s="262"/>
      <c r="T1192" s="262"/>
      <c r="U1192" s="262"/>
      <c r="V1192" s="262"/>
      <c r="W1192" s="262"/>
      <c r="X1192" s="262"/>
      <c r="Y1192" s="262"/>
      <c r="Z1192" s="262"/>
      <c r="AA1192" s="262"/>
      <c r="AB1192" s="262"/>
      <c r="AC1192" s="262"/>
      <c r="AD1192" s="262"/>
      <c r="AE1192" s="262"/>
      <c r="AF1192" s="147"/>
      <c r="AG1192" s="147"/>
      <c r="AH1192" s="147"/>
      <c r="AI1192" s="84"/>
      <c r="AJ1192" s="182"/>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row>
    <row r="1193" spans="1:59" ht="15.75" customHeight="1" x14ac:dyDescent="0.2">
      <c r="A1193" s="162"/>
      <c r="B1193" s="162"/>
      <c r="C1193" s="206"/>
      <c r="D1193" s="262"/>
      <c r="E1193" s="262"/>
      <c r="F1193" s="262"/>
      <c r="G1193" s="262"/>
      <c r="H1193" s="262"/>
      <c r="I1193" s="262"/>
      <c r="J1193" s="262"/>
      <c r="K1193" s="262"/>
      <c r="L1193" s="262"/>
      <c r="M1193" s="262"/>
      <c r="N1193" s="262"/>
      <c r="O1193" s="262"/>
      <c r="P1193" s="262"/>
      <c r="Q1193" s="262"/>
      <c r="R1193" s="262"/>
      <c r="S1193" s="262"/>
      <c r="T1193" s="262"/>
      <c r="U1193" s="262"/>
      <c r="V1193" s="262"/>
      <c r="W1193" s="262"/>
      <c r="X1193" s="262"/>
      <c r="Y1193" s="262"/>
      <c r="Z1193" s="262"/>
      <c r="AA1193" s="262"/>
      <c r="AB1193" s="262"/>
      <c r="AC1193" s="262"/>
      <c r="AD1193" s="262"/>
      <c r="AE1193" s="262"/>
      <c r="AF1193" s="147"/>
      <c r="AG1193" s="147"/>
      <c r="AH1193" s="147"/>
      <c r="AI1193" s="84"/>
      <c r="AJ1193" s="182"/>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row>
    <row r="1194" spans="1:59" ht="15.75" customHeight="1" x14ac:dyDescent="0.2">
      <c r="A1194" s="162"/>
      <c r="B1194" s="162"/>
      <c r="C1194" s="206"/>
      <c r="D1194" s="262"/>
      <c r="E1194" s="262"/>
      <c r="F1194" s="262"/>
      <c r="G1194" s="262"/>
      <c r="H1194" s="262"/>
      <c r="I1194" s="262"/>
      <c r="J1194" s="262"/>
      <c r="K1194" s="262"/>
      <c r="L1194" s="262"/>
      <c r="M1194" s="262"/>
      <c r="N1194" s="262"/>
      <c r="O1194" s="262"/>
      <c r="P1194" s="262"/>
      <c r="Q1194" s="262"/>
      <c r="R1194" s="262"/>
      <c r="S1194" s="262"/>
      <c r="T1194" s="262"/>
      <c r="U1194" s="262"/>
      <c r="V1194" s="262"/>
      <c r="W1194" s="262"/>
      <c r="X1194" s="262"/>
      <c r="Y1194" s="262"/>
      <c r="Z1194" s="262"/>
      <c r="AA1194" s="262"/>
      <c r="AB1194" s="262"/>
      <c r="AC1194" s="262"/>
      <c r="AD1194" s="262"/>
      <c r="AE1194" s="262"/>
      <c r="AF1194" s="147"/>
      <c r="AG1194" s="147"/>
      <c r="AH1194" s="147"/>
      <c r="AI1194" s="84"/>
      <c r="AJ1194" s="182"/>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row>
    <row r="1195" spans="1:59" ht="15.75" customHeight="1" x14ac:dyDescent="0.2">
      <c r="A1195" s="162"/>
      <c r="B1195" s="162"/>
      <c r="C1195" s="206"/>
      <c r="D1195" s="262"/>
      <c r="E1195" s="262"/>
      <c r="F1195" s="262"/>
      <c r="G1195" s="262"/>
      <c r="H1195" s="262"/>
      <c r="I1195" s="262"/>
      <c r="J1195" s="262"/>
      <c r="K1195" s="262"/>
      <c r="L1195" s="262"/>
      <c r="M1195" s="262"/>
      <c r="N1195" s="262"/>
      <c r="O1195" s="262"/>
      <c r="P1195" s="262"/>
      <c r="Q1195" s="262"/>
      <c r="R1195" s="262"/>
      <c r="S1195" s="262"/>
      <c r="T1195" s="262"/>
      <c r="U1195" s="262"/>
      <c r="V1195" s="262"/>
      <c r="W1195" s="262"/>
      <c r="X1195" s="262"/>
      <c r="Y1195" s="262"/>
      <c r="Z1195" s="262"/>
      <c r="AA1195" s="262"/>
      <c r="AB1195" s="262"/>
      <c r="AC1195" s="262"/>
      <c r="AD1195" s="262"/>
      <c r="AE1195" s="262"/>
      <c r="AF1195" s="147"/>
      <c r="AG1195" s="147"/>
      <c r="AH1195" s="147"/>
      <c r="AI1195" s="84"/>
      <c r="AJ1195" s="182"/>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row>
    <row r="1196" spans="1:59" ht="15.75" customHeight="1" x14ac:dyDescent="0.2">
      <c r="A1196" s="162"/>
      <c r="B1196" s="162"/>
      <c r="C1196" s="206"/>
      <c r="D1196" s="262"/>
      <c r="E1196" s="262"/>
      <c r="F1196" s="262"/>
      <c r="G1196" s="262"/>
      <c r="H1196" s="262"/>
      <c r="I1196" s="262"/>
      <c r="J1196" s="262"/>
      <c r="K1196" s="262"/>
      <c r="L1196" s="262"/>
      <c r="M1196" s="262"/>
      <c r="N1196" s="262"/>
      <c r="O1196" s="262"/>
      <c r="P1196" s="262"/>
      <c r="Q1196" s="262"/>
      <c r="R1196" s="262"/>
      <c r="S1196" s="262"/>
      <c r="T1196" s="262"/>
      <c r="U1196" s="262"/>
      <c r="V1196" s="262"/>
      <c r="W1196" s="262"/>
      <c r="X1196" s="262"/>
      <c r="Y1196" s="262"/>
      <c r="Z1196" s="262"/>
      <c r="AA1196" s="262"/>
      <c r="AB1196" s="262"/>
      <c r="AC1196" s="262"/>
      <c r="AD1196" s="262"/>
      <c r="AE1196" s="262"/>
      <c r="AF1196" s="147"/>
      <c r="AG1196" s="147"/>
      <c r="AH1196" s="147"/>
      <c r="AI1196" s="84"/>
      <c r="AJ1196" s="182"/>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row>
    <row r="1197" spans="1:59" ht="15.75" customHeight="1" x14ac:dyDescent="0.2">
      <c r="A1197" s="162"/>
      <c r="B1197" s="162"/>
      <c r="C1197" s="206"/>
      <c r="D1197" s="262"/>
      <c r="E1197" s="262"/>
      <c r="F1197" s="262"/>
      <c r="G1197" s="262"/>
      <c r="H1197" s="262"/>
      <c r="I1197" s="262"/>
      <c r="J1197" s="262"/>
      <c r="K1197" s="262"/>
      <c r="L1197" s="262"/>
      <c r="M1197" s="262"/>
      <c r="N1197" s="262"/>
      <c r="O1197" s="262"/>
      <c r="P1197" s="262"/>
      <c r="Q1197" s="262"/>
      <c r="R1197" s="262"/>
      <c r="S1197" s="262"/>
      <c r="T1197" s="262"/>
      <c r="U1197" s="262"/>
      <c r="V1197" s="262"/>
      <c r="W1197" s="262"/>
      <c r="X1197" s="262"/>
      <c r="Y1197" s="262"/>
      <c r="Z1197" s="262"/>
      <c r="AA1197" s="262"/>
      <c r="AB1197" s="262"/>
      <c r="AC1197" s="262"/>
      <c r="AD1197" s="262"/>
      <c r="AE1197" s="262"/>
      <c r="AF1197" s="147"/>
      <c r="AG1197" s="147"/>
      <c r="AH1197" s="147"/>
      <c r="AI1197" s="84"/>
      <c r="AJ1197" s="182"/>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row>
    <row r="1198" spans="1:59" ht="15.75" customHeight="1" x14ac:dyDescent="0.2">
      <c r="A1198" s="162"/>
      <c r="B1198" s="162"/>
      <c r="C1198" s="206"/>
      <c r="D1198" s="262"/>
      <c r="E1198" s="262"/>
      <c r="F1198" s="262"/>
      <c r="G1198" s="262"/>
      <c r="H1198" s="262"/>
      <c r="I1198" s="262"/>
      <c r="J1198" s="262"/>
      <c r="K1198" s="262"/>
      <c r="L1198" s="262"/>
      <c r="M1198" s="262"/>
      <c r="N1198" s="262"/>
      <c r="O1198" s="262"/>
      <c r="P1198" s="262"/>
      <c r="Q1198" s="262"/>
      <c r="R1198" s="262"/>
      <c r="S1198" s="262"/>
      <c r="T1198" s="262"/>
      <c r="U1198" s="262"/>
      <c r="V1198" s="262"/>
      <c r="W1198" s="262"/>
      <c r="X1198" s="262"/>
      <c r="Y1198" s="262"/>
      <c r="Z1198" s="262"/>
      <c r="AA1198" s="262"/>
      <c r="AB1198" s="262"/>
      <c r="AC1198" s="262"/>
      <c r="AD1198" s="262"/>
      <c r="AE1198" s="262"/>
      <c r="AF1198" s="147"/>
      <c r="AG1198" s="147"/>
      <c r="AH1198" s="147"/>
      <c r="AI1198" s="84"/>
      <c r="AJ1198" s="182"/>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row>
    <row r="1199" spans="1:59" ht="15.75" customHeight="1" x14ac:dyDescent="0.2">
      <c r="A1199" s="162"/>
      <c r="B1199" s="162"/>
      <c r="C1199" s="206"/>
      <c r="D1199" s="262"/>
      <c r="E1199" s="262"/>
      <c r="F1199" s="262"/>
      <c r="G1199" s="262"/>
      <c r="H1199" s="262"/>
      <c r="I1199" s="262"/>
      <c r="J1199" s="262"/>
      <c r="K1199" s="262"/>
      <c r="L1199" s="262"/>
      <c r="M1199" s="262"/>
      <c r="N1199" s="262"/>
      <c r="O1199" s="262"/>
      <c r="P1199" s="262"/>
      <c r="Q1199" s="262"/>
      <c r="R1199" s="262"/>
      <c r="S1199" s="262"/>
      <c r="T1199" s="262"/>
      <c r="U1199" s="262"/>
      <c r="V1199" s="262"/>
      <c r="W1199" s="262"/>
      <c r="X1199" s="262"/>
      <c r="Y1199" s="262"/>
      <c r="Z1199" s="262"/>
      <c r="AA1199" s="262"/>
      <c r="AB1199" s="262"/>
      <c r="AC1199" s="262"/>
      <c r="AD1199" s="262"/>
      <c r="AE1199" s="262"/>
      <c r="AF1199" s="147"/>
      <c r="AG1199" s="147"/>
      <c r="AH1199" s="147"/>
      <c r="AI1199" s="84"/>
      <c r="AJ1199" s="182"/>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row>
    <row r="1200" spans="1:59" ht="15.75" customHeight="1" x14ac:dyDescent="0.2">
      <c r="A1200" s="162"/>
      <c r="B1200" s="162"/>
      <c r="C1200" s="206"/>
      <c r="D1200" s="262"/>
      <c r="E1200" s="262"/>
      <c r="F1200" s="262"/>
      <c r="G1200" s="262"/>
      <c r="H1200" s="262"/>
      <c r="I1200" s="262"/>
      <c r="J1200" s="262"/>
      <c r="K1200" s="262"/>
      <c r="L1200" s="262"/>
      <c r="M1200" s="262"/>
      <c r="N1200" s="262"/>
      <c r="O1200" s="262"/>
      <c r="P1200" s="262"/>
      <c r="Q1200" s="262"/>
      <c r="R1200" s="262"/>
      <c r="S1200" s="262"/>
      <c r="T1200" s="262"/>
      <c r="U1200" s="262"/>
      <c r="V1200" s="262"/>
      <c r="W1200" s="262"/>
      <c r="X1200" s="262"/>
      <c r="Y1200" s="262"/>
      <c r="Z1200" s="262"/>
      <c r="AA1200" s="262"/>
      <c r="AB1200" s="262"/>
      <c r="AC1200" s="262"/>
      <c r="AD1200" s="262"/>
      <c r="AE1200" s="262"/>
      <c r="AF1200" s="147"/>
      <c r="AG1200" s="147"/>
      <c r="AH1200" s="147"/>
      <c r="AI1200" s="189"/>
      <c r="AJ1200" s="182"/>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row>
    <row r="1201" spans="1:59" ht="15.75" customHeight="1" x14ac:dyDescent="0.2">
      <c r="A1201" s="162"/>
      <c r="B1201" s="162"/>
      <c r="C1201" s="206"/>
      <c r="D1201" s="262"/>
      <c r="E1201" s="262"/>
      <c r="F1201" s="262"/>
      <c r="G1201" s="262"/>
      <c r="H1201" s="262"/>
      <c r="I1201" s="262"/>
      <c r="J1201" s="262"/>
      <c r="K1201" s="262"/>
      <c r="L1201" s="262"/>
      <c r="M1201" s="262"/>
      <c r="N1201" s="262"/>
      <c r="O1201" s="262"/>
      <c r="P1201" s="262"/>
      <c r="Q1201" s="262"/>
      <c r="R1201" s="262"/>
      <c r="S1201" s="262"/>
      <c r="T1201" s="262"/>
      <c r="U1201" s="262"/>
      <c r="V1201" s="262"/>
      <c r="W1201" s="262"/>
      <c r="X1201" s="262"/>
      <c r="Y1201" s="262"/>
      <c r="Z1201" s="262"/>
      <c r="AA1201" s="262"/>
      <c r="AB1201" s="262"/>
      <c r="AC1201" s="262"/>
      <c r="AD1201" s="262"/>
      <c r="AE1201" s="262"/>
      <c r="AF1201" s="147"/>
      <c r="AG1201" s="147"/>
      <c r="AH1201" s="147"/>
      <c r="AI1201" s="189"/>
      <c r="AJ1201" s="182"/>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row>
    <row r="1202" spans="1:59" ht="15.75" customHeight="1" x14ac:dyDescent="0.2">
      <c r="A1202" s="162"/>
      <c r="B1202" s="162"/>
      <c r="C1202" s="206"/>
      <c r="D1202" s="262"/>
      <c r="E1202" s="262"/>
      <c r="F1202" s="262"/>
      <c r="G1202" s="262"/>
      <c r="H1202" s="262"/>
      <c r="I1202" s="262"/>
      <c r="J1202" s="262"/>
      <c r="K1202" s="262"/>
      <c r="L1202" s="262"/>
      <c r="M1202" s="262"/>
      <c r="N1202" s="262"/>
      <c r="O1202" s="262"/>
      <c r="P1202" s="262"/>
      <c r="Q1202" s="262"/>
      <c r="R1202" s="262"/>
      <c r="S1202" s="262"/>
      <c r="T1202" s="262"/>
      <c r="U1202" s="262"/>
      <c r="V1202" s="262"/>
      <c r="W1202" s="262"/>
      <c r="X1202" s="262"/>
      <c r="Y1202" s="262"/>
      <c r="Z1202" s="262"/>
      <c r="AA1202" s="262"/>
      <c r="AB1202" s="262"/>
      <c r="AC1202" s="262"/>
      <c r="AD1202" s="262"/>
      <c r="AE1202" s="262"/>
      <c r="AF1202" s="147"/>
      <c r="AG1202" s="147"/>
      <c r="AH1202" s="147"/>
      <c r="AI1202" s="189"/>
      <c r="AJ1202" s="182"/>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row>
    <row r="1203" spans="1:59" ht="15.75" customHeight="1" x14ac:dyDescent="0.2">
      <c r="A1203" s="162"/>
      <c r="B1203" s="162"/>
      <c r="C1203" s="206"/>
      <c r="D1203" s="262"/>
      <c r="E1203" s="262"/>
      <c r="F1203" s="262"/>
      <c r="G1203" s="262"/>
      <c r="H1203" s="262"/>
      <c r="I1203" s="262"/>
      <c r="J1203" s="262"/>
      <c r="K1203" s="262"/>
      <c r="L1203" s="262"/>
      <c r="M1203" s="262"/>
      <c r="N1203" s="262"/>
      <c r="O1203" s="262"/>
      <c r="P1203" s="262"/>
      <c r="Q1203" s="262"/>
      <c r="R1203" s="262"/>
      <c r="S1203" s="262"/>
      <c r="T1203" s="262"/>
      <c r="U1203" s="262"/>
      <c r="V1203" s="262"/>
      <c r="W1203" s="262"/>
      <c r="X1203" s="262"/>
      <c r="Y1203" s="262"/>
      <c r="Z1203" s="262"/>
      <c r="AA1203" s="262"/>
      <c r="AB1203" s="262"/>
      <c r="AC1203" s="262"/>
      <c r="AD1203" s="262"/>
      <c r="AE1203" s="262"/>
      <c r="AF1203" s="147"/>
      <c r="AG1203" s="147"/>
      <c r="AH1203" s="147"/>
      <c r="AI1203" s="189"/>
      <c r="AJ1203" s="182"/>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row>
    <row r="1204" spans="1:59" ht="15.75" customHeight="1" x14ac:dyDescent="0.2">
      <c r="A1204" s="162"/>
      <c r="B1204" s="162"/>
      <c r="C1204" s="206"/>
      <c r="D1204" s="262"/>
      <c r="E1204" s="262"/>
      <c r="F1204" s="262"/>
      <c r="G1204" s="262"/>
      <c r="H1204" s="262"/>
      <c r="I1204" s="262"/>
      <c r="J1204" s="262"/>
      <c r="K1204" s="262"/>
      <c r="L1204" s="262"/>
      <c r="M1204" s="262"/>
      <c r="N1204" s="262"/>
      <c r="O1204" s="262"/>
      <c r="P1204" s="262"/>
      <c r="Q1204" s="262"/>
      <c r="R1204" s="262"/>
      <c r="S1204" s="262"/>
      <c r="T1204" s="262"/>
      <c r="U1204" s="262"/>
      <c r="V1204" s="262"/>
      <c r="W1204" s="262"/>
      <c r="X1204" s="262"/>
      <c r="Y1204" s="262"/>
      <c r="Z1204" s="262"/>
      <c r="AA1204" s="262"/>
      <c r="AB1204" s="262"/>
      <c r="AC1204" s="262"/>
      <c r="AD1204" s="262"/>
      <c r="AE1204" s="262"/>
      <c r="AF1204" s="147"/>
      <c r="AG1204" s="147"/>
      <c r="AH1204" s="147"/>
      <c r="AI1204" s="195"/>
      <c r="AJ1204" s="182"/>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row>
    <row r="1205" spans="1:59" ht="15.75" customHeight="1" x14ac:dyDescent="0.2">
      <c r="A1205" s="162"/>
      <c r="B1205" s="162"/>
      <c r="C1205" s="206"/>
      <c r="D1205" s="262"/>
      <c r="E1205" s="262"/>
      <c r="F1205" s="262"/>
      <c r="G1205" s="262"/>
      <c r="H1205" s="262"/>
      <c r="I1205" s="262"/>
      <c r="J1205" s="262"/>
      <c r="K1205" s="262"/>
      <c r="L1205" s="262"/>
      <c r="M1205" s="262"/>
      <c r="N1205" s="262"/>
      <c r="O1205" s="262"/>
      <c r="P1205" s="262"/>
      <c r="Q1205" s="262"/>
      <c r="R1205" s="262"/>
      <c r="S1205" s="262"/>
      <c r="T1205" s="262"/>
      <c r="U1205" s="262"/>
      <c r="V1205" s="262"/>
      <c r="W1205" s="262"/>
      <c r="X1205" s="262"/>
      <c r="Y1205" s="262"/>
      <c r="Z1205" s="262"/>
      <c r="AA1205" s="262"/>
      <c r="AB1205" s="262"/>
      <c r="AC1205" s="262"/>
      <c r="AD1205" s="262"/>
      <c r="AE1205" s="262"/>
      <c r="AF1205" s="147"/>
      <c r="AG1205" s="147"/>
      <c r="AH1205" s="147"/>
      <c r="AI1205" s="189"/>
      <c r="AJ1205" s="182"/>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row>
    <row r="1206" spans="1:59" ht="15.75" customHeight="1" x14ac:dyDescent="0.2">
      <c r="A1206" s="162"/>
      <c r="B1206" s="162"/>
      <c r="C1206" s="206"/>
      <c r="D1206" s="262"/>
      <c r="E1206" s="262"/>
      <c r="F1206" s="262"/>
      <c r="G1206" s="262"/>
      <c r="H1206" s="262"/>
      <c r="I1206" s="262"/>
      <c r="J1206" s="262"/>
      <c r="K1206" s="262"/>
      <c r="L1206" s="262"/>
      <c r="M1206" s="262"/>
      <c r="N1206" s="262"/>
      <c r="O1206" s="262"/>
      <c r="P1206" s="262"/>
      <c r="Q1206" s="262"/>
      <c r="R1206" s="262"/>
      <c r="S1206" s="262"/>
      <c r="T1206" s="262"/>
      <c r="U1206" s="262"/>
      <c r="V1206" s="262"/>
      <c r="W1206" s="262"/>
      <c r="X1206" s="262"/>
      <c r="Y1206" s="262"/>
      <c r="Z1206" s="262"/>
      <c r="AA1206" s="262"/>
      <c r="AB1206" s="262"/>
      <c r="AC1206" s="262"/>
      <c r="AD1206" s="262"/>
      <c r="AE1206" s="262"/>
      <c r="AF1206" s="147"/>
      <c r="AG1206" s="147"/>
      <c r="AH1206" s="147"/>
      <c r="AI1206" s="195"/>
      <c r="AJ1206" s="182"/>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row>
    <row r="1207" spans="1:59" ht="15.75" customHeight="1" x14ac:dyDescent="0.2">
      <c r="A1207" s="162"/>
      <c r="B1207" s="162"/>
      <c r="C1207" s="206"/>
      <c r="D1207" s="262"/>
      <c r="E1207" s="262"/>
      <c r="F1207" s="262"/>
      <c r="G1207" s="262"/>
      <c r="H1207" s="262"/>
      <c r="I1207" s="262"/>
      <c r="J1207" s="262"/>
      <c r="K1207" s="262"/>
      <c r="L1207" s="262"/>
      <c r="M1207" s="262"/>
      <c r="N1207" s="262"/>
      <c r="O1207" s="262"/>
      <c r="P1207" s="262"/>
      <c r="Q1207" s="262"/>
      <c r="R1207" s="262"/>
      <c r="S1207" s="262"/>
      <c r="T1207" s="262"/>
      <c r="U1207" s="262"/>
      <c r="V1207" s="262"/>
      <c r="W1207" s="262"/>
      <c r="X1207" s="262"/>
      <c r="Y1207" s="262"/>
      <c r="Z1207" s="262"/>
      <c r="AA1207" s="262"/>
      <c r="AB1207" s="262"/>
      <c r="AC1207" s="262"/>
      <c r="AD1207" s="262"/>
      <c r="AE1207" s="262"/>
      <c r="AF1207" s="147"/>
      <c r="AG1207" s="147"/>
      <c r="AH1207" s="147"/>
      <c r="AI1207" s="189"/>
      <c r="AJ1207" s="182"/>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row>
    <row r="1208" spans="1:59" ht="15.75" customHeight="1" x14ac:dyDescent="0.2">
      <c r="A1208" s="162"/>
      <c r="B1208" s="162"/>
      <c r="C1208" s="206"/>
      <c r="D1208" s="262"/>
      <c r="E1208" s="262"/>
      <c r="F1208" s="262"/>
      <c r="G1208" s="262"/>
      <c r="H1208" s="262"/>
      <c r="I1208" s="262"/>
      <c r="J1208" s="262"/>
      <c r="K1208" s="262"/>
      <c r="L1208" s="262"/>
      <c r="M1208" s="262"/>
      <c r="N1208" s="262"/>
      <c r="O1208" s="262"/>
      <c r="P1208" s="262"/>
      <c r="Q1208" s="262"/>
      <c r="R1208" s="262"/>
      <c r="S1208" s="262"/>
      <c r="T1208" s="262"/>
      <c r="U1208" s="262"/>
      <c r="V1208" s="262"/>
      <c r="W1208" s="262"/>
      <c r="X1208" s="262"/>
      <c r="Y1208" s="262"/>
      <c r="Z1208" s="262"/>
      <c r="AA1208" s="262"/>
      <c r="AB1208" s="262"/>
      <c r="AC1208" s="262"/>
      <c r="AD1208" s="262"/>
      <c r="AE1208" s="262"/>
      <c r="AF1208" s="147"/>
      <c r="AG1208" s="147"/>
      <c r="AH1208" s="147"/>
      <c r="AI1208" s="195"/>
      <c r="AJ1208" s="182"/>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row>
    <row r="1209" spans="1:59" ht="15.75" customHeight="1" x14ac:dyDescent="0.2">
      <c r="A1209" s="162"/>
      <c r="B1209" s="162"/>
      <c r="C1209" s="206"/>
      <c r="D1209" s="262"/>
      <c r="E1209" s="262"/>
      <c r="F1209" s="262"/>
      <c r="G1209" s="262"/>
      <c r="H1209" s="262"/>
      <c r="I1209" s="262"/>
      <c r="J1209" s="262"/>
      <c r="K1209" s="262"/>
      <c r="L1209" s="262"/>
      <c r="M1209" s="262"/>
      <c r="N1209" s="262"/>
      <c r="O1209" s="262"/>
      <c r="P1209" s="262"/>
      <c r="Q1209" s="262"/>
      <c r="R1209" s="262"/>
      <c r="S1209" s="262"/>
      <c r="T1209" s="262"/>
      <c r="U1209" s="262"/>
      <c r="V1209" s="262"/>
      <c r="W1209" s="262"/>
      <c r="X1209" s="262"/>
      <c r="Y1209" s="262"/>
      <c r="Z1209" s="262"/>
      <c r="AA1209" s="262"/>
      <c r="AB1209" s="262"/>
      <c r="AC1209" s="262"/>
      <c r="AD1209" s="262"/>
      <c r="AE1209" s="262"/>
      <c r="AF1209" s="147"/>
      <c r="AG1209" s="147"/>
      <c r="AH1209" s="147"/>
      <c r="AI1209" s="189"/>
      <c r="AJ1209" s="182"/>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row>
    <row r="1210" spans="1:59" ht="15.75" customHeight="1" x14ac:dyDescent="0.2">
      <c r="A1210" s="162"/>
      <c r="B1210" s="162"/>
      <c r="C1210" s="206"/>
      <c r="D1210" s="262"/>
      <c r="E1210" s="262"/>
      <c r="F1210" s="262"/>
      <c r="G1210" s="262"/>
      <c r="H1210" s="262"/>
      <c r="I1210" s="262"/>
      <c r="J1210" s="262"/>
      <c r="K1210" s="262"/>
      <c r="L1210" s="262"/>
      <c r="M1210" s="262"/>
      <c r="N1210" s="262"/>
      <c r="O1210" s="262"/>
      <c r="P1210" s="262"/>
      <c r="Q1210" s="262"/>
      <c r="R1210" s="262"/>
      <c r="S1210" s="262"/>
      <c r="T1210" s="262"/>
      <c r="U1210" s="262"/>
      <c r="V1210" s="262"/>
      <c r="W1210" s="262"/>
      <c r="X1210" s="262"/>
      <c r="Y1210" s="262"/>
      <c r="Z1210" s="262"/>
      <c r="AA1210" s="262"/>
      <c r="AB1210" s="262"/>
      <c r="AC1210" s="262"/>
      <c r="AD1210" s="262"/>
      <c r="AE1210" s="262"/>
      <c r="AF1210" s="147"/>
      <c r="AG1210" s="147"/>
      <c r="AH1210" s="147"/>
      <c r="AI1210" s="195"/>
      <c r="AJ1210" s="182"/>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row>
    <row r="1211" spans="1:59" ht="15.75" customHeight="1" x14ac:dyDescent="0.2">
      <c r="A1211" s="162"/>
      <c r="B1211" s="162"/>
      <c r="C1211" s="206"/>
      <c r="D1211" s="262"/>
      <c r="E1211" s="262"/>
      <c r="F1211" s="262"/>
      <c r="G1211" s="262"/>
      <c r="H1211" s="262"/>
      <c r="I1211" s="262"/>
      <c r="J1211" s="262"/>
      <c r="K1211" s="262"/>
      <c r="L1211" s="262"/>
      <c r="M1211" s="262"/>
      <c r="N1211" s="262"/>
      <c r="O1211" s="262"/>
      <c r="P1211" s="262"/>
      <c r="Q1211" s="262"/>
      <c r="R1211" s="262"/>
      <c r="S1211" s="262"/>
      <c r="T1211" s="262"/>
      <c r="U1211" s="262"/>
      <c r="V1211" s="262"/>
      <c r="W1211" s="262"/>
      <c r="X1211" s="262"/>
      <c r="Y1211" s="262"/>
      <c r="Z1211" s="262"/>
      <c r="AA1211" s="262"/>
      <c r="AB1211" s="262"/>
      <c r="AC1211" s="262"/>
      <c r="AD1211" s="262"/>
      <c r="AE1211" s="262"/>
      <c r="AF1211" s="147"/>
      <c r="AG1211" s="147"/>
      <c r="AH1211" s="147"/>
      <c r="AI1211" s="189"/>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row>
    <row r="1212" spans="1:59" ht="15.75" customHeight="1" x14ac:dyDescent="0.2">
      <c r="A1212" s="162"/>
      <c r="B1212" s="162"/>
      <c r="C1212" s="206"/>
      <c r="D1212" s="262"/>
      <c r="E1212" s="262"/>
      <c r="F1212" s="262"/>
      <c r="G1212" s="262"/>
      <c r="H1212" s="262"/>
      <c r="I1212" s="262"/>
      <c r="J1212" s="262"/>
      <c r="K1212" s="262"/>
      <c r="L1212" s="262"/>
      <c r="M1212" s="262"/>
      <c r="N1212" s="262"/>
      <c r="O1212" s="262"/>
      <c r="P1212" s="262"/>
      <c r="Q1212" s="262"/>
      <c r="R1212" s="262"/>
      <c r="S1212" s="262"/>
      <c r="T1212" s="262"/>
      <c r="U1212" s="262"/>
      <c r="V1212" s="262"/>
      <c r="W1212" s="262"/>
      <c r="X1212" s="262"/>
      <c r="Y1212" s="262"/>
      <c r="Z1212" s="262"/>
      <c r="AA1212" s="262"/>
      <c r="AB1212" s="262"/>
      <c r="AC1212" s="262"/>
      <c r="AD1212" s="262"/>
      <c r="AE1212" s="262"/>
      <c r="AF1212" s="147"/>
      <c r="AG1212" s="147"/>
      <c r="AH1212" s="147"/>
      <c r="AI1212" s="147"/>
      <c r="AJ1212" s="209"/>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row>
    <row r="1213" spans="1:59" ht="15.75" customHeight="1" x14ac:dyDescent="0.2">
      <c r="A1213" s="162"/>
      <c r="B1213" s="162"/>
      <c r="C1213" s="206"/>
      <c r="D1213" s="262"/>
      <c r="E1213" s="262"/>
      <c r="F1213" s="262"/>
      <c r="G1213" s="262"/>
      <c r="H1213" s="262"/>
      <c r="I1213" s="262"/>
      <c r="J1213" s="262"/>
      <c r="K1213" s="262"/>
      <c r="L1213" s="262"/>
      <c r="M1213" s="262"/>
      <c r="N1213" s="262"/>
      <c r="O1213" s="262"/>
      <c r="P1213" s="262"/>
      <c r="Q1213" s="262"/>
      <c r="R1213" s="262"/>
      <c r="S1213" s="262"/>
      <c r="T1213" s="262"/>
      <c r="U1213" s="262"/>
      <c r="V1213" s="262"/>
      <c r="W1213" s="262"/>
      <c r="X1213" s="262"/>
      <c r="Y1213" s="262"/>
      <c r="Z1213" s="262"/>
      <c r="AA1213" s="262"/>
      <c r="AB1213" s="262"/>
      <c r="AC1213" s="262"/>
      <c r="AD1213" s="262"/>
      <c r="AE1213" s="262"/>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row>
    <row r="1214" spans="1:59" ht="15.75" customHeight="1" x14ac:dyDescent="0.2">
      <c r="A1214" s="162"/>
      <c r="B1214" s="162"/>
      <c r="C1214" s="206"/>
      <c r="D1214" s="262"/>
      <c r="E1214" s="262"/>
      <c r="F1214" s="262"/>
      <c r="G1214" s="262"/>
      <c r="H1214" s="262"/>
      <c r="I1214" s="262"/>
      <c r="J1214" s="262"/>
      <c r="K1214" s="262"/>
      <c r="L1214" s="262"/>
      <c r="M1214" s="262"/>
      <c r="N1214" s="262"/>
      <c r="O1214" s="262"/>
      <c r="P1214" s="262"/>
      <c r="Q1214" s="262"/>
      <c r="R1214" s="262"/>
      <c r="S1214" s="262"/>
      <c r="T1214" s="262"/>
      <c r="U1214" s="262"/>
      <c r="V1214" s="262"/>
      <c r="W1214" s="262"/>
      <c r="X1214" s="262"/>
      <c r="Y1214" s="262"/>
      <c r="Z1214" s="262"/>
      <c r="AA1214" s="262"/>
      <c r="AB1214" s="262"/>
      <c r="AC1214" s="262"/>
      <c r="AD1214" s="262"/>
      <c r="AE1214" s="262"/>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row>
    <row r="1215" spans="1:59" ht="15.75" customHeight="1" x14ac:dyDescent="0.2">
      <c r="A1215" s="162"/>
      <c r="B1215" s="162"/>
      <c r="C1215" s="206"/>
      <c r="D1215" s="262"/>
      <c r="E1215" s="262"/>
      <c r="F1215" s="262"/>
      <c r="G1215" s="262"/>
      <c r="H1215" s="262"/>
      <c r="I1215" s="262"/>
      <c r="J1215" s="262"/>
      <c r="K1215" s="262"/>
      <c r="L1215" s="262"/>
      <c r="M1215" s="262"/>
      <c r="N1215" s="262"/>
      <c r="O1215" s="262"/>
      <c r="P1215" s="262"/>
      <c r="Q1215" s="262"/>
      <c r="R1215" s="262"/>
      <c r="S1215" s="262"/>
      <c r="T1215" s="262"/>
      <c r="U1215" s="262"/>
      <c r="V1215" s="262"/>
      <c r="W1215" s="262"/>
      <c r="X1215" s="262"/>
      <c r="Y1215" s="262"/>
      <c r="Z1215" s="262"/>
      <c r="AA1215" s="262"/>
      <c r="AB1215" s="262"/>
      <c r="AC1215" s="262"/>
      <c r="AD1215" s="262"/>
      <c r="AE1215" s="262"/>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row>
    <row r="1216" spans="1:59" ht="15.75" customHeight="1" x14ac:dyDescent="0.2">
      <c r="A1216" s="162"/>
      <c r="B1216" s="162"/>
      <c r="C1216" s="206"/>
      <c r="D1216" s="262"/>
      <c r="E1216" s="262"/>
      <c r="F1216" s="262"/>
      <c r="G1216" s="262"/>
      <c r="H1216" s="262"/>
      <c r="I1216" s="262"/>
      <c r="J1216" s="262"/>
      <c r="K1216" s="262"/>
      <c r="L1216" s="262"/>
      <c r="M1216" s="262"/>
      <c r="N1216" s="262"/>
      <c r="O1216" s="262"/>
      <c r="P1216" s="262"/>
      <c r="Q1216" s="262"/>
      <c r="R1216" s="262"/>
      <c r="S1216" s="262"/>
      <c r="T1216" s="262"/>
      <c r="U1216" s="262"/>
      <c r="V1216" s="262"/>
      <c r="W1216" s="262"/>
      <c r="X1216" s="262"/>
      <c r="Y1216" s="262"/>
      <c r="Z1216" s="262"/>
      <c r="AA1216" s="262"/>
      <c r="AB1216" s="262"/>
      <c r="AC1216" s="262"/>
      <c r="AD1216" s="262"/>
      <c r="AE1216" s="262"/>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row>
    <row r="1217" spans="1:59" ht="15.75" customHeight="1" x14ac:dyDescent="0.2">
      <c r="A1217" s="162"/>
      <c r="B1217" s="162"/>
      <c r="C1217" s="206"/>
      <c r="D1217" s="262"/>
      <c r="E1217" s="262"/>
      <c r="F1217" s="262"/>
      <c r="G1217" s="262"/>
      <c r="H1217" s="262"/>
      <c r="I1217" s="262"/>
      <c r="J1217" s="262"/>
      <c r="K1217" s="262"/>
      <c r="L1217" s="262"/>
      <c r="M1217" s="262"/>
      <c r="N1217" s="262"/>
      <c r="O1217" s="262"/>
      <c r="P1217" s="262"/>
      <c r="Q1217" s="262"/>
      <c r="R1217" s="262"/>
      <c r="S1217" s="262"/>
      <c r="T1217" s="262"/>
      <c r="U1217" s="262"/>
      <c r="V1217" s="262"/>
      <c r="W1217" s="262"/>
      <c r="X1217" s="262"/>
      <c r="Y1217" s="262"/>
      <c r="Z1217" s="262"/>
      <c r="AA1217" s="262"/>
      <c r="AB1217" s="262"/>
      <c r="AC1217" s="262"/>
      <c r="AD1217" s="262"/>
      <c r="AE1217" s="262"/>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row>
    <row r="1218" spans="1:59" ht="15.75" customHeight="1" x14ac:dyDescent="0.2">
      <c r="A1218" s="162"/>
      <c r="B1218" s="162"/>
      <c r="C1218" s="206"/>
      <c r="D1218" s="262"/>
      <c r="E1218" s="262"/>
      <c r="F1218" s="262"/>
      <c r="G1218" s="262"/>
      <c r="H1218" s="262"/>
      <c r="I1218" s="262"/>
      <c r="J1218" s="262"/>
      <c r="K1218" s="262"/>
      <c r="L1218" s="262"/>
      <c r="M1218" s="262"/>
      <c r="N1218" s="262"/>
      <c r="O1218" s="262"/>
      <c r="P1218" s="262"/>
      <c r="Q1218" s="262"/>
      <c r="R1218" s="262"/>
      <c r="S1218" s="262"/>
      <c r="T1218" s="262"/>
      <c r="U1218" s="262"/>
      <c r="V1218" s="262"/>
      <c r="W1218" s="262"/>
      <c r="X1218" s="262"/>
      <c r="Y1218" s="262"/>
      <c r="Z1218" s="262"/>
      <c r="AA1218" s="262"/>
      <c r="AB1218" s="262"/>
      <c r="AC1218" s="262"/>
      <c r="AD1218" s="262"/>
      <c r="AE1218" s="262"/>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row>
    <row r="1219" spans="1:59" ht="15.75" customHeight="1" x14ac:dyDescent="0.2">
      <c r="A1219" s="162"/>
      <c r="B1219" s="162"/>
      <c r="C1219" s="206"/>
      <c r="D1219" s="262"/>
      <c r="E1219" s="262"/>
      <c r="F1219" s="262"/>
      <c r="G1219" s="262"/>
      <c r="H1219" s="262"/>
      <c r="I1219" s="262"/>
      <c r="J1219" s="262"/>
      <c r="K1219" s="262"/>
      <c r="L1219" s="262"/>
      <c r="M1219" s="262"/>
      <c r="N1219" s="262"/>
      <c r="O1219" s="262"/>
      <c r="P1219" s="262"/>
      <c r="Q1219" s="262"/>
      <c r="R1219" s="262"/>
      <c r="S1219" s="262"/>
      <c r="T1219" s="262"/>
      <c r="U1219" s="262"/>
      <c r="V1219" s="262"/>
      <c r="W1219" s="262"/>
      <c r="X1219" s="262"/>
      <c r="Y1219" s="262"/>
      <c r="Z1219" s="262"/>
      <c r="AA1219" s="262"/>
      <c r="AB1219" s="262"/>
      <c r="AC1219" s="262"/>
      <c r="AD1219" s="262"/>
      <c r="AE1219" s="262"/>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row>
    <row r="1220" spans="1:59" ht="15.75" customHeight="1" x14ac:dyDescent="0.2">
      <c r="A1220" s="162"/>
      <c r="B1220" s="162"/>
      <c r="C1220" s="206"/>
      <c r="D1220" s="262"/>
      <c r="E1220" s="262"/>
      <c r="F1220" s="262"/>
      <c r="G1220" s="262"/>
      <c r="H1220" s="262"/>
      <c r="I1220" s="262"/>
      <c r="J1220" s="262"/>
      <c r="K1220" s="262"/>
      <c r="L1220" s="262"/>
      <c r="M1220" s="262"/>
      <c r="N1220" s="262"/>
      <c r="O1220" s="262"/>
      <c r="P1220" s="262"/>
      <c r="Q1220" s="262"/>
      <c r="R1220" s="262"/>
      <c r="S1220" s="262"/>
      <c r="T1220" s="262"/>
      <c r="U1220" s="262"/>
      <c r="V1220" s="262"/>
      <c r="W1220" s="262"/>
      <c r="X1220" s="262"/>
      <c r="Y1220" s="262"/>
      <c r="Z1220" s="262"/>
      <c r="AA1220" s="262"/>
      <c r="AB1220" s="262"/>
      <c r="AC1220" s="262"/>
      <c r="AD1220" s="262"/>
      <c r="AE1220" s="262"/>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row>
    <row r="1221" spans="1:59" ht="15.75" customHeight="1" x14ac:dyDescent="0.2">
      <c r="A1221" s="162"/>
      <c r="B1221" s="162"/>
      <c r="C1221" s="206"/>
      <c r="D1221" s="262"/>
      <c r="E1221" s="262"/>
      <c r="F1221" s="262"/>
      <c r="G1221" s="262"/>
      <c r="H1221" s="262"/>
      <c r="I1221" s="262"/>
      <c r="J1221" s="262"/>
      <c r="K1221" s="262"/>
      <c r="L1221" s="262"/>
      <c r="M1221" s="262"/>
      <c r="N1221" s="262"/>
      <c r="O1221" s="262"/>
      <c r="P1221" s="262"/>
      <c r="Q1221" s="262"/>
      <c r="R1221" s="262"/>
      <c r="S1221" s="262"/>
      <c r="T1221" s="262"/>
      <c r="U1221" s="262"/>
      <c r="V1221" s="262"/>
      <c r="W1221" s="262"/>
      <c r="X1221" s="262"/>
      <c r="Y1221" s="262"/>
      <c r="Z1221" s="262"/>
      <c r="AA1221" s="262"/>
      <c r="AB1221" s="262"/>
      <c r="AC1221" s="262"/>
      <c r="AD1221" s="262"/>
      <c r="AE1221" s="262"/>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row>
    <row r="1222" spans="1:59" ht="15.75" customHeight="1" x14ac:dyDescent="0.2">
      <c r="A1222" s="162"/>
      <c r="B1222" s="162"/>
      <c r="C1222" s="206"/>
      <c r="D1222" s="262"/>
      <c r="E1222" s="262"/>
      <c r="F1222" s="262"/>
      <c r="G1222" s="262"/>
      <c r="H1222" s="262"/>
      <c r="I1222" s="262"/>
      <c r="J1222" s="262"/>
      <c r="K1222" s="262"/>
      <c r="L1222" s="262"/>
      <c r="M1222" s="262"/>
      <c r="N1222" s="262"/>
      <c r="O1222" s="262"/>
      <c r="P1222" s="262"/>
      <c r="Q1222" s="262"/>
      <c r="R1222" s="262"/>
      <c r="S1222" s="262"/>
      <c r="T1222" s="262"/>
      <c r="U1222" s="262"/>
      <c r="V1222" s="262"/>
      <c r="W1222" s="262"/>
      <c r="X1222" s="262"/>
      <c r="Y1222" s="262"/>
      <c r="Z1222" s="262"/>
      <c r="AA1222" s="262"/>
      <c r="AB1222" s="262"/>
      <c r="AC1222" s="262"/>
      <c r="AD1222" s="262"/>
      <c r="AE1222" s="262"/>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row>
    <row r="1223" spans="1:59" ht="15.75" customHeight="1" x14ac:dyDescent="0.2">
      <c r="A1223" s="162"/>
      <c r="B1223" s="162"/>
      <c r="C1223" s="206"/>
      <c r="D1223" s="262"/>
      <c r="E1223" s="262"/>
      <c r="F1223" s="262"/>
      <c r="G1223" s="262"/>
      <c r="H1223" s="262"/>
      <c r="I1223" s="262"/>
      <c r="J1223" s="262"/>
      <c r="K1223" s="262"/>
      <c r="L1223" s="262"/>
      <c r="M1223" s="262"/>
      <c r="N1223" s="262"/>
      <c r="O1223" s="262"/>
      <c r="P1223" s="262"/>
      <c r="Q1223" s="262"/>
      <c r="R1223" s="262"/>
      <c r="S1223" s="262"/>
      <c r="T1223" s="262"/>
      <c r="U1223" s="262"/>
      <c r="V1223" s="262"/>
      <c r="W1223" s="262"/>
      <c r="X1223" s="262"/>
      <c r="Y1223" s="262"/>
      <c r="Z1223" s="262"/>
      <c r="AA1223" s="262"/>
      <c r="AB1223" s="262"/>
      <c r="AC1223" s="262"/>
      <c r="AD1223" s="262"/>
      <c r="AE1223" s="262"/>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row>
    <row r="1224" spans="1:59" ht="15.75" customHeight="1" x14ac:dyDescent="0.2">
      <c r="A1224" s="162"/>
      <c r="B1224" s="162"/>
      <c r="C1224" s="206"/>
      <c r="D1224" s="262"/>
      <c r="E1224" s="262"/>
      <c r="F1224" s="262"/>
      <c r="G1224" s="262"/>
      <c r="H1224" s="262"/>
      <c r="I1224" s="262"/>
      <c r="J1224" s="262"/>
      <c r="K1224" s="262"/>
      <c r="L1224" s="262"/>
      <c r="M1224" s="262"/>
      <c r="N1224" s="262"/>
      <c r="O1224" s="262"/>
      <c r="P1224" s="262"/>
      <c r="Q1224" s="262"/>
      <c r="R1224" s="262"/>
      <c r="S1224" s="262"/>
      <c r="T1224" s="262"/>
      <c r="U1224" s="262"/>
      <c r="V1224" s="262"/>
      <c r="W1224" s="262"/>
      <c r="X1224" s="262"/>
      <c r="Y1224" s="262"/>
      <c r="Z1224" s="262"/>
      <c r="AA1224" s="262"/>
      <c r="AB1224" s="262"/>
      <c r="AC1224" s="262"/>
      <c r="AD1224" s="262"/>
      <c r="AE1224" s="262"/>
      <c r="AF1224" s="147"/>
      <c r="AG1224" s="147"/>
      <c r="AH1224" s="147"/>
      <c r="AI1224" s="147"/>
      <c r="AJ1224" s="189"/>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row>
    <row r="1225" spans="1:59" ht="15.75" customHeight="1" x14ac:dyDescent="0.2">
      <c r="A1225" s="162"/>
      <c r="B1225" s="162"/>
      <c r="C1225" s="206"/>
      <c r="D1225" s="262"/>
      <c r="E1225" s="262"/>
      <c r="F1225" s="262"/>
      <c r="G1225" s="262"/>
      <c r="H1225" s="262"/>
      <c r="I1225" s="262"/>
      <c r="J1225" s="262"/>
      <c r="K1225" s="262"/>
      <c r="L1225" s="262"/>
      <c r="M1225" s="262"/>
      <c r="N1225" s="262"/>
      <c r="O1225" s="262"/>
      <c r="P1225" s="262"/>
      <c r="Q1225" s="262"/>
      <c r="R1225" s="262"/>
      <c r="S1225" s="262"/>
      <c r="T1225" s="262"/>
      <c r="U1225" s="262"/>
      <c r="V1225" s="262"/>
      <c r="W1225" s="262"/>
      <c r="X1225" s="262"/>
      <c r="Y1225" s="262"/>
      <c r="Z1225" s="262"/>
      <c r="AA1225" s="262"/>
      <c r="AB1225" s="262"/>
      <c r="AC1225" s="262"/>
      <c r="AD1225" s="262"/>
      <c r="AE1225" s="262"/>
      <c r="AF1225" s="147"/>
      <c r="AG1225" s="147"/>
      <c r="AH1225" s="147"/>
      <c r="AI1225" s="147"/>
      <c r="AJ1225" s="189"/>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row>
    <row r="1226" spans="1:59" ht="15.75" customHeight="1" x14ac:dyDescent="0.2">
      <c r="A1226" s="162"/>
      <c r="B1226" s="162"/>
      <c r="C1226" s="206"/>
      <c r="D1226" s="262"/>
      <c r="E1226" s="262"/>
      <c r="F1226" s="262"/>
      <c r="G1226" s="262"/>
      <c r="H1226" s="262"/>
      <c r="I1226" s="262"/>
      <c r="J1226" s="262"/>
      <c r="K1226" s="262"/>
      <c r="L1226" s="262"/>
      <c r="M1226" s="262"/>
      <c r="N1226" s="262"/>
      <c r="O1226" s="262"/>
      <c r="P1226" s="262"/>
      <c r="Q1226" s="262"/>
      <c r="R1226" s="262"/>
      <c r="S1226" s="262"/>
      <c r="T1226" s="262"/>
      <c r="U1226" s="262"/>
      <c r="V1226" s="262"/>
      <c r="W1226" s="262"/>
      <c r="X1226" s="262"/>
      <c r="Y1226" s="262"/>
      <c r="Z1226" s="262"/>
      <c r="AA1226" s="262"/>
      <c r="AB1226" s="262"/>
      <c r="AC1226" s="262"/>
      <c r="AD1226" s="262"/>
      <c r="AE1226" s="262"/>
      <c r="AF1226" s="147"/>
      <c r="AG1226" s="147"/>
      <c r="AH1226" s="147"/>
      <c r="AI1226" s="147"/>
      <c r="AJ1226" s="189"/>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row>
    <row r="1227" spans="1:59" ht="15.75" customHeight="1" x14ac:dyDescent="0.2">
      <c r="A1227" s="162"/>
      <c r="B1227" s="162"/>
      <c r="C1227" s="206"/>
      <c r="D1227" s="262"/>
      <c r="E1227" s="262"/>
      <c r="F1227" s="262"/>
      <c r="G1227" s="262"/>
      <c r="H1227" s="262"/>
      <c r="I1227" s="262"/>
      <c r="J1227" s="262"/>
      <c r="K1227" s="262"/>
      <c r="L1227" s="262"/>
      <c r="M1227" s="262"/>
      <c r="N1227" s="262"/>
      <c r="O1227" s="262"/>
      <c r="P1227" s="262"/>
      <c r="Q1227" s="262"/>
      <c r="R1227" s="262"/>
      <c r="S1227" s="262"/>
      <c r="T1227" s="262"/>
      <c r="U1227" s="262"/>
      <c r="V1227" s="262"/>
      <c r="W1227" s="262"/>
      <c r="X1227" s="262"/>
      <c r="Y1227" s="262"/>
      <c r="Z1227" s="262"/>
      <c r="AA1227" s="262"/>
      <c r="AB1227" s="262"/>
      <c r="AC1227" s="262"/>
      <c r="AD1227" s="262"/>
      <c r="AE1227" s="262"/>
      <c r="AF1227" s="147"/>
      <c r="AG1227" s="147"/>
      <c r="AH1227" s="147"/>
      <c r="AI1227" s="147"/>
      <c r="AJ1227" s="189"/>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row>
    <row r="1228" spans="1:59" ht="15.75" customHeight="1" x14ac:dyDescent="0.2">
      <c r="A1228" s="162"/>
      <c r="B1228" s="162"/>
      <c r="C1228" s="206"/>
      <c r="D1228" s="262"/>
      <c r="E1228" s="262"/>
      <c r="F1228" s="262"/>
      <c r="G1228" s="262"/>
      <c r="H1228" s="262"/>
      <c r="I1228" s="262"/>
      <c r="J1228" s="262"/>
      <c r="K1228" s="262"/>
      <c r="L1228" s="262"/>
      <c r="M1228" s="262"/>
      <c r="N1228" s="262"/>
      <c r="O1228" s="262"/>
      <c r="P1228" s="262"/>
      <c r="Q1228" s="262"/>
      <c r="R1228" s="262"/>
      <c r="S1228" s="262"/>
      <c r="T1228" s="262"/>
      <c r="U1228" s="262"/>
      <c r="V1228" s="262"/>
      <c r="W1228" s="262"/>
      <c r="X1228" s="262"/>
      <c r="Y1228" s="262"/>
      <c r="Z1228" s="262"/>
      <c r="AA1228" s="262"/>
      <c r="AB1228" s="262"/>
      <c r="AC1228" s="262"/>
      <c r="AD1228" s="262"/>
      <c r="AE1228" s="262"/>
      <c r="AF1228" s="147"/>
      <c r="AG1228" s="147"/>
      <c r="AH1228" s="147"/>
      <c r="AI1228" s="147"/>
      <c r="AJ1228" s="189"/>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row>
    <row r="1229" spans="1:59" ht="15.75" customHeight="1" x14ac:dyDescent="0.2">
      <c r="A1229" s="162"/>
      <c r="B1229" s="162"/>
      <c r="C1229" s="206"/>
      <c r="D1229" s="262"/>
      <c r="E1229" s="262"/>
      <c r="F1229" s="262"/>
      <c r="G1229" s="262"/>
      <c r="H1229" s="262"/>
      <c r="I1229" s="262"/>
      <c r="J1229" s="262"/>
      <c r="K1229" s="262"/>
      <c r="L1229" s="262"/>
      <c r="M1229" s="262"/>
      <c r="N1229" s="262"/>
      <c r="O1229" s="262"/>
      <c r="P1229" s="262"/>
      <c r="Q1229" s="262"/>
      <c r="R1229" s="262"/>
      <c r="S1229" s="262"/>
      <c r="T1229" s="262"/>
      <c r="U1229" s="262"/>
      <c r="V1229" s="262"/>
      <c r="W1229" s="262"/>
      <c r="X1229" s="262"/>
      <c r="Y1229" s="262"/>
      <c r="Z1229" s="262"/>
      <c r="AA1229" s="262"/>
      <c r="AB1229" s="262"/>
      <c r="AC1229" s="262"/>
      <c r="AD1229" s="262"/>
      <c r="AE1229" s="262"/>
      <c r="AF1229" s="147"/>
      <c r="AG1229" s="147"/>
      <c r="AH1229" s="147"/>
      <c r="AI1229" s="147"/>
      <c r="AJ1229" s="189"/>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row>
    <row r="1230" spans="1:59" ht="15.75" customHeight="1" x14ac:dyDescent="0.2">
      <c r="A1230" s="162"/>
      <c r="B1230" s="162"/>
      <c r="C1230" s="206"/>
      <c r="D1230" s="262"/>
      <c r="E1230" s="262"/>
      <c r="F1230" s="262"/>
      <c r="G1230" s="262"/>
      <c r="H1230" s="262"/>
      <c r="I1230" s="262"/>
      <c r="J1230" s="262"/>
      <c r="K1230" s="262"/>
      <c r="L1230" s="262"/>
      <c r="M1230" s="262"/>
      <c r="N1230" s="262"/>
      <c r="O1230" s="262"/>
      <c r="P1230" s="262"/>
      <c r="Q1230" s="262"/>
      <c r="R1230" s="262"/>
      <c r="S1230" s="262"/>
      <c r="T1230" s="262"/>
      <c r="U1230" s="262"/>
      <c r="V1230" s="262"/>
      <c r="W1230" s="262"/>
      <c r="X1230" s="262"/>
      <c r="Y1230" s="262"/>
      <c r="Z1230" s="262"/>
      <c r="AA1230" s="262"/>
      <c r="AB1230" s="262"/>
      <c r="AC1230" s="262"/>
      <c r="AD1230" s="262"/>
      <c r="AE1230" s="262"/>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row>
    <row r="1231" spans="1:59" ht="15.75" customHeight="1" x14ac:dyDescent="0.2">
      <c r="A1231" s="162"/>
      <c r="B1231" s="162"/>
      <c r="C1231" s="206"/>
      <c r="D1231" s="262"/>
      <c r="E1231" s="262"/>
      <c r="F1231" s="262"/>
      <c r="G1231" s="262"/>
      <c r="H1231" s="262"/>
      <c r="I1231" s="262"/>
      <c r="J1231" s="262"/>
      <c r="K1231" s="262"/>
      <c r="L1231" s="262"/>
      <c r="M1231" s="262"/>
      <c r="N1231" s="262"/>
      <c r="O1231" s="262"/>
      <c r="P1231" s="262"/>
      <c r="Q1231" s="262"/>
      <c r="R1231" s="262"/>
      <c r="S1231" s="262"/>
      <c r="T1231" s="262"/>
      <c r="U1231" s="262"/>
      <c r="V1231" s="262"/>
      <c r="W1231" s="262"/>
      <c r="X1231" s="262"/>
      <c r="Y1231" s="262"/>
      <c r="Z1231" s="262"/>
      <c r="AA1231" s="262"/>
      <c r="AB1231" s="262"/>
      <c r="AC1231" s="262"/>
      <c r="AD1231" s="262"/>
      <c r="AE1231" s="262"/>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row>
    <row r="1232" spans="1:59" ht="15.75" customHeight="1" x14ac:dyDescent="0.2">
      <c r="A1232" s="162"/>
      <c r="B1232" s="162"/>
      <c r="C1232" s="206"/>
      <c r="D1232" s="262"/>
      <c r="E1232" s="262"/>
      <c r="F1232" s="262"/>
      <c r="G1232" s="262"/>
      <c r="H1232" s="262"/>
      <c r="I1232" s="262"/>
      <c r="J1232" s="262"/>
      <c r="K1232" s="262"/>
      <c r="L1232" s="262"/>
      <c r="M1232" s="262"/>
      <c r="N1232" s="262"/>
      <c r="O1232" s="262"/>
      <c r="P1232" s="262"/>
      <c r="Q1232" s="262"/>
      <c r="R1232" s="262"/>
      <c r="S1232" s="262"/>
      <c r="T1232" s="262"/>
      <c r="U1232" s="262"/>
      <c r="V1232" s="262"/>
      <c r="W1232" s="262"/>
      <c r="X1232" s="262"/>
      <c r="Y1232" s="262"/>
      <c r="Z1232" s="262"/>
      <c r="AA1232" s="262"/>
      <c r="AB1232" s="262"/>
      <c r="AC1232" s="262"/>
      <c r="AD1232" s="262"/>
      <c r="AE1232" s="262"/>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row>
    <row r="1233" spans="1:59" ht="15.75" customHeight="1" x14ac:dyDescent="0.2">
      <c r="A1233" s="162"/>
      <c r="B1233" s="162"/>
      <c r="C1233" s="206"/>
      <c r="D1233" s="262"/>
      <c r="E1233" s="262"/>
      <c r="F1233" s="262"/>
      <c r="G1233" s="262"/>
      <c r="H1233" s="262"/>
      <c r="I1233" s="262"/>
      <c r="J1233" s="262"/>
      <c r="K1233" s="262"/>
      <c r="L1233" s="262"/>
      <c r="M1233" s="262"/>
      <c r="N1233" s="262"/>
      <c r="O1233" s="262"/>
      <c r="P1233" s="262"/>
      <c r="Q1233" s="262"/>
      <c r="R1233" s="262"/>
      <c r="S1233" s="262"/>
      <c r="T1233" s="262"/>
      <c r="U1233" s="262"/>
      <c r="V1233" s="262"/>
      <c r="W1233" s="262"/>
      <c r="X1233" s="262"/>
      <c r="Y1233" s="262"/>
      <c r="Z1233" s="262"/>
      <c r="AA1233" s="262"/>
      <c r="AB1233" s="262"/>
      <c r="AC1233" s="262"/>
      <c r="AD1233" s="262"/>
      <c r="AE1233" s="262"/>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row>
    <row r="1234" spans="1:59" ht="15.75" customHeight="1" x14ac:dyDescent="0.2">
      <c r="A1234" s="162"/>
      <c r="B1234" s="162"/>
      <c r="C1234" s="206"/>
      <c r="D1234" s="262"/>
      <c r="E1234" s="262"/>
      <c r="F1234" s="262"/>
      <c r="G1234" s="262"/>
      <c r="H1234" s="262"/>
      <c r="I1234" s="262"/>
      <c r="J1234" s="262"/>
      <c r="K1234" s="262"/>
      <c r="L1234" s="262"/>
      <c r="M1234" s="262"/>
      <c r="N1234" s="262"/>
      <c r="O1234" s="262"/>
      <c r="P1234" s="262"/>
      <c r="Q1234" s="262"/>
      <c r="R1234" s="262"/>
      <c r="S1234" s="262"/>
      <c r="T1234" s="262"/>
      <c r="U1234" s="262"/>
      <c r="V1234" s="262"/>
      <c r="W1234" s="262"/>
      <c r="X1234" s="262"/>
      <c r="Y1234" s="262"/>
      <c r="Z1234" s="262"/>
      <c r="AA1234" s="262"/>
      <c r="AB1234" s="262"/>
      <c r="AC1234" s="262"/>
      <c r="AD1234" s="262"/>
      <c r="AE1234" s="262"/>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row>
    <row r="1235" spans="1:59" ht="15.75" customHeight="1" x14ac:dyDescent="0.2">
      <c r="A1235" s="162"/>
      <c r="B1235" s="162"/>
      <c r="C1235" s="206"/>
      <c r="D1235" s="262"/>
      <c r="E1235" s="262"/>
      <c r="F1235" s="262"/>
      <c r="G1235" s="262"/>
      <c r="H1235" s="262"/>
      <c r="I1235" s="262"/>
      <c r="J1235" s="262"/>
      <c r="K1235" s="262"/>
      <c r="L1235" s="262"/>
      <c r="M1235" s="262"/>
      <c r="N1235" s="262"/>
      <c r="O1235" s="262"/>
      <c r="P1235" s="262"/>
      <c r="Q1235" s="262"/>
      <c r="R1235" s="262"/>
      <c r="S1235" s="262"/>
      <c r="T1235" s="262"/>
      <c r="U1235" s="262"/>
      <c r="V1235" s="262"/>
      <c r="W1235" s="262"/>
      <c r="X1235" s="262"/>
      <c r="Y1235" s="262"/>
      <c r="Z1235" s="262"/>
      <c r="AA1235" s="262"/>
      <c r="AB1235" s="262"/>
      <c r="AC1235" s="262"/>
      <c r="AD1235" s="262"/>
      <c r="AE1235" s="262"/>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row>
    <row r="1236" spans="1:59" ht="15.75" customHeight="1" x14ac:dyDescent="0.2">
      <c r="A1236" s="162"/>
      <c r="B1236" s="162"/>
      <c r="C1236" s="206"/>
      <c r="D1236" s="262"/>
      <c r="E1236" s="262"/>
      <c r="F1236" s="262"/>
      <c r="G1236" s="262"/>
      <c r="H1236" s="262"/>
      <c r="I1236" s="262"/>
      <c r="J1236" s="262"/>
      <c r="K1236" s="262"/>
      <c r="L1236" s="262"/>
      <c r="M1236" s="262"/>
      <c r="N1236" s="262"/>
      <c r="O1236" s="262"/>
      <c r="P1236" s="262"/>
      <c r="Q1236" s="262"/>
      <c r="R1236" s="262"/>
      <c r="S1236" s="262"/>
      <c r="T1236" s="262"/>
      <c r="U1236" s="262"/>
      <c r="V1236" s="262"/>
      <c r="W1236" s="262"/>
      <c r="X1236" s="262"/>
      <c r="Y1236" s="262"/>
      <c r="Z1236" s="262"/>
      <c r="AA1236" s="262"/>
      <c r="AB1236" s="262"/>
      <c r="AC1236" s="262"/>
      <c r="AD1236" s="262"/>
      <c r="AE1236" s="262"/>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row>
    <row r="1237" spans="1:59" ht="15.75" customHeight="1" x14ac:dyDescent="0.2">
      <c r="A1237" s="162"/>
      <c r="B1237" s="162"/>
      <c r="C1237" s="206"/>
      <c r="D1237" s="262"/>
      <c r="E1237" s="262"/>
      <c r="F1237" s="262"/>
      <c r="G1237" s="262"/>
      <c r="H1237" s="262"/>
      <c r="I1237" s="262"/>
      <c r="J1237" s="262"/>
      <c r="K1237" s="262"/>
      <c r="L1237" s="262"/>
      <c r="M1237" s="262"/>
      <c r="N1237" s="262"/>
      <c r="O1237" s="262"/>
      <c r="P1237" s="262"/>
      <c r="Q1237" s="262"/>
      <c r="R1237" s="262"/>
      <c r="S1237" s="262"/>
      <c r="T1237" s="262"/>
      <c r="U1237" s="262"/>
      <c r="V1237" s="262"/>
      <c r="W1237" s="262"/>
      <c r="X1237" s="262"/>
      <c r="Y1237" s="262"/>
      <c r="Z1237" s="262"/>
      <c r="AA1237" s="262"/>
      <c r="AB1237" s="262"/>
      <c r="AC1237" s="262"/>
      <c r="AD1237" s="262"/>
      <c r="AE1237" s="262"/>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row>
    <row r="1238" spans="1:59" ht="15.75" customHeight="1" x14ac:dyDescent="0.2">
      <c r="A1238" s="162"/>
      <c r="B1238" s="162"/>
      <c r="C1238" s="206"/>
      <c r="D1238" s="262"/>
      <c r="E1238" s="262"/>
      <c r="F1238" s="262"/>
      <c r="G1238" s="262"/>
      <c r="H1238" s="262"/>
      <c r="I1238" s="262"/>
      <c r="J1238" s="262"/>
      <c r="K1238" s="262"/>
      <c r="L1238" s="262"/>
      <c r="M1238" s="262"/>
      <c r="N1238" s="262"/>
      <c r="O1238" s="262"/>
      <c r="P1238" s="262"/>
      <c r="Q1238" s="262"/>
      <c r="R1238" s="262"/>
      <c r="S1238" s="262"/>
      <c r="T1238" s="262"/>
      <c r="U1238" s="262"/>
      <c r="V1238" s="262"/>
      <c r="W1238" s="262"/>
      <c r="X1238" s="262"/>
      <c r="Y1238" s="262"/>
      <c r="Z1238" s="262"/>
      <c r="AA1238" s="262"/>
      <c r="AB1238" s="262"/>
      <c r="AC1238" s="262"/>
      <c r="AD1238" s="262"/>
      <c r="AE1238" s="262"/>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row>
    <row r="1239" spans="1:59" ht="15.75" customHeight="1" x14ac:dyDescent="0.2">
      <c r="A1239" s="162"/>
      <c r="B1239" s="162"/>
      <c r="C1239" s="206"/>
      <c r="D1239" s="262"/>
      <c r="E1239" s="262"/>
      <c r="F1239" s="262"/>
      <c r="G1239" s="262"/>
      <c r="H1239" s="262"/>
      <c r="I1239" s="262"/>
      <c r="J1239" s="262"/>
      <c r="K1239" s="262"/>
      <c r="L1239" s="262"/>
      <c r="M1239" s="262"/>
      <c r="N1239" s="262"/>
      <c r="O1239" s="262"/>
      <c r="P1239" s="262"/>
      <c r="Q1239" s="262"/>
      <c r="R1239" s="262"/>
      <c r="S1239" s="262"/>
      <c r="T1239" s="262"/>
      <c r="U1239" s="262"/>
      <c r="V1239" s="262"/>
      <c r="W1239" s="262"/>
      <c r="X1239" s="262"/>
      <c r="Y1239" s="262"/>
      <c r="Z1239" s="262"/>
      <c r="AA1239" s="262"/>
      <c r="AB1239" s="262"/>
      <c r="AC1239" s="262"/>
      <c r="AD1239" s="262"/>
      <c r="AE1239" s="262"/>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row>
    <row r="1240" spans="1:59" ht="15.75" customHeight="1" x14ac:dyDescent="0.2">
      <c r="A1240" s="162"/>
      <c r="B1240" s="162"/>
      <c r="C1240" s="206"/>
      <c r="D1240" s="262"/>
      <c r="E1240" s="262"/>
      <c r="F1240" s="262"/>
      <c r="G1240" s="262"/>
      <c r="H1240" s="262"/>
      <c r="I1240" s="262"/>
      <c r="J1240" s="262"/>
      <c r="K1240" s="262"/>
      <c r="L1240" s="262"/>
      <c r="M1240" s="262"/>
      <c r="N1240" s="262"/>
      <c r="O1240" s="262"/>
      <c r="P1240" s="262"/>
      <c r="Q1240" s="262"/>
      <c r="R1240" s="262"/>
      <c r="S1240" s="262"/>
      <c r="T1240" s="262"/>
      <c r="U1240" s="262"/>
      <c r="V1240" s="262"/>
      <c r="W1240" s="262"/>
      <c r="X1240" s="262"/>
      <c r="Y1240" s="262"/>
      <c r="Z1240" s="262"/>
      <c r="AA1240" s="262"/>
      <c r="AB1240" s="262"/>
      <c r="AC1240" s="262"/>
      <c r="AD1240" s="262"/>
      <c r="AE1240" s="262"/>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row>
    <row r="1241" spans="1:59" ht="15.75" customHeight="1" x14ac:dyDescent="0.2">
      <c r="A1241" s="162"/>
      <c r="B1241" s="162"/>
      <c r="C1241" s="206"/>
      <c r="D1241" s="262"/>
      <c r="E1241" s="262"/>
      <c r="F1241" s="262"/>
      <c r="G1241" s="262"/>
      <c r="H1241" s="262"/>
      <c r="I1241" s="262"/>
      <c r="J1241" s="262"/>
      <c r="K1241" s="262"/>
      <c r="L1241" s="262"/>
      <c r="M1241" s="262"/>
      <c r="N1241" s="262"/>
      <c r="O1241" s="262"/>
      <c r="P1241" s="262"/>
      <c r="Q1241" s="262"/>
      <c r="R1241" s="262"/>
      <c r="S1241" s="262"/>
      <c r="T1241" s="262"/>
      <c r="U1241" s="262"/>
      <c r="V1241" s="262"/>
      <c r="W1241" s="262"/>
      <c r="X1241" s="262"/>
      <c r="Y1241" s="262"/>
      <c r="Z1241" s="262"/>
      <c r="AA1241" s="262"/>
      <c r="AB1241" s="262"/>
      <c r="AC1241" s="262"/>
      <c r="AD1241" s="262"/>
      <c r="AE1241" s="262"/>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row>
    <row r="1242" spans="1:59" ht="15.75" customHeight="1" x14ac:dyDescent="0.2">
      <c r="A1242" s="162"/>
      <c r="B1242" s="162"/>
      <c r="C1242" s="206"/>
      <c r="D1242" s="262"/>
      <c r="E1242" s="262"/>
      <c r="F1242" s="262"/>
      <c r="G1242" s="262"/>
      <c r="H1242" s="262"/>
      <c r="I1242" s="262"/>
      <c r="J1242" s="262"/>
      <c r="K1242" s="262"/>
      <c r="L1242" s="262"/>
      <c r="M1242" s="262"/>
      <c r="N1242" s="262"/>
      <c r="O1242" s="262"/>
      <c r="P1242" s="262"/>
      <c r="Q1242" s="262"/>
      <c r="R1242" s="262"/>
      <c r="S1242" s="262"/>
      <c r="T1242" s="262"/>
      <c r="U1242" s="262"/>
      <c r="V1242" s="262"/>
      <c r="W1242" s="262"/>
      <c r="X1242" s="262"/>
      <c r="Y1242" s="262"/>
      <c r="Z1242" s="262"/>
      <c r="AA1242" s="262"/>
      <c r="AB1242" s="262"/>
      <c r="AC1242" s="262"/>
      <c r="AD1242" s="262"/>
      <c r="AE1242" s="262"/>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row>
    <row r="1243" spans="1:59" ht="15.75" customHeight="1" x14ac:dyDescent="0.2">
      <c r="A1243" s="162"/>
      <c r="B1243" s="162"/>
      <c r="C1243" s="206"/>
      <c r="D1243" s="262"/>
      <c r="E1243" s="262"/>
      <c r="F1243" s="262"/>
      <c r="G1243" s="262"/>
      <c r="H1243" s="262"/>
      <c r="I1243" s="262"/>
      <c r="J1243" s="262"/>
      <c r="K1243" s="262"/>
      <c r="L1243" s="262"/>
      <c r="M1243" s="262"/>
      <c r="N1243" s="262"/>
      <c r="O1243" s="262"/>
      <c r="P1243" s="262"/>
      <c r="Q1243" s="262"/>
      <c r="R1243" s="262"/>
      <c r="S1243" s="262"/>
      <c r="T1243" s="262"/>
      <c r="U1243" s="262"/>
      <c r="V1243" s="262"/>
      <c r="W1243" s="262"/>
      <c r="X1243" s="262"/>
      <c r="Y1243" s="262"/>
      <c r="Z1243" s="262"/>
      <c r="AA1243" s="262"/>
      <c r="AB1243" s="262"/>
      <c r="AC1243" s="262"/>
      <c r="AD1243" s="262"/>
      <c r="AE1243" s="262"/>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row>
    <row r="1244" spans="1:59" ht="15.75" customHeight="1" x14ac:dyDescent="0.2">
      <c r="A1244" s="162"/>
      <c r="B1244" s="162"/>
      <c r="C1244" s="206"/>
      <c r="D1244" s="262"/>
      <c r="E1244" s="262"/>
      <c r="F1244" s="262"/>
      <c r="G1244" s="262"/>
      <c r="H1244" s="262"/>
      <c r="I1244" s="262"/>
      <c r="J1244" s="262"/>
      <c r="K1244" s="262"/>
      <c r="L1244" s="262"/>
      <c r="M1244" s="262"/>
      <c r="N1244" s="262"/>
      <c r="O1244" s="262"/>
      <c r="P1244" s="262"/>
      <c r="Q1244" s="262"/>
      <c r="R1244" s="262"/>
      <c r="S1244" s="262"/>
      <c r="T1244" s="262"/>
      <c r="U1244" s="262"/>
      <c r="V1244" s="262"/>
      <c r="W1244" s="262"/>
      <c r="X1244" s="262"/>
      <c r="Y1244" s="262"/>
      <c r="Z1244" s="262"/>
      <c r="AA1244" s="262"/>
      <c r="AB1244" s="262"/>
      <c r="AC1244" s="262"/>
      <c r="AD1244" s="262"/>
      <c r="AE1244" s="262"/>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row>
    <row r="1245" spans="1:59" ht="15.75" customHeight="1" x14ac:dyDescent="0.2">
      <c r="A1245" s="162"/>
      <c r="B1245" s="162"/>
      <c r="C1245" s="206"/>
      <c r="D1245" s="262"/>
      <c r="E1245" s="262"/>
      <c r="F1245" s="262"/>
      <c r="G1245" s="262"/>
      <c r="H1245" s="262"/>
      <c r="I1245" s="262"/>
      <c r="J1245" s="262"/>
      <c r="K1245" s="262"/>
      <c r="L1245" s="262"/>
      <c r="M1245" s="262"/>
      <c r="N1245" s="262"/>
      <c r="O1245" s="262"/>
      <c r="P1245" s="262"/>
      <c r="Q1245" s="262"/>
      <c r="R1245" s="262"/>
      <c r="S1245" s="262"/>
      <c r="T1245" s="262"/>
      <c r="U1245" s="262"/>
      <c r="V1245" s="262"/>
      <c r="W1245" s="262"/>
      <c r="X1245" s="262"/>
      <c r="Y1245" s="262"/>
      <c r="Z1245" s="262"/>
      <c r="AA1245" s="262"/>
      <c r="AB1245" s="262"/>
      <c r="AC1245" s="262"/>
      <c r="AD1245" s="262"/>
      <c r="AE1245" s="262"/>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row>
    <row r="1246" spans="1:59" ht="15.75" customHeight="1" x14ac:dyDescent="0.2">
      <c r="A1246" s="162"/>
      <c r="B1246" s="162"/>
      <c r="C1246" s="206"/>
      <c r="D1246" s="262"/>
      <c r="E1246" s="262"/>
      <c r="F1246" s="262"/>
      <c r="G1246" s="262"/>
      <c r="H1246" s="262"/>
      <c r="I1246" s="262"/>
      <c r="J1246" s="262"/>
      <c r="K1246" s="262"/>
      <c r="L1246" s="262"/>
      <c r="M1246" s="262"/>
      <c r="N1246" s="262"/>
      <c r="O1246" s="262"/>
      <c r="P1246" s="262"/>
      <c r="Q1246" s="262"/>
      <c r="R1246" s="262"/>
      <c r="S1246" s="262"/>
      <c r="T1246" s="262"/>
      <c r="U1246" s="262"/>
      <c r="V1246" s="262"/>
      <c r="W1246" s="262"/>
      <c r="X1246" s="262"/>
      <c r="Y1246" s="262"/>
      <c r="Z1246" s="262"/>
      <c r="AA1246" s="262"/>
      <c r="AB1246" s="262"/>
      <c r="AC1246" s="262"/>
      <c r="AD1246" s="262"/>
      <c r="AE1246" s="262"/>
      <c r="AF1246" s="147"/>
      <c r="AG1246" s="147"/>
      <c r="AH1246" s="147"/>
      <c r="AI1246" s="147"/>
      <c r="AJ1246" s="189"/>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row>
    <row r="1247" spans="1:59" ht="15.75" customHeight="1" x14ac:dyDescent="0.2">
      <c r="A1247" s="162"/>
      <c r="B1247" s="162"/>
      <c r="C1247" s="206"/>
      <c r="D1247" s="262"/>
      <c r="E1247" s="262"/>
      <c r="F1247" s="262"/>
      <c r="G1247" s="262"/>
      <c r="H1247" s="262"/>
      <c r="I1247" s="262"/>
      <c r="J1247" s="262"/>
      <c r="K1247" s="262"/>
      <c r="L1247" s="262"/>
      <c r="M1247" s="262"/>
      <c r="N1247" s="262"/>
      <c r="O1247" s="262"/>
      <c r="P1247" s="262"/>
      <c r="Q1247" s="262"/>
      <c r="R1247" s="262"/>
      <c r="S1247" s="262"/>
      <c r="T1247" s="262"/>
      <c r="U1247" s="262"/>
      <c r="V1247" s="262"/>
      <c r="W1247" s="262"/>
      <c r="X1247" s="262"/>
      <c r="Y1247" s="262"/>
      <c r="Z1247" s="262"/>
      <c r="AA1247" s="262"/>
      <c r="AB1247" s="262"/>
      <c r="AC1247" s="262"/>
      <c r="AD1247" s="262"/>
      <c r="AE1247" s="262"/>
      <c r="AF1247" s="147"/>
      <c r="AG1247" s="147"/>
      <c r="AH1247" s="147"/>
      <c r="AI1247" s="147"/>
      <c r="AJ1247" s="189"/>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row>
    <row r="1248" spans="1:59" ht="15.75" customHeight="1" x14ac:dyDescent="0.2">
      <c r="A1248" s="162"/>
      <c r="B1248" s="162"/>
      <c r="C1248" s="206"/>
      <c r="D1248" s="262"/>
      <c r="E1248" s="262"/>
      <c r="F1248" s="262"/>
      <c r="G1248" s="262"/>
      <c r="H1248" s="262"/>
      <c r="I1248" s="262"/>
      <c r="J1248" s="262"/>
      <c r="K1248" s="262"/>
      <c r="L1248" s="262"/>
      <c r="M1248" s="262"/>
      <c r="N1248" s="262"/>
      <c r="O1248" s="262"/>
      <c r="P1248" s="262"/>
      <c r="Q1248" s="262"/>
      <c r="R1248" s="262"/>
      <c r="S1248" s="262"/>
      <c r="T1248" s="262"/>
      <c r="U1248" s="262"/>
      <c r="V1248" s="262"/>
      <c r="W1248" s="262"/>
      <c r="X1248" s="262"/>
      <c r="Y1248" s="262"/>
      <c r="Z1248" s="262"/>
      <c r="AA1248" s="262"/>
      <c r="AB1248" s="262"/>
      <c r="AC1248" s="262"/>
      <c r="AD1248" s="262"/>
      <c r="AE1248" s="262"/>
      <c r="AF1248" s="147"/>
      <c r="AG1248" s="147"/>
      <c r="AH1248" s="147"/>
      <c r="AI1248" s="147"/>
      <c r="AJ1248" s="189"/>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row>
    <row r="1249" spans="1:59" ht="15.75" customHeight="1" x14ac:dyDescent="0.2">
      <c r="A1249" s="162"/>
      <c r="B1249" s="162"/>
      <c r="C1249" s="206"/>
      <c r="D1249" s="262"/>
      <c r="E1249" s="262"/>
      <c r="F1249" s="262"/>
      <c r="G1249" s="262"/>
      <c r="H1249" s="262"/>
      <c r="I1249" s="262"/>
      <c r="J1249" s="262"/>
      <c r="K1249" s="262"/>
      <c r="L1249" s="262"/>
      <c r="M1249" s="262"/>
      <c r="N1249" s="262"/>
      <c r="O1249" s="262"/>
      <c r="P1249" s="262"/>
      <c r="Q1249" s="262"/>
      <c r="R1249" s="262"/>
      <c r="S1249" s="262"/>
      <c r="T1249" s="262"/>
      <c r="U1249" s="262"/>
      <c r="V1249" s="262"/>
      <c r="W1249" s="262"/>
      <c r="X1249" s="262"/>
      <c r="Y1249" s="262"/>
      <c r="Z1249" s="262"/>
      <c r="AA1249" s="262"/>
      <c r="AB1249" s="262"/>
      <c r="AC1249" s="262"/>
      <c r="AD1249" s="262"/>
      <c r="AE1249" s="262"/>
      <c r="AF1249" s="147"/>
      <c r="AG1249" s="147"/>
      <c r="AH1249" s="147"/>
      <c r="AI1249" s="147"/>
      <c r="AJ1249" s="189"/>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row>
    <row r="1250" spans="1:59" ht="15.75" customHeight="1" x14ac:dyDescent="0.2">
      <c r="A1250" s="162"/>
      <c r="B1250" s="162"/>
      <c r="C1250" s="206"/>
      <c r="D1250" s="262"/>
      <c r="E1250" s="262"/>
      <c r="F1250" s="262"/>
      <c r="G1250" s="262"/>
      <c r="H1250" s="262"/>
      <c r="I1250" s="262"/>
      <c r="J1250" s="262"/>
      <c r="K1250" s="262"/>
      <c r="L1250" s="262"/>
      <c r="M1250" s="262"/>
      <c r="N1250" s="262"/>
      <c r="O1250" s="262"/>
      <c r="P1250" s="262"/>
      <c r="Q1250" s="262"/>
      <c r="R1250" s="262"/>
      <c r="S1250" s="262"/>
      <c r="T1250" s="262"/>
      <c r="U1250" s="262"/>
      <c r="V1250" s="262"/>
      <c r="W1250" s="262"/>
      <c r="X1250" s="262"/>
      <c r="Y1250" s="262"/>
      <c r="Z1250" s="262"/>
      <c r="AA1250" s="262"/>
      <c r="AB1250" s="262"/>
      <c r="AC1250" s="262"/>
      <c r="AD1250" s="262"/>
      <c r="AE1250" s="262"/>
      <c r="AF1250" s="147"/>
      <c r="AG1250" s="147"/>
      <c r="AH1250" s="147"/>
      <c r="AI1250" s="147"/>
      <c r="AJ1250" s="189"/>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row>
    <row r="1251" spans="1:59" ht="15.75" customHeight="1" x14ac:dyDescent="0.2">
      <c r="A1251" s="162"/>
      <c r="B1251" s="162"/>
      <c r="C1251" s="206"/>
      <c r="D1251" s="262"/>
      <c r="E1251" s="262"/>
      <c r="F1251" s="262"/>
      <c r="G1251" s="262"/>
      <c r="H1251" s="262"/>
      <c r="I1251" s="262"/>
      <c r="J1251" s="262"/>
      <c r="K1251" s="262"/>
      <c r="L1251" s="262"/>
      <c r="M1251" s="262"/>
      <c r="N1251" s="262"/>
      <c r="O1251" s="262"/>
      <c r="P1251" s="262"/>
      <c r="Q1251" s="262"/>
      <c r="R1251" s="262"/>
      <c r="S1251" s="262"/>
      <c r="T1251" s="262"/>
      <c r="U1251" s="262"/>
      <c r="V1251" s="262"/>
      <c r="W1251" s="262"/>
      <c r="X1251" s="262"/>
      <c r="Y1251" s="262"/>
      <c r="Z1251" s="262"/>
      <c r="AA1251" s="262"/>
      <c r="AB1251" s="262"/>
      <c r="AC1251" s="262"/>
      <c r="AD1251" s="262"/>
      <c r="AE1251" s="262"/>
      <c r="AF1251" s="147"/>
      <c r="AG1251" s="147"/>
      <c r="AH1251" s="147"/>
      <c r="AI1251" s="147"/>
      <c r="AJ1251" s="189"/>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row>
    <row r="1252" spans="1:59" ht="15.75" customHeight="1" x14ac:dyDescent="0.2">
      <c r="A1252" s="162"/>
      <c r="B1252" s="162"/>
      <c r="C1252" s="206"/>
      <c r="D1252" s="262"/>
      <c r="E1252" s="262"/>
      <c r="F1252" s="262"/>
      <c r="G1252" s="262"/>
      <c r="H1252" s="262"/>
      <c r="I1252" s="262"/>
      <c r="J1252" s="262"/>
      <c r="K1252" s="262"/>
      <c r="L1252" s="262"/>
      <c r="M1252" s="262"/>
      <c r="N1252" s="262"/>
      <c r="O1252" s="262"/>
      <c r="P1252" s="262"/>
      <c r="Q1252" s="262"/>
      <c r="R1252" s="262"/>
      <c r="S1252" s="262"/>
      <c r="T1252" s="262"/>
      <c r="U1252" s="262"/>
      <c r="V1252" s="262"/>
      <c r="W1252" s="262"/>
      <c r="X1252" s="262"/>
      <c r="Y1252" s="262"/>
      <c r="Z1252" s="262"/>
      <c r="AA1252" s="262"/>
      <c r="AB1252" s="262"/>
      <c r="AC1252" s="262"/>
      <c r="AD1252" s="262"/>
      <c r="AE1252" s="262"/>
      <c r="AF1252" s="147"/>
      <c r="AG1252" s="147"/>
      <c r="AH1252" s="147"/>
      <c r="AI1252" s="147"/>
      <c r="AJ1252" s="189"/>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row>
    <row r="1253" spans="1:59" ht="15.75" customHeight="1" x14ac:dyDescent="0.2">
      <c r="A1253" s="162"/>
      <c r="B1253" s="162"/>
      <c r="C1253" s="206"/>
      <c r="D1253" s="262"/>
      <c r="E1253" s="262"/>
      <c r="F1253" s="262"/>
      <c r="G1253" s="262"/>
      <c r="H1253" s="262"/>
      <c r="I1253" s="262"/>
      <c r="J1253" s="262"/>
      <c r="K1253" s="262"/>
      <c r="L1253" s="262"/>
      <c r="M1253" s="262"/>
      <c r="N1253" s="262"/>
      <c r="O1253" s="262"/>
      <c r="P1253" s="262"/>
      <c r="Q1253" s="262"/>
      <c r="R1253" s="262"/>
      <c r="S1253" s="262"/>
      <c r="T1253" s="262"/>
      <c r="U1253" s="262"/>
      <c r="V1253" s="262"/>
      <c r="W1253" s="262"/>
      <c r="X1253" s="262"/>
      <c r="Y1253" s="262"/>
      <c r="Z1253" s="262"/>
      <c r="AA1253" s="262"/>
      <c r="AB1253" s="262"/>
      <c r="AC1253" s="262"/>
      <c r="AD1253" s="262"/>
      <c r="AE1253" s="262"/>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row>
    <row r="1254" spans="1:59" ht="15.75" customHeight="1" x14ac:dyDescent="0.2">
      <c r="A1254" s="162"/>
      <c r="B1254" s="162"/>
      <c r="C1254" s="206"/>
      <c r="D1254" s="262"/>
      <c r="E1254" s="262"/>
      <c r="F1254" s="262"/>
      <c r="G1254" s="262"/>
      <c r="H1254" s="262"/>
      <c r="I1254" s="262"/>
      <c r="J1254" s="262"/>
      <c r="K1254" s="262"/>
      <c r="L1254" s="262"/>
      <c r="M1254" s="262"/>
      <c r="N1254" s="262"/>
      <c r="O1254" s="262"/>
      <c r="P1254" s="262"/>
      <c r="Q1254" s="262"/>
      <c r="R1254" s="262"/>
      <c r="S1254" s="262"/>
      <c r="T1254" s="262"/>
      <c r="U1254" s="262"/>
      <c r="V1254" s="262"/>
      <c r="W1254" s="262"/>
      <c r="X1254" s="262"/>
      <c r="Y1254" s="262"/>
      <c r="Z1254" s="262"/>
      <c r="AA1254" s="262"/>
      <c r="AB1254" s="262"/>
      <c r="AC1254" s="262"/>
      <c r="AD1254" s="262"/>
      <c r="AE1254" s="262"/>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row>
    <row r="1255" spans="1:59" ht="15.75" customHeight="1" x14ac:dyDescent="0.2">
      <c r="A1255" s="162"/>
      <c r="B1255" s="162"/>
      <c r="C1255" s="206"/>
      <c r="D1255" s="262"/>
      <c r="E1255" s="262"/>
      <c r="F1255" s="262"/>
      <c r="G1255" s="262"/>
      <c r="H1255" s="262"/>
      <c r="I1255" s="262"/>
      <c r="J1255" s="262"/>
      <c r="K1255" s="262"/>
      <c r="L1255" s="262"/>
      <c r="M1255" s="262"/>
      <c r="N1255" s="262"/>
      <c r="O1255" s="262"/>
      <c r="P1255" s="262"/>
      <c r="Q1255" s="262"/>
      <c r="R1255" s="262"/>
      <c r="S1255" s="262"/>
      <c r="T1255" s="262"/>
      <c r="U1255" s="262"/>
      <c r="V1255" s="262"/>
      <c r="W1255" s="262"/>
      <c r="X1255" s="262"/>
      <c r="Y1255" s="262"/>
      <c r="Z1255" s="262"/>
      <c r="AA1255" s="262"/>
      <c r="AB1255" s="262"/>
      <c r="AC1255" s="262"/>
      <c r="AD1255" s="262"/>
      <c r="AE1255" s="262"/>
      <c r="AF1255" s="147"/>
      <c r="AG1255" s="147"/>
      <c r="AH1255" s="147"/>
      <c r="AI1255" s="147"/>
      <c r="AJ1255" s="195"/>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row>
    <row r="1256" spans="1:59" ht="15.75" customHeight="1" x14ac:dyDescent="0.2">
      <c r="A1256" s="162"/>
      <c r="B1256" s="162"/>
      <c r="C1256" s="206"/>
      <c r="D1256" s="262"/>
      <c r="E1256" s="262"/>
      <c r="F1256" s="262"/>
      <c r="G1256" s="262"/>
      <c r="H1256" s="262"/>
      <c r="I1256" s="262"/>
      <c r="J1256" s="262"/>
      <c r="K1256" s="262"/>
      <c r="L1256" s="262"/>
      <c r="M1256" s="262"/>
      <c r="N1256" s="262"/>
      <c r="O1256" s="262"/>
      <c r="P1256" s="262"/>
      <c r="Q1256" s="262"/>
      <c r="R1256" s="262"/>
      <c r="S1256" s="262"/>
      <c r="T1256" s="262"/>
      <c r="U1256" s="262"/>
      <c r="V1256" s="262"/>
      <c r="W1256" s="262"/>
      <c r="X1256" s="262"/>
      <c r="Y1256" s="262"/>
      <c r="Z1256" s="262"/>
      <c r="AA1256" s="262"/>
      <c r="AB1256" s="262"/>
      <c r="AC1256" s="262"/>
      <c r="AD1256" s="262"/>
      <c r="AE1256" s="262"/>
      <c r="AF1256" s="147"/>
      <c r="AG1256" s="147"/>
      <c r="AH1256" s="147"/>
      <c r="AI1256" s="147"/>
      <c r="AJ1256" s="195"/>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row>
    <row r="1257" spans="1:59" ht="15.75" customHeight="1" x14ac:dyDescent="0.2">
      <c r="A1257" s="162"/>
      <c r="B1257" s="162"/>
      <c r="C1257" s="206"/>
      <c r="D1257" s="262"/>
      <c r="E1257" s="262"/>
      <c r="F1257" s="262"/>
      <c r="G1257" s="262"/>
      <c r="H1257" s="262"/>
      <c r="I1257" s="262"/>
      <c r="J1257" s="262"/>
      <c r="K1257" s="262"/>
      <c r="L1257" s="262"/>
      <c r="M1257" s="262"/>
      <c r="N1257" s="262"/>
      <c r="O1257" s="262"/>
      <c r="P1257" s="262"/>
      <c r="Q1257" s="262"/>
      <c r="R1257" s="262"/>
      <c r="S1257" s="262"/>
      <c r="T1257" s="262"/>
      <c r="U1257" s="262"/>
      <c r="V1257" s="262"/>
      <c r="W1257" s="262"/>
      <c r="X1257" s="262"/>
      <c r="Y1257" s="262"/>
      <c r="Z1257" s="262"/>
      <c r="AA1257" s="262"/>
      <c r="AB1257" s="262"/>
      <c r="AC1257" s="262"/>
      <c r="AD1257" s="262"/>
      <c r="AE1257" s="262"/>
      <c r="AF1257" s="147"/>
      <c r="AG1257" s="147"/>
      <c r="AH1257" s="147"/>
      <c r="AI1257" s="147"/>
      <c r="AJ1257" s="195"/>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row>
    <row r="1258" spans="1:59" ht="15.75" customHeight="1" x14ac:dyDescent="0.2">
      <c r="A1258" s="162"/>
      <c r="B1258" s="162"/>
      <c r="C1258" s="206"/>
      <c r="D1258" s="262"/>
      <c r="E1258" s="262"/>
      <c r="F1258" s="262"/>
      <c r="G1258" s="262"/>
      <c r="H1258" s="262"/>
      <c r="I1258" s="262"/>
      <c r="J1258" s="262"/>
      <c r="K1258" s="262"/>
      <c r="L1258" s="262"/>
      <c r="M1258" s="262"/>
      <c r="N1258" s="262"/>
      <c r="O1258" s="262"/>
      <c r="P1258" s="262"/>
      <c r="Q1258" s="262"/>
      <c r="R1258" s="262"/>
      <c r="S1258" s="262"/>
      <c r="T1258" s="262"/>
      <c r="U1258" s="262"/>
      <c r="V1258" s="262"/>
      <c r="W1258" s="262"/>
      <c r="X1258" s="262"/>
      <c r="Y1258" s="262"/>
      <c r="Z1258" s="262"/>
      <c r="AA1258" s="262"/>
      <c r="AB1258" s="262"/>
      <c r="AC1258" s="262"/>
      <c r="AD1258" s="262"/>
      <c r="AE1258" s="262"/>
      <c r="AF1258" s="147"/>
      <c r="AG1258" s="147"/>
      <c r="AH1258" s="147"/>
      <c r="AI1258" s="147"/>
      <c r="AJ1258" s="195"/>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row>
    <row r="1259" spans="1:59" ht="15.75" customHeight="1" x14ac:dyDescent="0.2">
      <c r="A1259" s="162"/>
      <c r="B1259" s="162"/>
      <c r="C1259" s="206"/>
      <c r="D1259" s="262"/>
      <c r="E1259" s="262"/>
      <c r="F1259" s="262"/>
      <c r="G1259" s="262"/>
      <c r="H1259" s="262"/>
      <c r="I1259" s="262"/>
      <c r="J1259" s="262"/>
      <c r="K1259" s="262"/>
      <c r="L1259" s="262"/>
      <c r="M1259" s="262"/>
      <c r="N1259" s="262"/>
      <c r="O1259" s="262"/>
      <c r="P1259" s="262"/>
      <c r="Q1259" s="262"/>
      <c r="R1259" s="262"/>
      <c r="S1259" s="262"/>
      <c r="T1259" s="262"/>
      <c r="U1259" s="262"/>
      <c r="V1259" s="262"/>
      <c r="W1259" s="262"/>
      <c r="X1259" s="262"/>
      <c r="Y1259" s="262"/>
      <c r="Z1259" s="262"/>
      <c r="AA1259" s="262"/>
      <c r="AB1259" s="262"/>
      <c r="AC1259" s="262"/>
      <c r="AD1259" s="262"/>
      <c r="AE1259" s="262"/>
      <c r="AF1259" s="147"/>
      <c r="AG1259" s="147"/>
      <c r="AH1259" s="147"/>
      <c r="AI1259" s="147"/>
      <c r="AJ1259" s="195"/>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row>
    <row r="1260" spans="1:59" ht="15.75" customHeight="1" x14ac:dyDescent="0.2">
      <c r="A1260" s="162"/>
      <c r="B1260" s="162"/>
      <c r="C1260" s="206"/>
      <c r="D1260" s="262"/>
      <c r="E1260" s="262"/>
      <c r="F1260" s="262"/>
      <c r="G1260" s="262"/>
      <c r="H1260" s="262"/>
      <c r="I1260" s="262"/>
      <c r="J1260" s="262"/>
      <c r="K1260" s="262"/>
      <c r="L1260" s="262"/>
      <c r="M1260" s="262"/>
      <c r="N1260" s="262"/>
      <c r="O1260" s="262"/>
      <c r="P1260" s="262"/>
      <c r="Q1260" s="262"/>
      <c r="R1260" s="262"/>
      <c r="S1260" s="262"/>
      <c r="T1260" s="262"/>
      <c r="U1260" s="262"/>
      <c r="V1260" s="262"/>
      <c r="W1260" s="262"/>
      <c r="X1260" s="262"/>
      <c r="Y1260" s="262"/>
      <c r="Z1260" s="262"/>
      <c r="AA1260" s="262"/>
      <c r="AB1260" s="262"/>
      <c r="AC1260" s="262"/>
      <c r="AD1260" s="262"/>
      <c r="AE1260" s="262"/>
      <c r="AF1260" s="147"/>
      <c r="AG1260" s="147"/>
      <c r="AH1260" s="147"/>
      <c r="AI1260" s="147"/>
      <c r="AJ1260" s="195"/>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row>
    <row r="1261" spans="1:59" ht="15.75" customHeight="1" x14ac:dyDescent="0.2">
      <c r="A1261" s="162"/>
      <c r="B1261" s="162"/>
      <c r="C1261" s="206"/>
      <c r="D1261" s="262"/>
      <c r="E1261" s="262"/>
      <c r="F1261" s="262"/>
      <c r="G1261" s="262"/>
      <c r="H1261" s="262"/>
      <c r="I1261" s="262"/>
      <c r="J1261" s="262"/>
      <c r="K1261" s="262"/>
      <c r="L1261" s="262"/>
      <c r="M1261" s="262"/>
      <c r="N1261" s="262"/>
      <c r="O1261" s="262"/>
      <c r="P1261" s="262"/>
      <c r="Q1261" s="262"/>
      <c r="R1261" s="262"/>
      <c r="S1261" s="262"/>
      <c r="T1261" s="262"/>
      <c r="U1261" s="262"/>
      <c r="V1261" s="262"/>
      <c r="W1261" s="262"/>
      <c r="X1261" s="262"/>
      <c r="Y1261" s="262"/>
      <c r="Z1261" s="262"/>
      <c r="AA1261" s="262"/>
      <c r="AB1261" s="262"/>
      <c r="AC1261" s="262"/>
      <c r="AD1261" s="262"/>
      <c r="AE1261" s="262"/>
      <c r="AF1261" s="147"/>
      <c r="AG1261" s="147"/>
      <c r="AH1261" s="147"/>
      <c r="AI1261" s="147"/>
      <c r="AJ1261" s="195"/>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row>
    <row r="1262" spans="1:59" ht="15.75" customHeight="1" x14ac:dyDescent="0.2">
      <c r="A1262" s="162"/>
      <c r="B1262" s="162"/>
      <c r="C1262" s="206"/>
      <c r="D1262" s="262"/>
      <c r="E1262" s="262"/>
      <c r="F1262" s="262"/>
      <c r="G1262" s="262"/>
      <c r="H1262" s="262"/>
      <c r="I1262" s="262"/>
      <c r="J1262" s="262"/>
      <c r="K1262" s="262"/>
      <c r="L1262" s="262"/>
      <c r="M1262" s="262"/>
      <c r="N1262" s="262"/>
      <c r="O1262" s="262"/>
      <c r="P1262" s="262"/>
      <c r="Q1262" s="262"/>
      <c r="R1262" s="262"/>
      <c r="S1262" s="262"/>
      <c r="T1262" s="262"/>
      <c r="U1262" s="262"/>
      <c r="V1262" s="262"/>
      <c r="W1262" s="262"/>
      <c r="X1262" s="262"/>
      <c r="Y1262" s="262"/>
      <c r="Z1262" s="262"/>
      <c r="AA1262" s="262"/>
      <c r="AB1262" s="262"/>
      <c r="AC1262" s="262"/>
      <c r="AD1262" s="262"/>
      <c r="AE1262" s="262"/>
      <c r="AF1262" s="147"/>
      <c r="AG1262" s="147"/>
      <c r="AH1262" s="147"/>
      <c r="AI1262" s="147"/>
      <c r="AJ1262" s="195"/>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row>
    <row r="1263" spans="1:59" ht="15.75" customHeight="1" x14ac:dyDescent="0.2">
      <c r="A1263" s="162"/>
      <c r="B1263" s="162"/>
      <c r="C1263" s="206"/>
      <c r="D1263" s="262"/>
      <c r="E1263" s="262"/>
      <c r="F1263" s="262"/>
      <c r="G1263" s="262"/>
      <c r="H1263" s="262"/>
      <c r="I1263" s="262"/>
      <c r="J1263" s="262"/>
      <c r="K1263" s="262"/>
      <c r="L1263" s="262"/>
      <c r="M1263" s="262"/>
      <c r="N1263" s="262"/>
      <c r="O1263" s="262"/>
      <c r="P1263" s="262"/>
      <c r="Q1263" s="262"/>
      <c r="R1263" s="262"/>
      <c r="S1263" s="262"/>
      <c r="T1263" s="262"/>
      <c r="U1263" s="262"/>
      <c r="V1263" s="262"/>
      <c r="W1263" s="262"/>
      <c r="X1263" s="262"/>
      <c r="Y1263" s="262"/>
      <c r="Z1263" s="262"/>
      <c r="AA1263" s="262"/>
      <c r="AB1263" s="262"/>
      <c r="AC1263" s="262"/>
      <c r="AD1263" s="262"/>
      <c r="AE1263" s="262"/>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row>
    <row r="1264" spans="1:59" ht="15.75" customHeight="1" x14ac:dyDescent="0.2">
      <c r="A1264" s="162"/>
      <c r="B1264" s="162"/>
      <c r="C1264" s="206"/>
      <c r="D1264" s="262"/>
      <c r="E1264" s="262"/>
      <c r="F1264" s="262"/>
      <c r="G1264" s="262"/>
      <c r="H1264" s="262"/>
      <c r="I1264" s="262"/>
      <c r="J1264" s="262"/>
      <c r="K1264" s="262"/>
      <c r="L1264" s="262"/>
      <c r="M1264" s="262"/>
      <c r="N1264" s="262"/>
      <c r="O1264" s="262"/>
      <c r="P1264" s="262"/>
      <c r="Q1264" s="262"/>
      <c r="R1264" s="262"/>
      <c r="S1264" s="262"/>
      <c r="T1264" s="262"/>
      <c r="U1264" s="262"/>
      <c r="V1264" s="262"/>
      <c r="W1264" s="262"/>
      <c r="X1264" s="262"/>
      <c r="Y1264" s="262"/>
      <c r="Z1264" s="262"/>
      <c r="AA1264" s="262"/>
      <c r="AB1264" s="262"/>
      <c r="AC1264" s="262"/>
      <c r="AD1264" s="262"/>
      <c r="AE1264" s="262"/>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row>
    <row r="1265" spans="1:59" ht="15.75" customHeight="1" x14ac:dyDescent="0.2">
      <c r="A1265" s="162"/>
      <c r="B1265" s="162"/>
      <c r="C1265" s="206"/>
      <c r="D1265" s="262"/>
      <c r="E1265" s="262"/>
      <c r="F1265" s="262"/>
      <c r="G1265" s="262"/>
      <c r="H1265" s="262"/>
      <c r="I1265" s="262"/>
      <c r="J1265" s="262"/>
      <c r="K1265" s="262"/>
      <c r="L1265" s="262"/>
      <c r="M1265" s="262"/>
      <c r="N1265" s="262"/>
      <c r="O1265" s="262"/>
      <c r="P1265" s="262"/>
      <c r="Q1265" s="262"/>
      <c r="R1265" s="262"/>
      <c r="S1265" s="262"/>
      <c r="T1265" s="262"/>
      <c r="U1265" s="262"/>
      <c r="V1265" s="262"/>
      <c r="W1265" s="262"/>
      <c r="X1265" s="262"/>
      <c r="Y1265" s="262"/>
      <c r="Z1265" s="262"/>
      <c r="AA1265" s="262"/>
      <c r="AB1265" s="262"/>
      <c r="AC1265" s="262"/>
      <c r="AD1265" s="262"/>
      <c r="AE1265" s="262"/>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row>
    <row r="1266" spans="1:59" ht="15.75" customHeight="1" x14ac:dyDescent="0.2">
      <c r="A1266" s="162"/>
      <c r="B1266" s="162"/>
      <c r="C1266" s="206"/>
      <c r="D1266" s="262"/>
      <c r="E1266" s="262"/>
      <c r="F1266" s="262"/>
      <c r="G1266" s="262"/>
      <c r="H1266" s="262"/>
      <c r="I1266" s="262"/>
      <c r="J1266" s="262"/>
      <c r="K1266" s="262"/>
      <c r="L1266" s="262"/>
      <c r="M1266" s="262"/>
      <c r="N1266" s="262"/>
      <c r="O1266" s="262"/>
      <c r="P1266" s="262"/>
      <c r="Q1266" s="262"/>
      <c r="R1266" s="262"/>
      <c r="S1266" s="262"/>
      <c r="T1266" s="262"/>
      <c r="U1266" s="262"/>
      <c r="V1266" s="262"/>
      <c r="W1266" s="262"/>
      <c r="X1266" s="262"/>
      <c r="Y1266" s="262"/>
      <c r="Z1266" s="262"/>
      <c r="AA1266" s="262"/>
      <c r="AB1266" s="262"/>
      <c r="AC1266" s="262"/>
      <c r="AD1266" s="262"/>
      <c r="AE1266" s="262"/>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row>
    <row r="1267" spans="1:59" ht="15.75" customHeight="1" x14ac:dyDescent="0.2">
      <c r="A1267" s="162"/>
      <c r="B1267" s="162"/>
      <c r="C1267" s="206"/>
      <c r="D1267" s="262"/>
      <c r="E1267" s="262"/>
      <c r="F1267" s="262"/>
      <c r="G1267" s="262"/>
      <c r="H1267" s="262"/>
      <c r="I1267" s="262"/>
      <c r="J1267" s="262"/>
      <c r="K1267" s="262"/>
      <c r="L1267" s="262"/>
      <c r="M1267" s="262"/>
      <c r="N1267" s="262"/>
      <c r="O1267" s="262"/>
      <c r="P1267" s="262"/>
      <c r="Q1267" s="262"/>
      <c r="R1267" s="262"/>
      <c r="S1267" s="262"/>
      <c r="T1267" s="262"/>
      <c r="U1267" s="262"/>
      <c r="V1267" s="262"/>
      <c r="W1267" s="262"/>
      <c r="X1267" s="262"/>
      <c r="Y1267" s="262"/>
      <c r="Z1267" s="262"/>
      <c r="AA1267" s="262"/>
      <c r="AB1267" s="262"/>
      <c r="AC1267" s="262"/>
      <c r="AD1267" s="262"/>
      <c r="AE1267" s="262"/>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row>
    <row r="1268" spans="1:59" ht="15.75" customHeight="1" x14ac:dyDescent="0.2">
      <c r="A1268" s="162"/>
      <c r="B1268" s="162"/>
      <c r="C1268" s="206"/>
      <c r="D1268" s="262"/>
      <c r="E1268" s="262"/>
      <c r="F1268" s="262"/>
      <c r="G1268" s="262"/>
      <c r="H1268" s="262"/>
      <c r="I1268" s="262"/>
      <c r="J1268" s="262"/>
      <c r="K1268" s="262"/>
      <c r="L1268" s="262"/>
      <c r="M1268" s="262"/>
      <c r="N1268" s="262"/>
      <c r="O1268" s="262"/>
      <c r="P1268" s="262"/>
      <c r="Q1268" s="262"/>
      <c r="R1268" s="262"/>
      <c r="S1268" s="262"/>
      <c r="T1268" s="262"/>
      <c r="U1268" s="262"/>
      <c r="V1268" s="262"/>
      <c r="W1268" s="262"/>
      <c r="X1268" s="262"/>
      <c r="Y1268" s="262"/>
      <c r="Z1268" s="262"/>
      <c r="AA1268" s="262"/>
      <c r="AB1268" s="262"/>
      <c r="AC1268" s="262"/>
      <c r="AD1268" s="262"/>
      <c r="AE1268" s="262"/>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row>
    <row r="1269" spans="1:59" ht="15.75" customHeight="1" x14ac:dyDescent="0.2">
      <c r="A1269" s="162"/>
      <c r="B1269" s="162"/>
      <c r="C1269" s="206"/>
      <c r="D1269" s="262"/>
      <c r="E1269" s="262"/>
      <c r="F1269" s="262"/>
      <c r="G1269" s="262"/>
      <c r="H1269" s="262"/>
      <c r="I1269" s="262"/>
      <c r="J1269" s="262"/>
      <c r="K1269" s="262"/>
      <c r="L1269" s="262"/>
      <c r="M1269" s="262"/>
      <c r="N1269" s="262"/>
      <c r="O1269" s="262"/>
      <c r="P1269" s="262"/>
      <c r="Q1269" s="262"/>
      <c r="R1269" s="262"/>
      <c r="S1269" s="262"/>
      <c r="T1269" s="262"/>
      <c r="U1269" s="262"/>
      <c r="V1269" s="262"/>
      <c r="W1269" s="262"/>
      <c r="X1269" s="262"/>
      <c r="Y1269" s="262"/>
      <c r="Z1269" s="262"/>
      <c r="AA1269" s="262"/>
      <c r="AB1269" s="262"/>
      <c r="AC1269" s="262"/>
      <c r="AD1269" s="262"/>
      <c r="AE1269" s="262"/>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row>
    <row r="1270" spans="1:59" ht="15.75" customHeight="1" x14ac:dyDescent="0.2">
      <c r="A1270" s="162"/>
      <c r="B1270" s="162"/>
      <c r="C1270" s="206"/>
      <c r="D1270" s="262"/>
      <c r="E1270" s="262"/>
      <c r="F1270" s="262"/>
      <c r="G1270" s="262"/>
      <c r="H1270" s="262"/>
      <c r="I1270" s="262"/>
      <c r="J1270" s="262"/>
      <c r="K1270" s="262"/>
      <c r="L1270" s="262"/>
      <c r="M1270" s="262"/>
      <c r="N1270" s="262"/>
      <c r="O1270" s="262"/>
      <c r="P1270" s="262"/>
      <c r="Q1270" s="262"/>
      <c r="R1270" s="262"/>
      <c r="S1270" s="262"/>
      <c r="T1270" s="262"/>
      <c r="U1270" s="262"/>
      <c r="V1270" s="262"/>
      <c r="W1270" s="262"/>
      <c r="X1270" s="262"/>
      <c r="Y1270" s="262"/>
      <c r="Z1270" s="262"/>
      <c r="AA1270" s="262"/>
      <c r="AB1270" s="262"/>
      <c r="AC1270" s="262"/>
      <c r="AD1270" s="262"/>
      <c r="AE1270" s="262"/>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row>
    <row r="1271" spans="1:59" ht="15.75" customHeight="1" x14ac:dyDescent="0.2">
      <c r="A1271" s="162"/>
      <c r="B1271" s="162"/>
      <c r="C1271" s="206"/>
      <c r="D1271" s="262"/>
      <c r="E1271" s="262"/>
      <c r="F1271" s="262"/>
      <c r="G1271" s="262"/>
      <c r="H1271" s="262"/>
      <c r="I1271" s="262"/>
      <c r="J1271" s="262"/>
      <c r="K1271" s="262"/>
      <c r="L1271" s="262"/>
      <c r="M1271" s="262"/>
      <c r="N1271" s="262"/>
      <c r="O1271" s="262"/>
      <c r="P1271" s="262"/>
      <c r="Q1271" s="262"/>
      <c r="R1271" s="262"/>
      <c r="S1271" s="262"/>
      <c r="T1271" s="262"/>
      <c r="U1271" s="262"/>
      <c r="V1271" s="262"/>
      <c r="W1271" s="262"/>
      <c r="X1271" s="262"/>
      <c r="Y1271" s="262"/>
      <c r="Z1271" s="262"/>
      <c r="AA1271" s="262"/>
      <c r="AB1271" s="262"/>
      <c r="AC1271" s="262"/>
      <c r="AD1271" s="262"/>
      <c r="AE1271" s="262"/>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row>
    <row r="1272" spans="1:59" ht="15.75" customHeight="1" x14ac:dyDescent="0.2">
      <c r="A1272" s="162"/>
      <c r="B1272" s="162"/>
      <c r="C1272" s="206"/>
      <c r="D1272" s="262"/>
      <c r="E1272" s="262"/>
      <c r="F1272" s="262"/>
      <c r="G1272" s="262"/>
      <c r="H1272" s="262"/>
      <c r="I1272" s="262"/>
      <c r="J1272" s="262"/>
      <c r="K1272" s="262"/>
      <c r="L1272" s="262"/>
      <c r="M1272" s="262"/>
      <c r="N1272" s="262"/>
      <c r="O1272" s="262"/>
      <c r="P1272" s="262"/>
      <c r="Q1272" s="262"/>
      <c r="R1272" s="262"/>
      <c r="S1272" s="262"/>
      <c r="T1272" s="262"/>
      <c r="U1272" s="262"/>
      <c r="V1272" s="262"/>
      <c r="W1272" s="262"/>
      <c r="X1272" s="262"/>
      <c r="Y1272" s="262"/>
      <c r="Z1272" s="262"/>
      <c r="AA1272" s="262"/>
      <c r="AB1272" s="262"/>
      <c r="AC1272" s="262"/>
      <c r="AD1272" s="262"/>
      <c r="AE1272" s="262"/>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row>
    <row r="1273" spans="1:59" ht="15.75" customHeight="1" x14ac:dyDescent="0.2">
      <c r="A1273" s="162"/>
      <c r="B1273" s="162"/>
      <c r="C1273" s="206"/>
      <c r="D1273" s="262"/>
      <c r="E1273" s="262"/>
      <c r="F1273" s="262"/>
      <c r="G1273" s="262"/>
      <c r="H1273" s="262"/>
      <c r="I1273" s="262"/>
      <c r="J1273" s="262"/>
      <c r="K1273" s="262"/>
      <c r="L1273" s="262"/>
      <c r="M1273" s="262"/>
      <c r="N1273" s="262"/>
      <c r="O1273" s="262"/>
      <c r="P1273" s="262"/>
      <c r="Q1273" s="262"/>
      <c r="R1273" s="262"/>
      <c r="S1273" s="262"/>
      <c r="T1273" s="262"/>
      <c r="U1273" s="262"/>
      <c r="V1273" s="262"/>
      <c r="W1273" s="262"/>
      <c r="X1273" s="262"/>
      <c r="Y1273" s="262"/>
      <c r="Z1273" s="262"/>
      <c r="AA1273" s="262"/>
      <c r="AB1273" s="262"/>
      <c r="AC1273" s="262"/>
      <c r="AD1273" s="262"/>
      <c r="AE1273" s="262"/>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row>
    <row r="1274" spans="1:59" ht="15.75" customHeight="1" x14ac:dyDescent="0.2">
      <c r="A1274" s="162"/>
      <c r="B1274" s="162"/>
      <c r="C1274" s="206"/>
      <c r="D1274" s="262"/>
      <c r="E1274" s="262"/>
      <c r="F1274" s="262"/>
      <c r="G1274" s="262"/>
      <c r="H1274" s="262"/>
      <c r="I1274" s="262"/>
      <c r="J1274" s="262"/>
      <c r="K1274" s="262"/>
      <c r="L1274" s="262"/>
      <c r="M1274" s="262"/>
      <c r="N1274" s="262"/>
      <c r="O1274" s="262"/>
      <c r="P1274" s="262"/>
      <c r="Q1274" s="262"/>
      <c r="R1274" s="262"/>
      <c r="S1274" s="262"/>
      <c r="T1274" s="262"/>
      <c r="U1274" s="262"/>
      <c r="V1274" s="262"/>
      <c r="W1274" s="262"/>
      <c r="X1274" s="262"/>
      <c r="Y1274" s="262"/>
      <c r="Z1274" s="262"/>
      <c r="AA1274" s="262"/>
      <c r="AB1274" s="262"/>
      <c r="AC1274" s="262"/>
      <c r="AD1274" s="262"/>
      <c r="AE1274" s="262"/>
      <c r="AF1274" s="147"/>
      <c r="AG1274" s="147"/>
      <c r="AH1274" s="147"/>
      <c r="AI1274" s="147"/>
      <c r="AJ1274" s="161"/>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row>
    <row r="1275" spans="1:59" ht="15.75" customHeight="1" x14ac:dyDescent="0.2">
      <c r="A1275" s="162"/>
      <c r="B1275" s="162"/>
      <c r="C1275" s="206"/>
      <c r="D1275" s="262"/>
      <c r="E1275" s="262"/>
      <c r="F1275" s="262"/>
      <c r="G1275" s="262"/>
      <c r="H1275" s="262"/>
      <c r="I1275" s="262"/>
      <c r="J1275" s="262"/>
      <c r="K1275" s="262"/>
      <c r="L1275" s="262"/>
      <c r="M1275" s="262"/>
      <c r="N1275" s="262"/>
      <c r="O1275" s="262"/>
      <c r="P1275" s="262"/>
      <c r="Q1275" s="262"/>
      <c r="R1275" s="262"/>
      <c r="S1275" s="262"/>
      <c r="T1275" s="262"/>
      <c r="U1275" s="262"/>
      <c r="V1275" s="262"/>
      <c r="W1275" s="262"/>
      <c r="X1275" s="262"/>
      <c r="Y1275" s="262"/>
      <c r="Z1275" s="262"/>
      <c r="AA1275" s="262"/>
      <c r="AB1275" s="262"/>
      <c r="AC1275" s="262"/>
      <c r="AD1275" s="262"/>
      <c r="AE1275" s="262"/>
      <c r="AF1275" s="147"/>
      <c r="AG1275" s="147"/>
      <c r="AH1275" s="147"/>
      <c r="AI1275" s="147"/>
      <c r="AJ1275" s="195"/>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row>
    <row r="1276" spans="1:59" ht="15.75" customHeight="1" x14ac:dyDescent="0.2">
      <c r="A1276" s="162"/>
      <c r="B1276" s="162"/>
      <c r="C1276" s="206"/>
      <c r="D1276" s="262"/>
      <c r="E1276" s="262"/>
      <c r="F1276" s="262"/>
      <c r="G1276" s="262"/>
      <c r="H1276" s="262"/>
      <c r="I1276" s="262"/>
      <c r="J1276" s="262"/>
      <c r="K1276" s="262"/>
      <c r="L1276" s="262"/>
      <c r="M1276" s="262"/>
      <c r="N1276" s="262"/>
      <c r="O1276" s="262"/>
      <c r="P1276" s="262"/>
      <c r="Q1276" s="262"/>
      <c r="R1276" s="262"/>
      <c r="S1276" s="262"/>
      <c r="T1276" s="262"/>
      <c r="U1276" s="262"/>
      <c r="V1276" s="262"/>
      <c r="W1276" s="262"/>
      <c r="X1276" s="262"/>
      <c r="Y1276" s="262"/>
      <c r="Z1276" s="262"/>
      <c r="AA1276" s="262"/>
      <c r="AB1276" s="262"/>
      <c r="AC1276" s="262"/>
      <c r="AD1276" s="262"/>
      <c r="AE1276" s="262"/>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row>
    <row r="1277" spans="1:59" ht="15.75" customHeight="1" x14ac:dyDescent="0.2">
      <c r="A1277" s="162"/>
      <c r="B1277" s="162"/>
      <c r="C1277" s="206"/>
      <c r="D1277" s="262"/>
      <c r="E1277" s="262"/>
      <c r="F1277" s="262"/>
      <c r="G1277" s="262"/>
      <c r="H1277" s="262"/>
      <c r="I1277" s="262"/>
      <c r="J1277" s="262"/>
      <c r="K1277" s="262"/>
      <c r="L1277" s="262"/>
      <c r="M1277" s="262"/>
      <c r="N1277" s="262"/>
      <c r="O1277" s="262"/>
      <c r="P1277" s="262"/>
      <c r="Q1277" s="262"/>
      <c r="R1277" s="262"/>
      <c r="S1277" s="262"/>
      <c r="T1277" s="262"/>
      <c r="U1277" s="262"/>
      <c r="V1277" s="262"/>
      <c r="W1277" s="262"/>
      <c r="X1277" s="262"/>
      <c r="Y1277" s="262"/>
      <c r="Z1277" s="262"/>
      <c r="AA1277" s="262"/>
      <c r="AB1277" s="262"/>
      <c r="AC1277" s="262"/>
      <c r="AD1277" s="262"/>
      <c r="AE1277" s="262"/>
      <c r="AF1277" s="147"/>
      <c r="AG1277" s="147"/>
      <c r="AH1277" s="147"/>
      <c r="AI1277" s="147"/>
      <c r="AJ1277" s="15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row>
    <row r="1278" spans="1:59" ht="15.75" customHeight="1" x14ac:dyDescent="0.2">
      <c r="A1278" s="162"/>
      <c r="B1278" s="162"/>
      <c r="C1278" s="206"/>
      <c r="D1278" s="262"/>
      <c r="E1278" s="262"/>
      <c r="F1278" s="262"/>
      <c r="G1278" s="262"/>
      <c r="H1278" s="262"/>
      <c r="I1278" s="262"/>
      <c r="J1278" s="262"/>
      <c r="K1278" s="262"/>
      <c r="L1278" s="262"/>
      <c r="M1278" s="262"/>
      <c r="N1278" s="262"/>
      <c r="O1278" s="262"/>
      <c r="P1278" s="262"/>
      <c r="Q1278" s="262"/>
      <c r="R1278" s="262"/>
      <c r="S1278" s="262"/>
      <c r="T1278" s="262"/>
      <c r="U1278" s="262"/>
      <c r="V1278" s="262"/>
      <c r="W1278" s="262"/>
      <c r="X1278" s="262"/>
      <c r="Y1278" s="262"/>
      <c r="Z1278" s="262"/>
      <c r="AA1278" s="262"/>
      <c r="AB1278" s="262"/>
      <c r="AC1278" s="262"/>
      <c r="AD1278" s="262"/>
      <c r="AE1278" s="262"/>
      <c r="AF1278" s="147"/>
      <c r="AG1278" s="147"/>
      <c r="AH1278" s="147"/>
      <c r="AI1278" s="147"/>
      <c r="AJ1278" s="195"/>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row>
    <row r="1279" spans="1:59" ht="15.75" customHeight="1" x14ac:dyDescent="0.2">
      <c r="A1279" s="162"/>
      <c r="B1279" s="162"/>
      <c r="C1279" s="206"/>
      <c r="D1279" s="262"/>
      <c r="E1279" s="262"/>
      <c r="F1279" s="262"/>
      <c r="G1279" s="262"/>
      <c r="H1279" s="262"/>
      <c r="I1279" s="262"/>
      <c r="J1279" s="262"/>
      <c r="K1279" s="262"/>
      <c r="L1279" s="262"/>
      <c r="M1279" s="262"/>
      <c r="N1279" s="262"/>
      <c r="O1279" s="262"/>
      <c r="P1279" s="262"/>
      <c r="Q1279" s="262"/>
      <c r="R1279" s="262"/>
      <c r="S1279" s="262"/>
      <c r="T1279" s="262"/>
      <c r="U1279" s="262"/>
      <c r="V1279" s="262"/>
      <c r="W1279" s="262"/>
      <c r="X1279" s="262"/>
      <c r="Y1279" s="262"/>
      <c r="Z1279" s="262"/>
      <c r="AA1279" s="262"/>
      <c r="AB1279" s="262"/>
      <c r="AC1279" s="262"/>
      <c r="AD1279" s="262"/>
      <c r="AE1279" s="262"/>
      <c r="AF1279" s="147"/>
      <c r="AG1279" s="147"/>
      <c r="AH1279" s="147"/>
      <c r="AI1279" s="147"/>
      <c r="AJ1279" s="220"/>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row>
    <row r="1280" spans="1:59" ht="15.75" customHeight="1" x14ac:dyDescent="0.2">
      <c r="A1280" s="162"/>
      <c r="B1280" s="162"/>
      <c r="C1280" s="206"/>
      <c r="D1280" s="262"/>
      <c r="E1280" s="262"/>
      <c r="F1280" s="262"/>
      <c r="G1280" s="262"/>
      <c r="H1280" s="262"/>
      <c r="I1280" s="262"/>
      <c r="J1280" s="262"/>
      <c r="K1280" s="262"/>
      <c r="L1280" s="262"/>
      <c r="M1280" s="262"/>
      <c r="N1280" s="262"/>
      <c r="O1280" s="262"/>
      <c r="P1280" s="262"/>
      <c r="Q1280" s="262"/>
      <c r="R1280" s="262"/>
      <c r="S1280" s="262"/>
      <c r="T1280" s="262"/>
      <c r="U1280" s="262"/>
      <c r="V1280" s="262"/>
      <c r="W1280" s="262"/>
      <c r="X1280" s="262"/>
      <c r="Y1280" s="262"/>
      <c r="Z1280" s="262"/>
      <c r="AA1280" s="262"/>
      <c r="AB1280" s="262"/>
      <c r="AC1280" s="262"/>
      <c r="AD1280" s="262"/>
      <c r="AE1280" s="262"/>
      <c r="AF1280" s="147"/>
      <c r="AG1280" s="147"/>
      <c r="AH1280" s="147"/>
      <c r="AI1280" s="147"/>
      <c r="AJ1280" s="220"/>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row>
    <row r="1281" spans="1:59" ht="15.75" customHeight="1" x14ac:dyDescent="0.2">
      <c r="A1281" s="162"/>
      <c r="B1281" s="162"/>
      <c r="C1281" s="206"/>
      <c r="D1281" s="262"/>
      <c r="E1281" s="262"/>
      <c r="F1281" s="262"/>
      <c r="G1281" s="262"/>
      <c r="H1281" s="262"/>
      <c r="I1281" s="262"/>
      <c r="J1281" s="262"/>
      <c r="K1281" s="262"/>
      <c r="L1281" s="262"/>
      <c r="M1281" s="262"/>
      <c r="N1281" s="262"/>
      <c r="O1281" s="262"/>
      <c r="P1281" s="262"/>
      <c r="Q1281" s="262"/>
      <c r="R1281" s="262"/>
      <c r="S1281" s="262"/>
      <c r="T1281" s="262"/>
      <c r="U1281" s="262"/>
      <c r="V1281" s="262"/>
      <c r="W1281" s="262"/>
      <c r="X1281" s="262"/>
      <c r="Y1281" s="262"/>
      <c r="Z1281" s="262"/>
      <c r="AA1281" s="262"/>
      <c r="AB1281" s="262"/>
      <c r="AC1281" s="262"/>
      <c r="AD1281" s="262"/>
      <c r="AE1281" s="262"/>
      <c r="AF1281" s="147"/>
      <c r="AG1281" s="147"/>
      <c r="AH1281" s="147"/>
      <c r="AI1281" s="147"/>
      <c r="AJ1281" s="220"/>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row>
    <row r="1282" spans="1:59" ht="15.75" customHeight="1" x14ac:dyDescent="0.2">
      <c r="A1282" s="162"/>
      <c r="B1282" s="162"/>
      <c r="C1282" s="206"/>
      <c r="D1282" s="262"/>
      <c r="E1282" s="262"/>
      <c r="F1282" s="262"/>
      <c r="G1282" s="262"/>
      <c r="H1282" s="262"/>
      <c r="I1282" s="262"/>
      <c r="J1282" s="262"/>
      <c r="K1282" s="262"/>
      <c r="L1282" s="262"/>
      <c r="M1282" s="262"/>
      <c r="N1282" s="262"/>
      <c r="O1282" s="262"/>
      <c r="P1282" s="262"/>
      <c r="Q1282" s="262"/>
      <c r="R1282" s="262"/>
      <c r="S1282" s="262"/>
      <c r="T1282" s="262"/>
      <c r="U1282" s="262"/>
      <c r="V1282" s="262"/>
      <c r="W1282" s="262"/>
      <c r="X1282" s="262"/>
      <c r="Y1282" s="262"/>
      <c r="Z1282" s="262"/>
      <c r="AA1282" s="262"/>
      <c r="AB1282" s="262"/>
      <c r="AC1282" s="262"/>
      <c r="AD1282" s="262"/>
      <c r="AE1282" s="262"/>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row>
    <row r="1283" spans="1:59" ht="15.75" customHeight="1" x14ac:dyDescent="0.2">
      <c r="A1283" s="162"/>
      <c r="B1283" s="162"/>
      <c r="C1283" s="206"/>
      <c r="D1283" s="262"/>
      <c r="E1283" s="262"/>
      <c r="F1283" s="262"/>
      <c r="G1283" s="262"/>
      <c r="H1283" s="262"/>
      <c r="I1283" s="262"/>
      <c r="J1283" s="262"/>
      <c r="K1283" s="262"/>
      <c r="L1283" s="262"/>
      <c r="M1283" s="262"/>
      <c r="N1283" s="262"/>
      <c r="O1283" s="262"/>
      <c r="P1283" s="262"/>
      <c r="Q1283" s="262"/>
      <c r="R1283" s="262"/>
      <c r="S1283" s="262"/>
      <c r="T1283" s="262"/>
      <c r="U1283" s="262"/>
      <c r="V1283" s="262"/>
      <c r="W1283" s="262"/>
      <c r="X1283" s="262"/>
      <c r="Y1283" s="262"/>
      <c r="Z1283" s="262"/>
      <c r="AA1283" s="262"/>
      <c r="AB1283" s="262"/>
      <c r="AC1283" s="262"/>
      <c r="AD1283" s="262"/>
      <c r="AE1283" s="262"/>
      <c r="AF1283" s="147"/>
      <c r="AG1283" s="147"/>
      <c r="AH1283" s="147"/>
      <c r="AI1283" s="147"/>
      <c r="AJ1283" s="175"/>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row>
    <row r="1284" spans="1:59" ht="15.75" customHeight="1" x14ac:dyDescent="0.2">
      <c r="A1284" s="162"/>
      <c r="B1284" s="162"/>
      <c r="C1284" s="206"/>
      <c r="D1284" s="262"/>
      <c r="E1284" s="262"/>
      <c r="F1284" s="262"/>
      <c r="G1284" s="262"/>
      <c r="H1284" s="262"/>
      <c r="I1284" s="262"/>
      <c r="J1284" s="262"/>
      <c r="K1284" s="262"/>
      <c r="L1284" s="262"/>
      <c r="M1284" s="262"/>
      <c r="N1284" s="262"/>
      <c r="O1284" s="262"/>
      <c r="P1284" s="262"/>
      <c r="Q1284" s="262"/>
      <c r="R1284" s="262"/>
      <c r="S1284" s="262"/>
      <c r="T1284" s="262"/>
      <c r="U1284" s="262"/>
      <c r="V1284" s="262"/>
      <c r="W1284" s="262"/>
      <c r="X1284" s="262"/>
      <c r="Y1284" s="262"/>
      <c r="Z1284" s="262"/>
      <c r="AA1284" s="262"/>
      <c r="AB1284" s="262"/>
      <c r="AC1284" s="262"/>
      <c r="AD1284" s="262"/>
      <c r="AE1284" s="262"/>
      <c r="AF1284" s="147"/>
      <c r="AG1284" s="147"/>
      <c r="AH1284" s="147"/>
      <c r="AI1284" s="147"/>
      <c r="AJ1284" s="15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row>
    <row r="1285" spans="1:59" ht="15.75" customHeight="1" x14ac:dyDescent="0.2">
      <c r="A1285" s="162"/>
      <c r="B1285" s="162"/>
      <c r="C1285" s="206"/>
      <c r="D1285" s="262"/>
      <c r="E1285" s="262"/>
      <c r="F1285" s="262"/>
      <c r="G1285" s="262"/>
      <c r="H1285" s="262"/>
      <c r="I1285" s="262"/>
      <c r="J1285" s="262"/>
      <c r="K1285" s="262"/>
      <c r="L1285" s="262"/>
      <c r="M1285" s="262"/>
      <c r="N1285" s="262"/>
      <c r="O1285" s="262"/>
      <c r="P1285" s="262"/>
      <c r="Q1285" s="262"/>
      <c r="R1285" s="262"/>
      <c r="S1285" s="262"/>
      <c r="T1285" s="262"/>
      <c r="U1285" s="262"/>
      <c r="V1285" s="262"/>
      <c r="W1285" s="262"/>
      <c r="X1285" s="262"/>
      <c r="Y1285" s="262"/>
      <c r="Z1285" s="262"/>
      <c r="AA1285" s="262"/>
      <c r="AB1285" s="262"/>
      <c r="AC1285" s="262"/>
      <c r="AD1285" s="262"/>
      <c r="AE1285" s="262"/>
      <c r="AF1285" s="147"/>
      <c r="AG1285" s="147"/>
      <c r="AH1285" s="147"/>
      <c r="AI1285" s="147"/>
      <c r="AJ1285" s="195"/>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row>
    <row r="1286" spans="1:59" ht="15.75" customHeight="1" x14ac:dyDescent="0.2">
      <c r="A1286" s="162"/>
      <c r="B1286" s="162"/>
      <c r="C1286" s="206"/>
      <c r="D1286" s="262"/>
      <c r="E1286" s="262"/>
      <c r="F1286" s="262"/>
      <c r="G1286" s="262"/>
      <c r="H1286" s="262"/>
      <c r="I1286" s="262"/>
      <c r="J1286" s="262"/>
      <c r="K1286" s="262"/>
      <c r="L1286" s="262"/>
      <c r="M1286" s="262"/>
      <c r="N1286" s="262"/>
      <c r="O1286" s="262"/>
      <c r="P1286" s="262"/>
      <c r="Q1286" s="262"/>
      <c r="R1286" s="262"/>
      <c r="S1286" s="262"/>
      <c r="T1286" s="262"/>
      <c r="U1286" s="262"/>
      <c r="V1286" s="262"/>
      <c r="W1286" s="262"/>
      <c r="X1286" s="262"/>
      <c r="Y1286" s="262"/>
      <c r="Z1286" s="262"/>
      <c r="AA1286" s="262"/>
      <c r="AB1286" s="262"/>
      <c r="AC1286" s="262"/>
      <c r="AD1286" s="262"/>
      <c r="AE1286" s="262"/>
      <c r="AF1286" s="147"/>
      <c r="AG1286" s="147"/>
      <c r="AH1286" s="147"/>
      <c r="AI1286" s="147"/>
      <c r="AJ1286" s="15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row>
    <row r="1287" spans="1:59" ht="15.75" customHeight="1" x14ac:dyDescent="0.2">
      <c r="A1287" s="162"/>
      <c r="B1287" s="162"/>
      <c r="C1287" s="206"/>
      <c r="D1287" s="262"/>
      <c r="E1287" s="262"/>
      <c r="F1287" s="262"/>
      <c r="G1287" s="262"/>
      <c r="H1287" s="262"/>
      <c r="I1287" s="262"/>
      <c r="J1287" s="262"/>
      <c r="K1287" s="262"/>
      <c r="L1287" s="262"/>
      <c r="M1287" s="262"/>
      <c r="N1287" s="262"/>
      <c r="O1287" s="262"/>
      <c r="P1287" s="262"/>
      <c r="Q1287" s="262"/>
      <c r="R1287" s="262"/>
      <c r="S1287" s="262"/>
      <c r="T1287" s="262"/>
      <c r="U1287" s="262"/>
      <c r="V1287" s="262"/>
      <c r="W1287" s="262"/>
      <c r="X1287" s="262"/>
      <c r="Y1287" s="262"/>
      <c r="Z1287" s="262"/>
      <c r="AA1287" s="262"/>
      <c r="AB1287" s="262"/>
      <c r="AC1287" s="262"/>
      <c r="AD1287" s="262"/>
      <c r="AE1287" s="262"/>
      <c r="AF1287" s="147"/>
      <c r="AG1287" s="147"/>
      <c r="AH1287" s="147"/>
      <c r="AI1287" s="147"/>
      <c r="AJ1287" s="225"/>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row>
    <row r="1288" spans="1:59" ht="15.75" customHeight="1" x14ac:dyDescent="0.2">
      <c r="A1288" s="162"/>
      <c r="B1288" s="162"/>
      <c r="C1288" s="206"/>
      <c r="D1288" s="262"/>
      <c r="E1288" s="262"/>
      <c r="F1288" s="262"/>
      <c r="G1288" s="262"/>
      <c r="H1288" s="262"/>
      <c r="I1288" s="262"/>
      <c r="J1288" s="262"/>
      <c r="K1288" s="262"/>
      <c r="L1288" s="262"/>
      <c r="M1288" s="262"/>
      <c r="N1288" s="262"/>
      <c r="O1288" s="262"/>
      <c r="P1288" s="262"/>
      <c r="Q1288" s="262"/>
      <c r="R1288" s="262"/>
      <c r="S1288" s="262"/>
      <c r="T1288" s="262"/>
      <c r="U1288" s="262"/>
      <c r="V1288" s="262"/>
      <c r="W1288" s="262"/>
      <c r="X1288" s="262"/>
      <c r="Y1288" s="262"/>
      <c r="Z1288" s="262"/>
      <c r="AA1288" s="262"/>
      <c r="AB1288" s="262"/>
      <c r="AC1288" s="262"/>
      <c r="AD1288" s="262"/>
      <c r="AE1288" s="262"/>
      <c r="AF1288" s="147"/>
      <c r="AG1288" s="147"/>
      <c r="AH1288" s="147"/>
      <c r="AI1288" s="147"/>
      <c r="AJ1288" s="15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row>
    <row r="1289" spans="1:59" ht="15.75" customHeight="1" x14ac:dyDescent="0.2">
      <c r="A1289" s="162"/>
      <c r="B1289" s="162"/>
      <c r="C1289" s="206"/>
      <c r="D1289" s="262"/>
      <c r="E1289" s="262"/>
      <c r="F1289" s="262"/>
      <c r="G1289" s="262"/>
      <c r="H1289" s="262"/>
      <c r="I1289" s="262"/>
      <c r="J1289" s="262"/>
      <c r="K1289" s="262"/>
      <c r="L1289" s="262"/>
      <c r="M1289" s="262"/>
      <c r="N1289" s="262"/>
      <c r="O1289" s="262"/>
      <c r="P1289" s="262"/>
      <c r="Q1289" s="262"/>
      <c r="R1289" s="262"/>
      <c r="S1289" s="262"/>
      <c r="T1289" s="262"/>
      <c r="U1289" s="262"/>
      <c r="V1289" s="262"/>
      <c r="W1289" s="262"/>
      <c r="X1289" s="262"/>
      <c r="Y1289" s="262"/>
      <c r="Z1289" s="262"/>
      <c r="AA1289" s="262"/>
      <c r="AB1289" s="262"/>
      <c r="AC1289" s="262"/>
      <c r="AD1289" s="262"/>
      <c r="AE1289" s="262"/>
      <c r="AF1289" s="147"/>
      <c r="AG1289" s="147"/>
      <c r="AH1289" s="147"/>
      <c r="AI1289" s="147"/>
      <c r="AJ1289" s="225"/>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row>
    <row r="1290" spans="1:59" ht="15.75" customHeight="1" x14ac:dyDescent="0.2">
      <c r="A1290" s="162"/>
      <c r="B1290" s="162"/>
      <c r="C1290" s="206"/>
      <c r="D1290" s="262"/>
      <c r="E1290" s="262"/>
      <c r="F1290" s="262"/>
      <c r="G1290" s="262"/>
      <c r="H1290" s="262"/>
      <c r="I1290" s="262"/>
      <c r="J1290" s="262"/>
      <c r="K1290" s="262"/>
      <c r="L1290" s="262"/>
      <c r="M1290" s="262"/>
      <c r="N1290" s="262"/>
      <c r="O1290" s="262"/>
      <c r="P1290" s="262"/>
      <c r="Q1290" s="262"/>
      <c r="R1290" s="262"/>
      <c r="S1290" s="262"/>
      <c r="T1290" s="262"/>
      <c r="U1290" s="262"/>
      <c r="V1290" s="262"/>
      <c r="W1290" s="262"/>
      <c r="X1290" s="262"/>
      <c r="Y1290" s="262"/>
      <c r="Z1290" s="262"/>
      <c r="AA1290" s="262"/>
      <c r="AB1290" s="262"/>
      <c r="AC1290" s="262"/>
      <c r="AD1290" s="262"/>
      <c r="AE1290" s="262"/>
      <c r="AF1290" s="147"/>
      <c r="AG1290" s="147"/>
      <c r="AH1290" s="147"/>
      <c r="AI1290" s="147"/>
      <c r="AJ1290" s="195"/>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row>
    <row r="1291" spans="1:59" ht="15.75" customHeight="1" x14ac:dyDescent="0.2">
      <c r="A1291" s="162"/>
      <c r="B1291" s="162"/>
      <c r="C1291" s="206"/>
      <c r="D1291" s="262"/>
      <c r="E1291" s="262"/>
      <c r="F1291" s="262"/>
      <c r="G1291" s="262"/>
      <c r="H1291" s="262"/>
      <c r="I1291" s="262"/>
      <c r="J1291" s="262"/>
      <c r="K1291" s="262"/>
      <c r="L1291" s="262"/>
      <c r="M1291" s="262"/>
      <c r="N1291" s="262"/>
      <c r="O1291" s="262"/>
      <c r="P1291" s="262"/>
      <c r="Q1291" s="262"/>
      <c r="R1291" s="262"/>
      <c r="S1291" s="262"/>
      <c r="T1291" s="262"/>
      <c r="U1291" s="262"/>
      <c r="V1291" s="262"/>
      <c r="W1291" s="262"/>
      <c r="X1291" s="262"/>
      <c r="Y1291" s="262"/>
      <c r="Z1291" s="262"/>
      <c r="AA1291" s="262"/>
      <c r="AB1291" s="262"/>
      <c r="AC1291" s="262"/>
      <c r="AD1291" s="262"/>
      <c r="AE1291" s="262"/>
      <c r="AF1291" s="147"/>
      <c r="AG1291" s="147"/>
      <c r="AH1291" s="147"/>
      <c r="AI1291" s="147"/>
      <c r="AJ1291" s="195"/>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row>
    <row r="1292" spans="1:59" ht="15.75" customHeight="1" x14ac:dyDescent="0.2">
      <c r="A1292" s="162"/>
      <c r="B1292" s="162"/>
      <c r="C1292" s="206"/>
      <c r="D1292" s="262"/>
      <c r="E1292" s="262"/>
      <c r="F1292" s="262"/>
      <c r="G1292" s="262"/>
      <c r="H1292" s="262"/>
      <c r="I1292" s="262"/>
      <c r="J1292" s="262"/>
      <c r="K1292" s="262"/>
      <c r="L1292" s="262"/>
      <c r="M1292" s="262"/>
      <c r="N1292" s="262"/>
      <c r="O1292" s="262"/>
      <c r="P1292" s="262"/>
      <c r="Q1292" s="262"/>
      <c r="R1292" s="262"/>
      <c r="S1292" s="262"/>
      <c r="T1292" s="262"/>
      <c r="U1292" s="262"/>
      <c r="V1292" s="262"/>
      <c r="W1292" s="262"/>
      <c r="X1292" s="262"/>
      <c r="Y1292" s="262"/>
      <c r="Z1292" s="262"/>
      <c r="AA1292" s="262"/>
      <c r="AB1292" s="262"/>
      <c r="AC1292" s="262"/>
      <c r="AD1292" s="262"/>
      <c r="AE1292" s="262"/>
      <c r="AF1292" s="147"/>
      <c r="AG1292" s="147"/>
      <c r="AH1292" s="147"/>
      <c r="AI1292" s="147"/>
      <c r="AJ1292" s="195"/>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row>
    <row r="1293" spans="1:59" ht="15.75" customHeight="1" x14ac:dyDescent="0.2">
      <c r="A1293" s="162"/>
      <c r="B1293" s="162"/>
      <c r="C1293" s="206"/>
      <c r="D1293" s="262"/>
      <c r="E1293" s="262"/>
      <c r="F1293" s="262"/>
      <c r="G1293" s="262"/>
      <c r="H1293" s="262"/>
      <c r="I1293" s="262"/>
      <c r="J1293" s="262"/>
      <c r="K1293" s="262"/>
      <c r="L1293" s="262"/>
      <c r="M1293" s="262"/>
      <c r="N1293" s="262"/>
      <c r="O1293" s="262"/>
      <c r="P1293" s="262"/>
      <c r="Q1293" s="262"/>
      <c r="R1293" s="262"/>
      <c r="S1293" s="262"/>
      <c r="T1293" s="262"/>
      <c r="U1293" s="262"/>
      <c r="V1293" s="262"/>
      <c r="W1293" s="262"/>
      <c r="X1293" s="262"/>
      <c r="Y1293" s="262"/>
      <c r="Z1293" s="262"/>
      <c r="AA1293" s="262"/>
      <c r="AB1293" s="262"/>
      <c r="AC1293" s="262"/>
      <c r="AD1293" s="262"/>
      <c r="AE1293" s="262"/>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row>
    <row r="1294" spans="1:59" ht="15.75" customHeight="1" x14ac:dyDescent="0.2">
      <c r="A1294" s="162"/>
      <c r="B1294" s="162"/>
      <c r="C1294" s="206"/>
      <c r="D1294" s="262"/>
      <c r="E1294" s="262"/>
      <c r="F1294" s="262"/>
      <c r="G1294" s="262"/>
      <c r="H1294" s="262"/>
      <c r="I1294" s="262"/>
      <c r="J1294" s="262"/>
      <c r="K1294" s="262"/>
      <c r="L1294" s="262"/>
      <c r="M1294" s="262"/>
      <c r="N1294" s="262"/>
      <c r="O1294" s="262"/>
      <c r="P1294" s="262"/>
      <c r="Q1294" s="262"/>
      <c r="R1294" s="262"/>
      <c r="S1294" s="262"/>
      <c r="T1294" s="262"/>
      <c r="U1294" s="262"/>
      <c r="V1294" s="262"/>
      <c r="W1294" s="262"/>
      <c r="X1294" s="262"/>
      <c r="Y1294" s="262"/>
      <c r="Z1294" s="262"/>
      <c r="AA1294" s="262"/>
      <c r="AB1294" s="262"/>
      <c r="AC1294" s="262"/>
      <c r="AD1294" s="262"/>
      <c r="AE1294" s="262"/>
      <c r="AF1294" s="147"/>
      <c r="AG1294" s="147"/>
      <c r="AH1294" s="147"/>
      <c r="AI1294" s="147"/>
      <c r="AJ1294" s="195"/>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row>
    <row r="1295" spans="1:59" ht="15.75" customHeight="1" x14ac:dyDescent="0.2">
      <c r="A1295" s="162"/>
      <c r="B1295" s="162"/>
      <c r="C1295" s="206"/>
      <c r="D1295" s="262"/>
      <c r="E1295" s="262"/>
      <c r="F1295" s="262"/>
      <c r="G1295" s="262"/>
      <c r="H1295" s="262"/>
      <c r="I1295" s="262"/>
      <c r="J1295" s="262"/>
      <c r="K1295" s="262"/>
      <c r="L1295" s="262"/>
      <c r="M1295" s="262"/>
      <c r="N1295" s="262"/>
      <c r="O1295" s="262"/>
      <c r="P1295" s="262"/>
      <c r="Q1295" s="262"/>
      <c r="R1295" s="262"/>
      <c r="S1295" s="262"/>
      <c r="T1295" s="262"/>
      <c r="U1295" s="262"/>
      <c r="V1295" s="262"/>
      <c r="W1295" s="262"/>
      <c r="X1295" s="262"/>
      <c r="Y1295" s="262"/>
      <c r="Z1295" s="262"/>
      <c r="AA1295" s="262"/>
      <c r="AB1295" s="262"/>
      <c r="AC1295" s="262"/>
      <c r="AD1295" s="262"/>
      <c r="AE1295" s="262"/>
      <c r="AF1295" s="147"/>
      <c r="AG1295" s="147"/>
      <c r="AH1295" s="147"/>
      <c r="AI1295" s="147"/>
      <c r="AJ1295" s="195"/>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row>
    <row r="1296" spans="1:59" ht="15.75" customHeight="1" x14ac:dyDescent="0.2">
      <c r="A1296" s="162"/>
      <c r="B1296" s="162"/>
      <c r="C1296" s="206"/>
      <c r="D1296" s="262"/>
      <c r="E1296" s="262"/>
      <c r="F1296" s="262"/>
      <c r="G1296" s="262"/>
      <c r="H1296" s="262"/>
      <c r="I1296" s="262"/>
      <c r="J1296" s="262"/>
      <c r="K1296" s="262"/>
      <c r="L1296" s="262"/>
      <c r="M1296" s="262"/>
      <c r="N1296" s="262"/>
      <c r="O1296" s="262"/>
      <c r="P1296" s="262"/>
      <c r="Q1296" s="262"/>
      <c r="R1296" s="262"/>
      <c r="S1296" s="262"/>
      <c r="T1296" s="262"/>
      <c r="U1296" s="262"/>
      <c r="V1296" s="262"/>
      <c r="W1296" s="262"/>
      <c r="X1296" s="262"/>
      <c r="Y1296" s="262"/>
      <c r="Z1296" s="262"/>
      <c r="AA1296" s="262"/>
      <c r="AB1296" s="262"/>
      <c r="AC1296" s="262"/>
      <c r="AD1296" s="262"/>
      <c r="AE1296" s="262"/>
      <c r="AF1296" s="147"/>
      <c r="AG1296" s="147"/>
      <c r="AH1296" s="147"/>
      <c r="AI1296" s="147"/>
      <c r="AJ1296" s="195"/>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row>
    <row r="1297" spans="1:59" ht="15.75" customHeight="1" x14ac:dyDescent="0.2">
      <c r="A1297" s="162"/>
      <c r="B1297" s="162"/>
      <c r="C1297" s="206"/>
      <c r="D1297" s="262"/>
      <c r="E1297" s="262"/>
      <c r="F1297" s="262"/>
      <c r="G1297" s="262"/>
      <c r="H1297" s="262"/>
      <c r="I1297" s="262"/>
      <c r="J1297" s="262"/>
      <c r="K1297" s="262"/>
      <c r="L1297" s="262"/>
      <c r="M1297" s="262"/>
      <c r="N1297" s="262"/>
      <c r="O1297" s="262"/>
      <c r="P1297" s="262"/>
      <c r="Q1297" s="262"/>
      <c r="R1297" s="262"/>
      <c r="S1297" s="262"/>
      <c r="T1297" s="262"/>
      <c r="U1297" s="262"/>
      <c r="V1297" s="262"/>
      <c r="W1297" s="262"/>
      <c r="X1297" s="262"/>
      <c r="Y1297" s="262"/>
      <c r="Z1297" s="262"/>
      <c r="AA1297" s="262"/>
      <c r="AB1297" s="262"/>
      <c r="AC1297" s="262"/>
      <c r="AD1297" s="262"/>
      <c r="AE1297" s="262"/>
      <c r="AF1297" s="147"/>
      <c r="AG1297" s="147"/>
      <c r="AH1297" s="147"/>
      <c r="AI1297" s="147"/>
      <c r="AJ1297" s="195"/>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row>
    <row r="1298" spans="1:59" ht="15.75" customHeight="1" x14ac:dyDescent="0.2">
      <c r="A1298" s="162"/>
      <c r="B1298" s="162"/>
      <c r="C1298" s="206"/>
      <c r="D1298" s="262"/>
      <c r="E1298" s="262"/>
      <c r="F1298" s="262"/>
      <c r="G1298" s="262"/>
      <c r="H1298" s="262"/>
      <c r="I1298" s="262"/>
      <c r="J1298" s="262"/>
      <c r="K1298" s="262"/>
      <c r="L1298" s="262"/>
      <c r="M1298" s="262"/>
      <c r="N1298" s="262"/>
      <c r="O1298" s="262"/>
      <c r="P1298" s="262"/>
      <c r="Q1298" s="262"/>
      <c r="R1298" s="262"/>
      <c r="S1298" s="262"/>
      <c r="T1298" s="262"/>
      <c r="U1298" s="262"/>
      <c r="V1298" s="262"/>
      <c r="W1298" s="262"/>
      <c r="X1298" s="262"/>
      <c r="Y1298" s="262"/>
      <c r="Z1298" s="262"/>
      <c r="AA1298" s="262"/>
      <c r="AB1298" s="262"/>
      <c r="AC1298" s="262"/>
      <c r="AD1298" s="262"/>
      <c r="AE1298" s="262"/>
      <c r="AF1298" s="147"/>
      <c r="AG1298" s="147"/>
      <c r="AH1298" s="147"/>
      <c r="AI1298" s="147"/>
      <c r="AJ1298" s="195"/>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row>
    <row r="1299" spans="1:59" ht="15.75" customHeight="1" x14ac:dyDescent="0.2">
      <c r="A1299" s="162"/>
      <c r="B1299" s="162"/>
      <c r="C1299" s="206"/>
      <c r="D1299" s="262"/>
      <c r="E1299" s="262"/>
      <c r="F1299" s="262"/>
      <c r="G1299" s="262"/>
      <c r="H1299" s="262"/>
      <c r="I1299" s="262"/>
      <c r="J1299" s="262"/>
      <c r="K1299" s="262"/>
      <c r="L1299" s="262"/>
      <c r="M1299" s="262"/>
      <c r="N1299" s="262"/>
      <c r="O1299" s="262"/>
      <c r="P1299" s="262"/>
      <c r="Q1299" s="262"/>
      <c r="R1299" s="262"/>
      <c r="S1299" s="262"/>
      <c r="T1299" s="262"/>
      <c r="U1299" s="262"/>
      <c r="V1299" s="262"/>
      <c r="W1299" s="262"/>
      <c r="X1299" s="262"/>
      <c r="Y1299" s="262"/>
      <c r="Z1299" s="262"/>
      <c r="AA1299" s="262"/>
      <c r="AB1299" s="262"/>
      <c r="AC1299" s="262"/>
      <c r="AD1299" s="262"/>
      <c r="AE1299" s="262"/>
      <c r="AF1299" s="147"/>
      <c r="AG1299" s="147"/>
      <c r="AH1299" s="147"/>
      <c r="AI1299" s="147"/>
      <c r="AJ1299" s="195"/>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row>
    <row r="1300" spans="1:59" ht="15.75" customHeight="1" x14ac:dyDescent="0.2">
      <c r="A1300" s="162"/>
      <c r="B1300" s="162"/>
      <c r="C1300" s="206"/>
      <c r="D1300" s="262"/>
      <c r="E1300" s="262"/>
      <c r="F1300" s="262"/>
      <c r="G1300" s="262"/>
      <c r="H1300" s="262"/>
      <c r="I1300" s="262"/>
      <c r="J1300" s="262"/>
      <c r="K1300" s="262"/>
      <c r="L1300" s="262"/>
      <c r="M1300" s="262"/>
      <c r="N1300" s="262"/>
      <c r="O1300" s="262"/>
      <c r="P1300" s="262"/>
      <c r="Q1300" s="262"/>
      <c r="R1300" s="262"/>
      <c r="S1300" s="262"/>
      <c r="T1300" s="262"/>
      <c r="U1300" s="262"/>
      <c r="V1300" s="262"/>
      <c r="W1300" s="262"/>
      <c r="X1300" s="262"/>
      <c r="Y1300" s="262"/>
      <c r="Z1300" s="262"/>
      <c r="AA1300" s="262"/>
      <c r="AB1300" s="262"/>
      <c r="AC1300" s="262"/>
      <c r="AD1300" s="262"/>
      <c r="AE1300" s="262"/>
      <c r="AF1300" s="147"/>
      <c r="AG1300" s="147"/>
      <c r="AH1300" s="147"/>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row>
    <row r="1301" spans="1:59" ht="15.75" customHeight="1" x14ac:dyDescent="0.2">
      <c r="A1301" s="162"/>
      <c r="B1301" s="162"/>
      <c r="C1301" s="206"/>
      <c r="D1301" s="262"/>
      <c r="E1301" s="262"/>
      <c r="F1301" s="262"/>
      <c r="G1301" s="262"/>
      <c r="H1301" s="262"/>
      <c r="I1301" s="262"/>
      <c r="J1301" s="262"/>
      <c r="K1301" s="262"/>
      <c r="L1301" s="262"/>
      <c r="M1301" s="262"/>
      <c r="N1301" s="262"/>
      <c r="O1301" s="262"/>
      <c r="P1301" s="262"/>
      <c r="Q1301" s="262"/>
      <c r="R1301" s="262"/>
      <c r="S1301" s="262"/>
      <c r="T1301" s="262"/>
      <c r="U1301" s="262"/>
      <c r="V1301" s="262"/>
      <c r="W1301" s="262"/>
      <c r="X1301" s="262"/>
      <c r="Y1301" s="262"/>
      <c r="Z1301" s="262"/>
      <c r="AA1301" s="262"/>
      <c r="AB1301" s="262"/>
      <c r="AC1301" s="262"/>
      <c r="AD1301" s="262"/>
      <c r="AE1301" s="262"/>
      <c r="AF1301" s="147"/>
      <c r="AG1301" s="147"/>
      <c r="AH1301" s="147"/>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row>
    <row r="1302" spans="1:59" ht="15.75" customHeight="1" x14ac:dyDescent="0.2">
      <c r="A1302" s="162"/>
      <c r="B1302" s="162"/>
      <c r="C1302" s="206"/>
      <c r="D1302" s="262"/>
      <c r="E1302" s="262"/>
      <c r="F1302" s="262"/>
      <c r="G1302" s="262"/>
      <c r="H1302" s="262"/>
      <c r="I1302" s="262"/>
      <c r="J1302" s="262"/>
      <c r="K1302" s="262"/>
      <c r="L1302" s="262"/>
      <c r="M1302" s="262"/>
      <c r="N1302" s="262"/>
      <c r="O1302" s="262"/>
      <c r="P1302" s="262"/>
      <c r="Q1302" s="262"/>
      <c r="R1302" s="262"/>
      <c r="S1302" s="262"/>
      <c r="T1302" s="262"/>
      <c r="U1302" s="262"/>
      <c r="V1302" s="262"/>
      <c r="W1302" s="262"/>
      <c r="X1302" s="262"/>
      <c r="Y1302" s="262"/>
      <c r="Z1302" s="262"/>
      <c r="AA1302" s="262"/>
      <c r="AB1302" s="262"/>
      <c r="AC1302" s="262"/>
      <c r="AD1302" s="262"/>
      <c r="AE1302" s="262"/>
      <c r="AF1302" s="147"/>
      <c r="AG1302" s="147"/>
      <c r="AH1302" s="147"/>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row>
    <row r="1303" spans="1:59" ht="15.75" customHeight="1" x14ac:dyDescent="0.2">
      <c r="A1303" s="162"/>
      <c r="B1303" s="162"/>
      <c r="C1303" s="206"/>
      <c r="D1303" s="262"/>
      <c r="E1303" s="262"/>
      <c r="F1303" s="262"/>
      <c r="G1303" s="262"/>
      <c r="H1303" s="262"/>
      <c r="I1303" s="262"/>
      <c r="J1303" s="262"/>
      <c r="K1303" s="262"/>
      <c r="L1303" s="262"/>
      <c r="M1303" s="262"/>
      <c r="N1303" s="262"/>
      <c r="O1303" s="262"/>
      <c r="P1303" s="262"/>
      <c r="Q1303" s="262"/>
      <c r="R1303" s="262"/>
      <c r="S1303" s="262"/>
      <c r="T1303" s="262"/>
      <c r="U1303" s="262"/>
      <c r="V1303" s="262"/>
      <c r="W1303" s="262"/>
      <c r="X1303" s="262"/>
      <c r="Y1303" s="262"/>
      <c r="Z1303" s="262"/>
      <c r="AA1303" s="262"/>
      <c r="AB1303" s="262"/>
      <c r="AC1303" s="262"/>
      <c r="AD1303" s="262"/>
      <c r="AE1303" s="262"/>
      <c r="AF1303" s="147"/>
      <c r="AG1303" s="147"/>
      <c r="AH1303" s="147"/>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row>
    <row r="1304" spans="1:59" ht="15.75" customHeight="1" x14ac:dyDescent="0.2">
      <c r="A1304" s="162"/>
      <c r="B1304" s="162"/>
      <c r="C1304" s="206"/>
      <c r="D1304" s="262"/>
      <c r="E1304" s="262"/>
      <c r="F1304" s="262"/>
      <c r="G1304" s="262"/>
      <c r="H1304" s="262"/>
      <c r="I1304" s="262"/>
      <c r="J1304" s="262"/>
      <c r="K1304" s="262"/>
      <c r="L1304" s="262"/>
      <c r="M1304" s="262"/>
      <c r="N1304" s="262"/>
      <c r="O1304" s="262"/>
      <c r="P1304" s="262"/>
      <c r="Q1304" s="262"/>
      <c r="R1304" s="262"/>
      <c r="S1304" s="262"/>
      <c r="T1304" s="262"/>
      <c r="U1304" s="262"/>
      <c r="V1304" s="262"/>
      <c r="W1304" s="262"/>
      <c r="X1304" s="262"/>
      <c r="Y1304" s="262"/>
      <c r="Z1304" s="262"/>
      <c r="AA1304" s="262"/>
      <c r="AB1304" s="262"/>
      <c r="AC1304" s="262"/>
      <c r="AD1304" s="262"/>
      <c r="AE1304" s="262"/>
      <c r="AF1304" s="147"/>
      <c r="AG1304" s="147"/>
      <c r="AH1304" s="147"/>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row>
    <row r="1305" spans="1:59" ht="15.75" customHeight="1" x14ac:dyDescent="0.2">
      <c r="A1305" s="162"/>
      <c r="B1305" s="162"/>
      <c r="C1305" s="206"/>
      <c r="D1305" s="262"/>
      <c r="E1305" s="262"/>
      <c r="F1305" s="262"/>
      <c r="G1305" s="262"/>
      <c r="H1305" s="262"/>
      <c r="I1305" s="262"/>
      <c r="J1305" s="262"/>
      <c r="K1305" s="262"/>
      <c r="L1305" s="262"/>
      <c r="M1305" s="262"/>
      <c r="N1305" s="262"/>
      <c r="O1305" s="262"/>
      <c r="P1305" s="262"/>
      <c r="Q1305" s="262"/>
      <c r="R1305" s="262"/>
      <c r="S1305" s="262"/>
      <c r="T1305" s="262"/>
      <c r="U1305" s="262"/>
      <c r="V1305" s="262"/>
      <c r="W1305" s="262"/>
      <c r="X1305" s="262"/>
      <c r="Y1305" s="262"/>
      <c r="Z1305" s="262"/>
      <c r="AA1305" s="262"/>
      <c r="AB1305" s="262"/>
      <c r="AC1305" s="262"/>
      <c r="AD1305" s="262"/>
      <c r="AE1305" s="262"/>
      <c r="AF1305" s="147"/>
      <c r="AG1305" s="147"/>
      <c r="AH1305" s="147"/>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row>
    <row r="1306" spans="1:59" ht="15.75" customHeight="1" x14ac:dyDescent="0.2">
      <c r="A1306" s="162"/>
      <c r="B1306" s="162"/>
      <c r="C1306" s="206"/>
      <c r="D1306" s="262"/>
      <c r="E1306" s="262"/>
      <c r="F1306" s="262"/>
      <c r="G1306" s="262"/>
      <c r="H1306" s="262"/>
      <c r="I1306" s="262"/>
      <c r="J1306" s="262"/>
      <c r="K1306" s="262"/>
      <c r="L1306" s="262"/>
      <c r="M1306" s="262"/>
      <c r="N1306" s="262"/>
      <c r="O1306" s="262"/>
      <c r="P1306" s="262"/>
      <c r="Q1306" s="262"/>
      <c r="R1306" s="262"/>
      <c r="S1306" s="262"/>
      <c r="T1306" s="262"/>
      <c r="U1306" s="262"/>
      <c r="V1306" s="262"/>
      <c r="W1306" s="262"/>
      <c r="X1306" s="262"/>
      <c r="Y1306" s="262"/>
      <c r="Z1306" s="262"/>
      <c r="AA1306" s="262"/>
      <c r="AB1306" s="262"/>
      <c r="AC1306" s="262"/>
      <c r="AD1306" s="262"/>
      <c r="AE1306" s="262"/>
      <c r="AF1306" s="147"/>
      <c r="AG1306" s="147"/>
      <c r="AH1306" s="147"/>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row>
    <row r="1307" spans="1:59" ht="15.75" customHeight="1" x14ac:dyDescent="0.2">
      <c r="A1307" s="162"/>
      <c r="B1307" s="162"/>
      <c r="C1307" s="206"/>
      <c r="D1307" s="262"/>
      <c r="E1307" s="262"/>
      <c r="F1307" s="262"/>
      <c r="G1307" s="262"/>
      <c r="H1307" s="262"/>
      <c r="I1307" s="262"/>
      <c r="J1307" s="262"/>
      <c r="K1307" s="262"/>
      <c r="L1307" s="262"/>
      <c r="M1307" s="262"/>
      <c r="N1307" s="262"/>
      <c r="O1307" s="262"/>
      <c r="P1307" s="262"/>
      <c r="Q1307" s="262"/>
      <c r="R1307" s="262"/>
      <c r="S1307" s="262"/>
      <c r="T1307" s="262"/>
      <c r="U1307" s="262"/>
      <c r="V1307" s="262"/>
      <c r="W1307" s="262"/>
      <c r="X1307" s="262"/>
      <c r="Y1307" s="262"/>
      <c r="Z1307" s="262"/>
      <c r="AA1307" s="262"/>
      <c r="AB1307" s="262"/>
      <c r="AC1307" s="262"/>
      <c r="AD1307" s="262"/>
      <c r="AE1307" s="262"/>
      <c r="AF1307" s="147"/>
      <c r="AG1307" s="147"/>
      <c r="AH1307" s="147"/>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row>
    <row r="1308" spans="1:59" ht="15.75" customHeight="1" x14ac:dyDescent="0.2">
      <c r="A1308" s="162"/>
      <c r="B1308" s="162"/>
      <c r="C1308" s="206"/>
      <c r="D1308" s="262"/>
      <c r="E1308" s="262"/>
      <c r="F1308" s="262"/>
      <c r="G1308" s="262"/>
      <c r="H1308" s="262"/>
      <c r="I1308" s="262"/>
      <c r="J1308" s="262"/>
      <c r="K1308" s="262"/>
      <c r="L1308" s="262"/>
      <c r="M1308" s="262"/>
      <c r="N1308" s="262"/>
      <c r="O1308" s="262"/>
      <c r="P1308" s="262"/>
      <c r="Q1308" s="262"/>
      <c r="R1308" s="262"/>
      <c r="S1308" s="262"/>
      <c r="T1308" s="262"/>
      <c r="U1308" s="262"/>
      <c r="V1308" s="262"/>
      <c r="W1308" s="262"/>
      <c r="X1308" s="262"/>
      <c r="Y1308" s="262"/>
      <c r="Z1308" s="262"/>
      <c r="AA1308" s="262"/>
      <c r="AB1308" s="262"/>
      <c r="AC1308" s="262"/>
      <c r="AD1308" s="262"/>
      <c r="AE1308" s="262"/>
      <c r="AF1308" s="147"/>
      <c r="AG1308" s="147"/>
      <c r="AH1308" s="147"/>
      <c r="AI1308" s="147"/>
      <c r="AJ1308" s="209"/>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row>
    <row r="1309" spans="1:59" ht="15.75" customHeight="1" x14ac:dyDescent="0.2">
      <c r="A1309" s="162"/>
      <c r="B1309" s="162"/>
      <c r="C1309" s="206"/>
      <c r="D1309" s="262"/>
      <c r="E1309" s="262"/>
      <c r="F1309" s="262"/>
      <c r="G1309" s="262"/>
      <c r="H1309" s="262"/>
      <c r="I1309" s="262"/>
      <c r="J1309" s="262"/>
      <c r="K1309" s="262"/>
      <c r="L1309" s="262"/>
      <c r="M1309" s="262"/>
      <c r="N1309" s="262"/>
      <c r="O1309" s="262"/>
      <c r="P1309" s="262"/>
      <c r="Q1309" s="262"/>
      <c r="R1309" s="262"/>
      <c r="S1309" s="262"/>
      <c r="T1309" s="262"/>
      <c r="U1309" s="262"/>
      <c r="V1309" s="262"/>
      <c r="W1309" s="262"/>
      <c r="X1309" s="262"/>
      <c r="Y1309" s="262"/>
      <c r="Z1309" s="262"/>
      <c r="AA1309" s="262"/>
      <c r="AB1309" s="262"/>
      <c r="AC1309" s="262"/>
      <c r="AD1309" s="262"/>
      <c r="AE1309" s="262"/>
      <c r="AF1309" s="147"/>
      <c r="AG1309" s="147"/>
      <c r="AH1309" s="147"/>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row>
    <row r="1310" spans="1:59" ht="15.75" customHeight="1" x14ac:dyDescent="0.2">
      <c r="A1310" s="162"/>
      <c r="B1310" s="162"/>
      <c r="C1310" s="206"/>
      <c r="D1310" s="262"/>
      <c r="E1310" s="262"/>
      <c r="F1310" s="262"/>
      <c r="G1310" s="262"/>
      <c r="H1310" s="262"/>
      <c r="I1310" s="262"/>
      <c r="J1310" s="262"/>
      <c r="K1310" s="262"/>
      <c r="L1310" s="262"/>
      <c r="M1310" s="262"/>
      <c r="N1310" s="262"/>
      <c r="O1310" s="262"/>
      <c r="P1310" s="262"/>
      <c r="Q1310" s="262"/>
      <c r="R1310" s="262"/>
      <c r="S1310" s="262"/>
      <c r="T1310" s="262"/>
      <c r="U1310" s="262"/>
      <c r="V1310" s="262"/>
      <c r="W1310" s="262"/>
      <c r="X1310" s="262"/>
      <c r="Y1310" s="262"/>
      <c r="Z1310" s="262"/>
      <c r="AA1310" s="262"/>
      <c r="AB1310" s="262"/>
      <c r="AC1310" s="262"/>
      <c r="AD1310" s="262"/>
      <c r="AE1310" s="262"/>
      <c r="AF1310" s="147"/>
      <c r="AG1310" s="147"/>
      <c r="AH1310" s="147"/>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row>
    <row r="1311" spans="1:59" ht="15.75" customHeight="1" x14ac:dyDescent="0.2">
      <c r="A1311" s="162"/>
      <c r="B1311" s="162"/>
      <c r="C1311" s="206"/>
      <c r="D1311" s="262"/>
      <c r="E1311" s="262"/>
      <c r="F1311" s="262"/>
      <c r="G1311" s="262"/>
      <c r="H1311" s="262"/>
      <c r="I1311" s="262"/>
      <c r="J1311" s="262"/>
      <c r="K1311" s="262"/>
      <c r="L1311" s="262"/>
      <c r="M1311" s="262"/>
      <c r="N1311" s="262"/>
      <c r="O1311" s="262"/>
      <c r="P1311" s="262"/>
      <c r="Q1311" s="262"/>
      <c r="R1311" s="262"/>
      <c r="S1311" s="262"/>
      <c r="T1311" s="262"/>
      <c r="U1311" s="262"/>
      <c r="V1311" s="262"/>
      <c r="W1311" s="262"/>
      <c r="X1311" s="262"/>
      <c r="Y1311" s="262"/>
      <c r="Z1311" s="262"/>
      <c r="AA1311" s="262"/>
      <c r="AB1311" s="262"/>
      <c r="AC1311" s="262"/>
      <c r="AD1311" s="262"/>
      <c r="AE1311" s="262"/>
      <c r="AF1311" s="147"/>
      <c r="AG1311" s="147"/>
      <c r="AH1311" s="147"/>
      <c r="AI1311" s="147"/>
      <c r="AJ1311" s="189"/>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row>
    <row r="1312" spans="1:59" ht="15.75" customHeight="1" x14ac:dyDescent="0.2">
      <c r="A1312" s="162"/>
      <c r="B1312" s="162"/>
      <c r="C1312" s="206"/>
      <c r="D1312" s="262"/>
      <c r="E1312" s="262"/>
      <c r="F1312" s="262"/>
      <c r="G1312" s="262"/>
      <c r="H1312" s="262"/>
      <c r="I1312" s="262"/>
      <c r="J1312" s="262"/>
      <c r="K1312" s="262"/>
      <c r="L1312" s="262"/>
      <c r="M1312" s="262"/>
      <c r="N1312" s="262"/>
      <c r="O1312" s="262"/>
      <c r="P1312" s="262"/>
      <c r="Q1312" s="262"/>
      <c r="R1312" s="262"/>
      <c r="S1312" s="262"/>
      <c r="T1312" s="262"/>
      <c r="U1312" s="262"/>
      <c r="V1312" s="262"/>
      <c r="W1312" s="262"/>
      <c r="X1312" s="262"/>
      <c r="Y1312" s="262"/>
      <c r="Z1312" s="262"/>
      <c r="AA1312" s="262"/>
      <c r="AB1312" s="262"/>
      <c r="AC1312" s="262"/>
      <c r="AD1312" s="262"/>
      <c r="AE1312" s="262"/>
      <c r="AF1312" s="147"/>
      <c r="AG1312" s="147"/>
      <c r="AH1312" s="147"/>
      <c r="AI1312" s="147"/>
      <c r="AJ1312" s="189"/>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row>
    <row r="1313" spans="1:59" ht="15.75" customHeight="1" x14ac:dyDescent="0.2">
      <c r="A1313" s="162"/>
      <c r="B1313" s="162"/>
      <c r="C1313" s="206"/>
      <c r="D1313" s="262"/>
      <c r="E1313" s="262"/>
      <c r="F1313" s="262"/>
      <c r="G1313" s="262"/>
      <c r="H1313" s="262"/>
      <c r="I1313" s="262"/>
      <c r="J1313" s="262"/>
      <c r="K1313" s="262"/>
      <c r="L1313" s="262"/>
      <c r="M1313" s="262"/>
      <c r="N1313" s="262"/>
      <c r="O1313" s="262"/>
      <c r="P1313" s="262"/>
      <c r="Q1313" s="262"/>
      <c r="R1313" s="262"/>
      <c r="S1313" s="262"/>
      <c r="T1313" s="262"/>
      <c r="U1313" s="262"/>
      <c r="V1313" s="262"/>
      <c r="W1313" s="262"/>
      <c r="X1313" s="262"/>
      <c r="Y1313" s="262"/>
      <c r="Z1313" s="262"/>
      <c r="AA1313" s="262"/>
      <c r="AB1313" s="262"/>
      <c r="AC1313" s="262"/>
      <c r="AD1313" s="262"/>
      <c r="AE1313" s="262"/>
      <c r="AF1313" s="147"/>
      <c r="AG1313" s="147"/>
      <c r="AH1313" s="147"/>
      <c r="AI1313" s="147"/>
      <c r="AJ1313" s="195"/>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row>
    <row r="1314" spans="1:59" ht="15.75" customHeight="1" x14ac:dyDescent="0.2">
      <c r="A1314" s="162"/>
      <c r="B1314" s="162"/>
      <c r="C1314" s="206"/>
      <c r="D1314" s="262"/>
      <c r="E1314" s="262"/>
      <c r="F1314" s="262"/>
      <c r="G1314" s="262"/>
      <c r="H1314" s="262"/>
      <c r="I1314" s="262"/>
      <c r="J1314" s="262"/>
      <c r="K1314" s="262"/>
      <c r="L1314" s="262"/>
      <c r="M1314" s="262"/>
      <c r="N1314" s="262"/>
      <c r="O1314" s="262"/>
      <c r="P1314" s="262"/>
      <c r="Q1314" s="262"/>
      <c r="R1314" s="262"/>
      <c r="S1314" s="262"/>
      <c r="T1314" s="262"/>
      <c r="U1314" s="262"/>
      <c r="V1314" s="262"/>
      <c r="W1314" s="262"/>
      <c r="X1314" s="262"/>
      <c r="Y1314" s="262"/>
      <c r="Z1314" s="262"/>
      <c r="AA1314" s="262"/>
      <c r="AB1314" s="262"/>
      <c r="AC1314" s="262"/>
      <c r="AD1314" s="262"/>
      <c r="AE1314" s="262"/>
      <c r="AF1314" s="147"/>
      <c r="AG1314" s="147"/>
      <c r="AH1314" s="147"/>
      <c r="AI1314" s="147"/>
      <c r="AJ1314" s="189"/>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row>
    <row r="1315" spans="1:59" ht="15.75" customHeight="1" x14ac:dyDescent="0.2">
      <c r="A1315" s="162"/>
      <c r="B1315" s="162"/>
      <c r="C1315" s="206"/>
      <c r="D1315" s="262"/>
      <c r="E1315" s="262"/>
      <c r="F1315" s="262"/>
      <c r="G1315" s="262"/>
      <c r="H1315" s="262"/>
      <c r="I1315" s="262"/>
      <c r="J1315" s="262"/>
      <c r="K1315" s="262"/>
      <c r="L1315" s="262"/>
      <c r="M1315" s="262"/>
      <c r="N1315" s="262"/>
      <c r="O1315" s="262"/>
      <c r="P1315" s="262"/>
      <c r="Q1315" s="262"/>
      <c r="R1315" s="262"/>
      <c r="S1315" s="262"/>
      <c r="T1315" s="262"/>
      <c r="U1315" s="262"/>
      <c r="V1315" s="262"/>
      <c r="W1315" s="262"/>
      <c r="X1315" s="262"/>
      <c r="Y1315" s="262"/>
      <c r="Z1315" s="262"/>
      <c r="AA1315" s="262"/>
      <c r="AB1315" s="262"/>
      <c r="AC1315" s="262"/>
      <c r="AD1315" s="262"/>
      <c r="AE1315" s="262"/>
      <c r="AF1315" s="147"/>
      <c r="AG1315" s="147"/>
      <c r="AH1315" s="147"/>
      <c r="AI1315" s="147"/>
      <c r="AJ1315" s="189"/>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row>
    <row r="1316" spans="1:59" ht="15.75" customHeight="1" x14ac:dyDescent="0.2">
      <c r="A1316" s="162"/>
      <c r="B1316" s="162"/>
      <c r="C1316" s="206"/>
      <c r="D1316" s="262"/>
      <c r="E1316" s="262"/>
      <c r="F1316" s="262"/>
      <c r="G1316" s="262"/>
      <c r="H1316" s="262"/>
      <c r="I1316" s="262"/>
      <c r="J1316" s="262"/>
      <c r="K1316" s="262"/>
      <c r="L1316" s="262"/>
      <c r="M1316" s="262"/>
      <c r="N1316" s="262"/>
      <c r="O1316" s="262"/>
      <c r="P1316" s="262"/>
      <c r="Q1316" s="262"/>
      <c r="R1316" s="262"/>
      <c r="S1316" s="262"/>
      <c r="T1316" s="262"/>
      <c r="U1316" s="262"/>
      <c r="V1316" s="262"/>
      <c r="W1316" s="262"/>
      <c r="X1316" s="262"/>
      <c r="Y1316" s="262"/>
      <c r="Z1316" s="262"/>
      <c r="AA1316" s="262"/>
      <c r="AB1316" s="262"/>
      <c r="AC1316" s="262"/>
      <c r="AD1316" s="262"/>
      <c r="AE1316" s="262"/>
      <c r="AF1316" s="147"/>
      <c r="AG1316" s="147"/>
      <c r="AH1316" s="147"/>
      <c r="AI1316" s="147"/>
      <c r="AJ1316" s="189"/>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row>
    <row r="1317" spans="1:59" ht="15.75" customHeight="1" x14ac:dyDescent="0.2">
      <c r="A1317" s="162"/>
      <c r="B1317" s="162"/>
      <c r="C1317" s="206"/>
      <c r="D1317" s="262"/>
      <c r="E1317" s="262"/>
      <c r="F1317" s="262"/>
      <c r="G1317" s="262"/>
      <c r="H1317" s="262"/>
      <c r="I1317" s="262"/>
      <c r="J1317" s="262"/>
      <c r="K1317" s="262"/>
      <c r="L1317" s="262"/>
      <c r="M1317" s="262"/>
      <c r="N1317" s="262"/>
      <c r="O1317" s="262"/>
      <c r="P1317" s="262"/>
      <c r="Q1317" s="262"/>
      <c r="R1317" s="262"/>
      <c r="S1317" s="262"/>
      <c r="T1317" s="262"/>
      <c r="U1317" s="262"/>
      <c r="V1317" s="262"/>
      <c r="W1317" s="262"/>
      <c r="X1317" s="262"/>
      <c r="Y1317" s="262"/>
      <c r="Z1317" s="262"/>
      <c r="AA1317" s="262"/>
      <c r="AB1317" s="262"/>
      <c r="AC1317" s="262"/>
      <c r="AD1317" s="262"/>
      <c r="AE1317" s="262"/>
      <c r="AF1317" s="147"/>
      <c r="AG1317" s="147"/>
      <c r="AH1317" s="147"/>
      <c r="AI1317" s="147"/>
      <c r="AJ1317" s="195"/>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row>
    <row r="1318" spans="1:59" ht="15.75" customHeight="1" x14ac:dyDescent="0.2">
      <c r="A1318" s="162"/>
      <c r="B1318" s="162"/>
      <c r="C1318" s="206"/>
      <c r="D1318" s="262"/>
      <c r="E1318" s="262"/>
      <c r="F1318" s="262"/>
      <c r="G1318" s="262"/>
      <c r="H1318" s="262"/>
      <c r="I1318" s="262"/>
      <c r="J1318" s="262"/>
      <c r="K1318" s="262"/>
      <c r="L1318" s="262"/>
      <c r="M1318" s="262"/>
      <c r="N1318" s="262"/>
      <c r="O1318" s="262"/>
      <c r="P1318" s="262"/>
      <c r="Q1318" s="262"/>
      <c r="R1318" s="262"/>
      <c r="S1318" s="262"/>
      <c r="T1318" s="262"/>
      <c r="U1318" s="262"/>
      <c r="V1318" s="262"/>
      <c r="W1318" s="262"/>
      <c r="X1318" s="262"/>
      <c r="Y1318" s="262"/>
      <c r="Z1318" s="262"/>
      <c r="AA1318" s="262"/>
      <c r="AB1318" s="262"/>
      <c r="AC1318" s="262"/>
      <c r="AD1318" s="262"/>
      <c r="AE1318" s="262"/>
      <c r="AF1318" s="147"/>
      <c r="AG1318" s="147"/>
      <c r="AH1318" s="147"/>
      <c r="AI1318" s="147"/>
      <c r="AJ1318" s="195"/>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row>
    <row r="1319" spans="1:59" ht="15.75" customHeight="1" x14ac:dyDescent="0.2">
      <c r="A1319" s="162"/>
      <c r="B1319" s="162"/>
      <c r="C1319" s="206"/>
      <c r="D1319" s="262"/>
      <c r="E1319" s="262"/>
      <c r="F1319" s="262"/>
      <c r="G1319" s="262"/>
      <c r="H1319" s="262"/>
      <c r="I1319" s="262"/>
      <c r="J1319" s="262"/>
      <c r="K1319" s="262"/>
      <c r="L1319" s="262"/>
      <c r="M1319" s="262"/>
      <c r="N1319" s="262"/>
      <c r="O1319" s="262"/>
      <c r="P1319" s="262"/>
      <c r="Q1319" s="262"/>
      <c r="R1319" s="262"/>
      <c r="S1319" s="262"/>
      <c r="T1319" s="262"/>
      <c r="U1319" s="262"/>
      <c r="V1319" s="262"/>
      <c r="W1319" s="262"/>
      <c r="X1319" s="262"/>
      <c r="Y1319" s="262"/>
      <c r="Z1319" s="262"/>
      <c r="AA1319" s="262"/>
      <c r="AB1319" s="262"/>
      <c r="AC1319" s="262"/>
      <c r="AD1319" s="262"/>
      <c r="AE1319" s="262"/>
      <c r="AF1319" s="147"/>
      <c r="AG1319" s="147"/>
      <c r="AH1319" s="147"/>
      <c r="AI1319" s="147"/>
      <c r="AJ1319" s="189"/>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row>
    <row r="1320" spans="1:59" ht="15.75" customHeight="1" x14ac:dyDescent="0.2">
      <c r="A1320" s="162"/>
      <c r="B1320" s="162"/>
      <c r="C1320" s="206"/>
      <c r="D1320" s="262"/>
      <c r="E1320" s="262"/>
      <c r="F1320" s="262"/>
      <c r="G1320" s="262"/>
      <c r="H1320" s="262"/>
      <c r="I1320" s="262"/>
      <c r="J1320" s="262"/>
      <c r="K1320" s="262"/>
      <c r="L1320" s="262"/>
      <c r="M1320" s="262"/>
      <c r="N1320" s="262"/>
      <c r="O1320" s="262"/>
      <c r="P1320" s="262"/>
      <c r="Q1320" s="262"/>
      <c r="R1320" s="262"/>
      <c r="S1320" s="262"/>
      <c r="T1320" s="262"/>
      <c r="U1320" s="262"/>
      <c r="V1320" s="262"/>
      <c r="W1320" s="262"/>
      <c r="X1320" s="262"/>
      <c r="Y1320" s="262"/>
      <c r="Z1320" s="262"/>
      <c r="AA1320" s="262"/>
      <c r="AB1320" s="262"/>
      <c r="AC1320" s="262"/>
      <c r="AD1320" s="262"/>
      <c r="AE1320" s="262"/>
      <c r="AF1320" s="147"/>
      <c r="AG1320" s="147"/>
      <c r="AH1320" s="147"/>
      <c r="AI1320" s="147"/>
      <c r="AJ1320" s="189"/>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row>
    <row r="1321" spans="1:59" ht="15.75" customHeight="1" x14ac:dyDescent="0.2">
      <c r="A1321" s="162"/>
      <c r="B1321" s="162"/>
      <c r="C1321" s="206"/>
      <c r="D1321" s="262"/>
      <c r="E1321" s="262"/>
      <c r="F1321" s="262"/>
      <c r="G1321" s="262"/>
      <c r="H1321" s="262"/>
      <c r="I1321" s="262"/>
      <c r="J1321" s="262"/>
      <c r="K1321" s="262"/>
      <c r="L1321" s="262"/>
      <c r="M1321" s="262"/>
      <c r="N1321" s="262"/>
      <c r="O1321" s="262"/>
      <c r="P1321" s="262"/>
      <c r="Q1321" s="262"/>
      <c r="R1321" s="262"/>
      <c r="S1321" s="262"/>
      <c r="T1321" s="262"/>
      <c r="U1321" s="262"/>
      <c r="V1321" s="262"/>
      <c r="W1321" s="262"/>
      <c r="X1321" s="262"/>
      <c r="Y1321" s="262"/>
      <c r="Z1321" s="262"/>
      <c r="AA1321" s="262"/>
      <c r="AB1321" s="262"/>
      <c r="AC1321" s="262"/>
      <c r="AD1321" s="262"/>
      <c r="AE1321" s="262"/>
      <c r="AF1321" s="147"/>
      <c r="AG1321" s="147"/>
      <c r="AH1321" s="147"/>
      <c r="AI1321" s="147"/>
      <c r="AJ1321" s="189"/>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row>
    <row r="1322" spans="1:59" ht="15.75" customHeight="1" x14ac:dyDescent="0.2">
      <c r="A1322" s="162"/>
      <c r="B1322" s="162"/>
      <c r="C1322" s="206"/>
      <c r="D1322" s="262"/>
      <c r="E1322" s="262"/>
      <c r="F1322" s="262"/>
      <c r="G1322" s="262"/>
      <c r="H1322" s="262"/>
      <c r="I1322" s="262"/>
      <c r="J1322" s="262"/>
      <c r="K1322" s="262"/>
      <c r="L1322" s="262"/>
      <c r="M1322" s="262"/>
      <c r="N1322" s="262"/>
      <c r="O1322" s="262"/>
      <c r="P1322" s="262"/>
      <c r="Q1322" s="262"/>
      <c r="R1322" s="262"/>
      <c r="S1322" s="262"/>
      <c r="T1322" s="262"/>
      <c r="U1322" s="262"/>
      <c r="V1322" s="262"/>
      <c r="W1322" s="262"/>
      <c r="X1322" s="262"/>
      <c r="Y1322" s="262"/>
      <c r="Z1322" s="262"/>
      <c r="AA1322" s="262"/>
      <c r="AB1322" s="262"/>
      <c r="AC1322" s="262"/>
      <c r="AD1322" s="262"/>
      <c r="AE1322" s="262"/>
      <c r="AF1322" s="147"/>
      <c r="AG1322" s="147"/>
      <c r="AH1322" s="147"/>
      <c r="AI1322" s="147"/>
      <c r="AJ1322" s="189"/>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row>
    <row r="1323" spans="1:59" ht="15.75" customHeight="1" x14ac:dyDescent="0.2">
      <c r="A1323" s="162"/>
      <c r="B1323" s="162"/>
      <c r="C1323" s="206"/>
      <c r="D1323" s="262"/>
      <c r="E1323" s="262"/>
      <c r="F1323" s="262"/>
      <c r="G1323" s="262"/>
      <c r="H1323" s="262"/>
      <c r="I1323" s="262"/>
      <c r="J1323" s="262"/>
      <c r="K1323" s="262"/>
      <c r="L1323" s="262"/>
      <c r="M1323" s="262"/>
      <c r="N1323" s="262"/>
      <c r="O1323" s="262"/>
      <c r="P1323" s="262"/>
      <c r="Q1323" s="262"/>
      <c r="R1323" s="262"/>
      <c r="S1323" s="262"/>
      <c r="T1323" s="262"/>
      <c r="U1323" s="262"/>
      <c r="V1323" s="262"/>
      <c r="W1323" s="262"/>
      <c r="X1323" s="262"/>
      <c r="Y1323" s="262"/>
      <c r="Z1323" s="262"/>
      <c r="AA1323" s="262"/>
      <c r="AB1323" s="262"/>
      <c r="AC1323" s="262"/>
      <c r="AD1323" s="262"/>
      <c r="AE1323" s="262"/>
      <c r="AF1323" s="147"/>
      <c r="AG1323" s="147"/>
      <c r="AH1323" s="147"/>
      <c r="AI1323" s="147"/>
      <c r="AJ1323" s="189"/>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row>
    <row r="1324" spans="1:59" ht="15.75" customHeight="1" x14ac:dyDescent="0.2">
      <c r="A1324" s="162"/>
      <c r="B1324" s="162"/>
      <c r="C1324" s="206"/>
      <c r="D1324" s="262"/>
      <c r="E1324" s="262"/>
      <c r="F1324" s="262"/>
      <c r="G1324" s="262"/>
      <c r="H1324" s="262"/>
      <c r="I1324" s="262"/>
      <c r="J1324" s="262"/>
      <c r="K1324" s="262"/>
      <c r="L1324" s="262"/>
      <c r="M1324" s="262"/>
      <c r="N1324" s="262"/>
      <c r="O1324" s="262"/>
      <c r="P1324" s="262"/>
      <c r="Q1324" s="262"/>
      <c r="R1324" s="262"/>
      <c r="S1324" s="262"/>
      <c r="T1324" s="262"/>
      <c r="U1324" s="262"/>
      <c r="V1324" s="262"/>
      <c r="W1324" s="262"/>
      <c r="X1324" s="262"/>
      <c r="Y1324" s="262"/>
      <c r="Z1324" s="262"/>
      <c r="AA1324" s="262"/>
      <c r="AB1324" s="262"/>
      <c r="AC1324" s="262"/>
      <c r="AD1324" s="262"/>
      <c r="AE1324" s="262"/>
      <c r="AF1324" s="147"/>
      <c r="AG1324" s="147"/>
      <c r="AH1324" s="147"/>
      <c r="AI1324" s="147"/>
      <c r="AJ1324" s="195"/>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row>
    <row r="1325" spans="1:59" ht="15.75" customHeight="1" x14ac:dyDescent="0.2">
      <c r="A1325" s="162"/>
      <c r="B1325" s="162"/>
      <c r="C1325" s="206"/>
      <c r="D1325" s="262"/>
      <c r="E1325" s="262"/>
      <c r="F1325" s="262"/>
      <c r="G1325" s="262"/>
      <c r="H1325" s="262"/>
      <c r="I1325" s="262"/>
      <c r="J1325" s="262"/>
      <c r="K1325" s="262"/>
      <c r="L1325" s="262"/>
      <c r="M1325" s="262"/>
      <c r="N1325" s="262"/>
      <c r="O1325" s="262"/>
      <c r="P1325" s="262"/>
      <c r="Q1325" s="262"/>
      <c r="R1325" s="262"/>
      <c r="S1325" s="262"/>
      <c r="T1325" s="262"/>
      <c r="U1325" s="262"/>
      <c r="V1325" s="262"/>
      <c r="W1325" s="262"/>
      <c r="X1325" s="262"/>
      <c r="Y1325" s="262"/>
      <c r="Z1325" s="262"/>
      <c r="AA1325" s="262"/>
      <c r="AB1325" s="262"/>
      <c r="AC1325" s="262"/>
      <c r="AD1325" s="262"/>
      <c r="AE1325" s="262"/>
      <c r="AF1325" s="147"/>
      <c r="AG1325" s="147"/>
      <c r="AH1325" s="147"/>
      <c r="AI1325" s="147"/>
      <c r="AJ1325" s="189"/>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row>
    <row r="1326" spans="1:59" ht="15.75" customHeight="1" x14ac:dyDescent="0.2">
      <c r="A1326" s="162"/>
      <c r="B1326" s="162"/>
      <c r="C1326" s="206"/>
      <c r="D1326" s="262"/>
      <c r="E1326" s="262"/>
      <c r="F1326" s="262"/>
      <c r="G1326" s="262"/>
      <c r="H1326" s="262"/>
      <c r="I1326" s="262"/>
      <c r="J1326" s="262"/>
      <c r="K1326" s="262"/>
      <c r="L1326" s="262"/>
      <c r="M1326" s="262"/>
      <c r="N1326" s="262"/>
      <c r="O1326" s="262"/>
      <c r="P1326" s="262"/>
      <c r="Q1326" s="262"/>
      <c r="R1326" s="262"/>
      <c r="S1326" s="262"/>
      <c r="T1326" s="262"/>
      <c r="U1326" s="262"/>
      <c r="V1326" s="262"/>
      <c r="W1326" s="262"/>
      <c r="X1326" s="262"/>
      <c r="Y1326" s="262"/>
      <c r="Z1326" s="262"/>
      <c r="AA1326" s="262"/>
      <c r="AB1326" s="262"/>
      <c r="AC1326" s="262"/>
      <c r="AD1326" s="262"/>
      <c r="AE1326" s="262"/>
      <c r="AF1326" s="147"/>
      <c r="AG1326" s="147"/>
      <c r="AH1326" s="147"/>
      <c r="AI1326" s="147"/>
      <c r="AJ1326" s="189"/>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row>
    <row r="1327" spans="1:59" ht="15.75" customHeight="1" x14ac:dyDescent="0.2">
      <c r="A1327" s="162"/>
      <c r="B1327" s="162"/>
      <c r="C1327" s="206"/>
      <c r="D1327" s="262"/>
      <c r="E1327" s="262"/>
      <c r="F1327" s="262"/>
      <c r="G1327" s="262"/>
      <c r="H1327" s="262"/>
      <c r="I1327" s="262"/>
      <c r="J1327" s="262"/>
      <c r="K1327" s="262"/>
      <c r="L1327" s="262"/>
      <c r="M1327" s="262"/>
      <c r="N1327" s="262"/>
      <c r="O1327" s="262"/>
      <c r="P1327" s="262"/>
      <c r="Q1327" s="262"/>
      <c r="R1327" s="262"/>
      <c r="S1327" s="262"/>
      <c r="T1327" s="262"/>
      <c r="U1327" s="262"/>
      <c r="V1327" s="262"/>
      <c r="W1327" s="262"/>
      <c r="X1327" s="262"/>
      <c r="Y1327" s="262"/>
      <c r="Z1327" s="262"/>
      <c r="AA1327" s="262"/>
      <c r="AB1327" s="262"/>
      <c r="AC1327" s="262"/>
      <c r="AD1327" s="262"/>
      <c r="AE1327" s="262"/>
      <c r="AF1327" s="147"/>
      <c r="AG1327" s="147"/>
      <c r="AH1327" s="147"/>
      <c r="AI1327" s="147"/>
      <c r="AJ1327" s="84"/>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row>
    <row r="1328" spans="1:59" ht="15.75" customHeight="1" x14ac:dyDescent="0.2">
      <c r="A1328" s="162"/>
      <c r="B1328" s="162"/>
      <c r="C1328" s="206"/>
      <c r="D1328" s="262"/>
      <c r="E1328" s="262"/>
      <c r="F1328" s="262"/>
      <c r="G1328" s="262"/>
      <c r="H1328" s="262"/>
      <c r="I1328" s="262"/>
      <c r="J1328" s="262"/>
      <c r="K1328" s="262"/>
      <c r="L1328" s="262"/>
      <c r="M1328" s="262"/>
      <c r="N1328" s="262"/>
      <c r="O1328" s="262"/>
      <c r="P1328" s="262"/>
      <c r="Q1328" s="262"/>
      <c r="R1328" s="262"/>
      <c r="S1328" s="262"/>
      <c r="T1328" s="262"/>
      <c r="U1328" s="262"/>
      <c r="V1328" s="262"/>
      <c r="W1328" s="262"/>
      <c r="X1328" s="262"/>
      <c r="Y1328" s="262"/>
      <c r="Z1328" s="262"/>
      <c r="AA1328" s="262"/>
      <c r="AB1328" s="262"/>
      <c r="AC1328" s="262"/>
      <c r="AD1328" s="262"/>
      <c r="AE1328" s="262"/>
      <c r="AF1328" s="147"/>
      <c r="AG1328" s="147"/>
      <c r="AH1328" s="147"/>
      <c r="AI1328" s="147"/>
      <c r="AJ1328" s="84"/>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row>
    <row r="1329" spans="1:59" ht="15.75" customHeight="1" x14ac:dyDescent="0.2">
      <c r="A1329" s="162"/>
      <c r="B1329" s="162"/>
      <c r="C1329" s="206"/>
      <c r="D1329" s="262"/>
      <c r="E1329" s="262"/>
      <c r="F1329" s="262"/>
      <c r="G1329" s="262"/>
      <c r="H1329" s="262"/>
      <c r="I1329" s="262"/>
      <c r="J1329" s="262"/>
      <c r="K1329" s="262"/>
      <c r="L1329" s="262"/>
      <c r="M1329" s="262"/>
      <c r="N1329" s="262"/>
      <c r="O1329" s="262"/>
      <c r="P1329" s="262"/>
      <c r="Q1329" s="262"/>
      <c r="R1329" s="262"/>
      <c r="S1329" s="262"/>
      <c r="T1329" s="262"/>
      <c r="U1329" s="262"/>
      <c r="V1329" s="262"/>
      <c r="W1329" s="262"/>
      <c r="X1329" s="262"/>
      <c r="Y1329" s="262"/>
      <c r="Z1329" s="262"/>
      <c r="AA1329" s="262"/>
      <c r="AB1329" s="262"/>
      <c r="AC1329" s="262"/>
      <c r="AD1329" s="262"/>
      <c r="AE1329" s="262"/>
      <c r="AF1329" s="147"/>
      <c r="AG1329" s="147"/>
      <c r="AH1329" s="147"/>
      <c r="AI1329" s="147"/>
      <c r="AJ1329" s="189"/>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row>
    <row r="1330" spans="1:59" ht="15.75" customHeight="1" x14ac:dyDescent="0.2">
      <c r="A1330" s="162"/>
      <c r="B1330" s="162"/>
      <c r="C1330" s="206"/>
      <c r="D1330" s="262"/>
      <c r="E1330" s="262"/>
      <c r="F1330" s="262"/>
      <c r="G1330" s="262"/>
      <c r="H1330" s="262"/>
      <c r="I1330" s="262"/>
      <c r="J1330" s="262"/>
      <c r="K1330" s="262"/>
      <c r="L1330" s="262"/>
      <c r="M1330" s="262"/>
      <c r="N1330" s="262"/>
      <c r="O1330" s="262"/>
      <c r="P1330" s="262"/>
      <c r="Q1330" s="262"/>
      <c r="R1330" s="262"/>
      <c r="S1330" s="262"/>
      <c r="T1330" s="262"/>
      <c r="U1330" s="262"/>
      <c r="V1330" s="262"/>
      <c r="W1330" s="262"/>
      <c r="X1330" s="262"/>
      <c r="Y1330" s="262"/>
      <c r="Z1330" s="262"/>
      <c r="AA1330" s="262"/>
      <c r="AB1330" s="262"/>
      <c r="AC1330" s="262"/>
      <c r="AD1330" s="262"/>
      <c r="AE1330" s="262"/>
      <c r="AF1330" s="147"/>
      <c r="AG1330" s="147"/>
      <c r="AH1330" s="147"/>
      <c r="AI1330" s="147"/>
      <c r="AJ1330" s="189"/>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row>
    <row r="1331" spans="1:59" ht="15.75" customHeight="1" x14ac:dyDescent="0.2">
      <c r="A1331" s="162"/>
      <c r="B1331" s="162"/>
      <c r="C1331" s="206"/>
      <c r="D1331" s="262"/>
      <c r="E1331" s="262"/>
      <c r="F1331" s="262"/>
      <c r="G1331" s="262"/>
      <c r="H1331" s="262"/>
      <c r="I1331" s="262"/>
      <c r="J1331" s="262"/>
      <c r="K1331" s="262"/>
      <c r="L1331" s="262"/>
      <c r="M1331" s="262"/>
      <c r="N1331" s="262"/>
      <c r="O1331" s="262"/>
      <c r="P1331" s="262"/>
      <c r="Q1331" s="262"/>
      <c r="R1331" s="262"/>
      <c r="S1331" s="262"/>
      <c r="T1331" s="262"/>
      <c r="U1331" s="262"/>
      <c r="V1331" s="262"/>
      <c r="W1331" s="262"/>
      <c r="X1331" s="262"/>
      <c r="Y1331" s="262"/>
      <c r="Z1331" s="262"/>
      <c r="AA1331" s="262"/>
      <c r="AB1331" s="262"/>
      <c r="AC1331" s="262"/>
      <c r="AD1331" s="262"/>
      <c r="AE1331" s="262"/>
      <c r="AF1331" s="147"/>
      <c r="AG1331" s="147"/>
      <c r="AH1331" s="147"/>
      <c r="AI1331" s="147"/>
      <c r="AJ1331" s="195"/>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row>
    <row r="1332" spans="1:59" ht="15.75" customHeight="1" x14ac:dyDescent="0.2">
      <c r="A1332" s="162"/>
      <c r="B1332" s="162"/>
      <c r="C1332" s="206"/>
      <c r="D1332" s="262"/>
      <c r="E1332" s="262"/>
      <c r="F1332" s="262"/>
      <c r="G1332" s="262"/>
      <c r="H1332" s="262"/>
      <c r="I1332" s="262"/>
      <c r="J1332" s="262"/>
      <c r="K1332" s="262"/>
      <c r="L1332" s="262"/>
      <c r="M1332" s="262"/>
      <c r="N1332" s="262"/>
      <c r="O1332" s="262"/>
      <c r="P1332" s="262"/>
      <c r="Q1332" s="262"/>
      <c r="R1332" s="262"/>
      <c r="S1332" s="262"/>
      <c r="T1332" s="262"/>
      <c r="U1332" s="262"/>
      <c r="V1332" s="262"/>
      <c r="W1332" s="262"/>
      <c r="X1332" s="262"/>
      <c r="Y1332" s="262"/>
      <c r="Z1332" s="262"/>
      <c r="AA1332" s="262"/>
      <c r="AB1332" s="262"/>
      <c r="AC1332" s="262"/>
      <c r="AD1332" s="262"/>
      <c r="AE1332" s="262"/>
      <c r="AF1332" s="147"/>
      <c r="AG1332" s="147"/>
      <c r="AH1332" s="147"/>
      <c r="AI1332" s="147"/>
      <c r="AJ1332" s="189"/>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row>
    <row r="1333" spans="1:59" ht="15.75" customHeight="1" x14ac:dyDescent="0.2">
      <c r="A1333" s="162"/>
      <c r="B1333" s="162"/>
      <c r="C1333" s="206"/>
      <c r="D1333" s="262"/>
      <c r="E1333" s="262"/>
      <c r="F1333" s="262"/>
      <c r="G1333" s="262"/>
      <c r="H1333" s="262"/>
      <c r="I1333" s="262"/>
      <c r="J1333" s="262"/>
      <c r="K1333" s="262"/>
      <c r="L1333" s="262"/>
      <c r="M1333" s="262"/>
      <c r="N1333" s="262"/>
      <c r="O1333" s="262"/>
      <c r="P1333" s="262"/>
      <c r="Q1333" s="262"/>
      <c r="R1333" s="262"/>
      <c r="S1333" s="262"/>
      <c r="T1333" s="262"/>
      <c r="U1333" s="262"/>
      <c r="V1333" s="262"/>
      <c r="W1333" s="262"/>
      <c r="X1333" s="262"/>
      <c r="Y1333" s="262"/>
      <c r="Z1333" s="262"/>
      <c r="AA1333" s="262"/>
      <c r="AB1333" s="262"/>
      <c r="AC1333" s="262"/>
      <c r="AD1333" s="262"/>
      <c r="AE1333" s="262"/>
      <c r="AF1333" s="147"/>
      <c r="AG1333" s="147"/>
      <c r="AH1333" s="147"/>
      <c r="AI1333" s="147"/>
      <c r="AJ1333" s="189"/>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row>
    <row r="1334" spans="1:59" ht="15.75" customHeight="1" x14ac:dyDescent="0.2">
      <c r="A1334" s="162"/>
      <c r="B1334" s="162"/>
      <c r="C1334" s="206"/>
      <c r="D1334" s="262"/>
      <c r="E1334" s="262"/>
      <c r="F1334" s="262"/>
      <c r="G1334" s="262"/>
      <c r="H1334" s="262"/>
      <c r="I1334" s="262"/>
      <c r="J1334" s="262"/>
      <c r="K1334" s="262"/>
      <c r="L1334" s="262"/>
      <c r="M1334" s="262"/>
      <c r="N1334" s="262"/>
      <c r="O1334" s="262"/>
      <c r="P1334" s="262"/>
      <c r="Q1334" s="262"/>
      <c r="R1334" s="262"/>
      <c r="S1334" s="262"/>
      <c r="T1334" s="262"/>
      <c r="U1334" s="262"/>
      <c r="V1334" s="262"/>
      <c r="W1334" s="262"/>
      <c r="X1334" s="262"/>
      <c r="Y1334" s="262"/>
      <c r="Z1334" s="262"/>
      <c r="AA1334" s="262"/>
      <c r="AB1334" s="262"/>
      <c r="AC1334" s="262"/>
      <c r="AD1334" s="262"/>
      <c r="AE1334" s="262"/>
      <c r="AF1334" s="147"/>
      <c r="AG1334" s="147"/>
      <c r="AH1334" s="147"/>
      <c r="AI1334" s="147"/>
      <c r="AJ1334" s="189"/>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row>
    <row r="1335" spans="1:59" ht="15.75" customHeight="1" x14ac:dyDescent="0.2">
      <c r="A1335" s="162"/>
      <c r="B1335" s="162"/>
      <c r="C1335" s="206"/>
      <c r="D1335" s="262"/>
      <c r="E1335" s="262"/>
      <c r="F1335" s="262"/>
      <c r="G1335" s="262"/>
      <c r="H1335" s="262"/>
      <c r="I1335" s="262"/>
      <c r="J1335" s="262"/>
      <c r="K1335" s="262"/>
      <c r="L1335" s="262"/>
      <c r="M1335" s="262"/>
      <c r="N1335" s="262"/>
      <c r="O1335" s="262"/>
      <c r="P1335" s="262"/>
      <c r="Q1335" s="262"/>
      <c r="R1335" s="262"/>
      <c r="S1335" s="262"/>
      <c r="T1335" s="262"/>
      <c r="U1335" s="262"/>
      <c r="V1335" s="262"/>
      <c r="W1335" s="262"/>
      <c r="X1335" s="262"/>
      <c r="Y1335" s="262"/>
      <c r="Z1335" s="262"/>
      <c r="AA1335" s="262"/>
      <c r="AB1335" s="262"/>
      <c r="AC1335" s="262"/>
      <c r="AD1335" s="262"/>
      <c r="AE1335" s="262"/>
      <c r="AF1335" s="147"/>
      <c r="AG1335" s="147"/>
      <c r="AH1335" s="147"/>
      <c r="AI1335" s="147"/>
      <c r="AJ1335" s="195"/>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row>
    <row r="1336" spans="1:59" ht="15.75" customHeight="1" x14ac:dyDescent="0.2">
      <c r="A1336" s="162"/>
      <c r="B1336" s="162"/>
      <c r="C1336" s="206"/>
      <c r="D1336" s="262"/>
      <c r="E1336" s="262"/>
      <c r="F1336" s="262"/>
      <c r="G1336" s="262"/>
      <c r="H1336" s="262"/>
      <c r="I1336" s="262"/>
      <c r="J1336" s="262"/>
      <c r="K1336" s="262"/>
      <c r="L1336" s="262"/>
      <c r="M1336" s="262"/>
      <c r="N1336" s="262"/>
      <c r="O1336" s="262"/>
      <c r="P1336" s="262"/>
      <c r="Q1336" s="262"/>
      <c r="R1336" s="262"/>
      <c r="S1336" s="262"/>
      <c r="T1336" s="262"/>
      <c r="U1336" s="262"/>
      <c r="V1336" s="262"/>
      <c r="W1336" s="262"/>
      <c r="X1336" s="262"/>
      <c r="Y1336" s="262"/>
      <c r="Z1336" s="262"/>
      <c r="AA1336" s="262"/>
      <c r="AB1336" s="262"/>
      <c r="AC1336" s="262"/>
      <c r="AD1336" s="262"/>
      <c r="AE1336" s="262"/>
      <c r="AF1336" s="147"/>
      <c r="AG1336" s="147"/>
      <c r="AH1336" s="147"/>
      <c r="AI1336" s="147"/>
      <c r="AJ1336" s="195"/>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row>
    <row r="1337" spans="1:59" ht="15.75" customHeight="1" x14ac:dyDescent="0.2">
      <c r="A1337" s="162"/>
      <c r="B1337" s="162"/>
      <c r="C1337" s="206"/>
      <c r="D1337" s="262"/>
      <c r="E1337" s="262"/>
      <c r="F1337" s="262"/>
      <c r="G1337" s="262"/>
      <c r="H1337" s="262"/>
      <c r="I1337" s="262"/>
      <c r="J1337" s="262"/>
      <c r="K1337" s="262"/>
      <c r="L1337" s="262"/>
      <c r="M1337" s="262"/>
      <c r="N1337" s="262"/>
      <c r="O1337" s="262"/>
      <c r="P1337" s="262"/>
      <c r="Q1337" s="262"/>
      <c r="R1337" s="262"/>
      <c r="S1337" s="262"/>
      <c r="T1337" s="262"/>
      <c r="U1337" s="262"/>
      <c r="V1337" s="262"/>
      <c r="W1337" s="262"/>
      <c r="X1337" s="262"/>
      <c r="Y1337" s="262"/>
      <c r="Z1337" s="262"/>
      <c r="AA1337" s="262"/>
      <c r="AB1337" s="262"/>
      <c r="AC1337" s="262"/>
      <c r="AD1337" s="262"/>
      <c r="AE1337" s="262"/>
      <c r="AF1337" s="147"/>
      <c r="AG1337" s="147"/>
      <c r="AH1337" s="147"/>
      <c r="AI1337" s="147"/>
      <c r="AJ1337" s="189"/>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row>
    <row r="1338" spans="1:59" ht="15.75" customHeight="1" x14ac:dyDescent="0.2">
      <c r="A1338" s="162"/>
      <c r="B1338" s="162"/>
      <c r="C1338" s="206"/>
      <c r="D1338" s="262"/>
      <c r="E1338" s="262"/>
      <c r="F1338" s="262"/>
      <c r="G1338" s="262"/>
      <c r="H1338" s="262"/>
      <c r="I1338" s="262"/>
      <c r="J1338" s="262"/>
      <c r="K1338" s="262"/>
      <c r="L1338" s="262"/>
      <c r="M1338" s="262"/>
      <c r="N1338" s="262"/>
      <c r="O1338" s="262"/>
      <c r="P1338" s="262"/>
      <c r="Q1338" s="262"/>
      <c r="R1338" s="262"/>
      <c r="S1338" s="262"/>
      <c r="T1338" s="262"/>
      <c r="U1338" s="262"/>
      <c r="V1338" s="262"/>
      <c r="W1338" s="262"/>
      <c r="X1338" s="262"/>
      <c r="Y1338" s="262"/>
      <c r="Z1338" s="262"/>
      <c r="AA1338" s="262"/>
      <c r="AB1338" s="262"/>
      <c r="AC1338" s="262"/>
      <c r="AD1338" s="262"/>
      <c r="AE1338" s="262"/>
      <c r="AF1338" s="147"/>
      <c r="AG1338" s="147"/>
      <c r="AH1338" s="147"/>
      <c r="AI1338" s="147"/>
      <c r="AJ1338" s="189"/>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row>
    <row r="1339" spans="1:59" ht="15.75" customHeight="1" x14ac:dyDescent="0.2">
      <c r="A1339" s="162"/>
      <c r="B1339" s="162"/>
      <c r="C1339" s="206"/>
      <c r="D1339" s="262"/>
      <c r="E1339" s="262"/>
      <c r="F1339" s="262"/>
      <c r="G1339" s="262"/>
      <c r="H1339" s="262"/>
      <c r="I1339" s="262"/>
      <c r="J1339" s="262"/>
      <c r="K1339" s="262"/>
      <c r="L1339" s="262"/>
      <c r="M1339" s="262"/>
      <c r="N1339" s="262"/>
      <c r="O1339" s="262"/>
      <c r="P1339" s="262"/>
      <c r="Q1339" s="262"/>
      <c r="R1339" s="262"/>
      <c r="S1339" s="262"/>
      <c r="T1339" s="262"/>
      <c r="U1339" s="262"/>
      <c r="V1339" s="262"/>
      <c r="W1339" s="262"/>
      <c r="X1339" s="262"/>
      <c r="Y1339" s="262"/>
      <c r="Z1339" s="262"/>
      <c r="AA1339" s="262"/>
      <c r="AB1339" s="262"/>
      <c r="AC1339" s="262"/>
      <c r="AD1339" s="262"/>
      <c r="AE1339" s="262"/>
      <c r="AF1339" s="147"/>
      <c r="AG1339" s="147"/>
      <c r="AH1339" s="147"/>
      <c r="AI1339" s="147"/>
      <c r="AJ1339" s="189"/>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row>
    <row r="1340" spans="1:59" ht="15.75" customHeight="1" x14ac:dyDescent="0.2">
      <c r="A1340" s="162"/>
      <c r="B1340" s="162"/>
      <c r="C1340" s="206"/>
      <c r="D1340" s="262"/>
      <c r="E1340" s="262"/>
      <c r="F1340" s="262"/>
      <c r="G1340" s="262"/>
      <c r="H1340" s="262"/>
      <c r="I1340" s="262"/>
      <c r="J1340" s="262"/>
      <c r="K1340" s="262"/>
      <c r="L1340" s="262"/>
      <c r="M1340" s="262"/>
      <c r="N1340" s="262"/>
      <c r="O1340" s="262"/>
      <c r="P1340" s="262"/>
      <c r="Q1340" s="262"/>
      <c r="R1340" s="262"/>
      <c r="S1340" s="262"/>
      <c r="T1340" s="262"/>
      <c r="U1340" s="262"/>
      <c r="V1340" s="262"/>
      <c r="W1340" s="262"/>
      <c r="X1340" s="262"/>
      <c r="Y1340" s="262"/>
      <c r="Z1340" s="262"/>
      <c r="AA1340" s="262"/>
      <c r="AB1340" s="262"/>
      <c r="AC1340" s="262"/>
      <c r="AD1340" s="262"/>
      <c r="AE1340" s="262"/>
      <c r="AF1340" s="147"/>
      <c r="AG1340" s="147"/>
      <c r="AH1340" s="147"/>
      <c r="AI1340" s="147"/>
      <c r="AJ1340" s="189"/>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row>
    <row r="1341" spans="1:59" ht="15.75" customHeight="1" x14ac:dyDescent="0.2">
      <c r="A1341" s="162"/>
      <c r="B1341" s="162"/>
      <c r="C1341" s="206"/>
      <c r="D1341" s="262"/>
      <c r="E1341" s="262"/>
      <c r="F1341" s="262"/>
      <c r="G1341" s="262"/>
      <c r="H1341" s="262"/>
      <c r="I1341" s="262"/>
      <c r="J1341" s="262"/>
      <c r="K1341" s="262"/>
      <c r="L1341" s="262"/>
      <c r="M1341" s="262"/>
      <c r="N1341" s="262"/>
      <c r="O1341" s="262"/>
      <c r="P1341" s="262"/>
      <c r="Q1341" s="262"/>
      <c r="R1341" s="262"/>
      <c r="S1341" s="262"/>
      <c r="T1341" s="262"/>
      <c r="U1341" s="262"/>
      <c r="V1341" s="262"/>
      <c r="W1341" s="262"/>
      <c r="X1341" s="262"/>
      <c r="Y1341" s="262"/>
      <c r="Z1341" s="262"/>
      <c r="AA1341" s="262"/>
      <c r="AB1341" s="262"/>
      <c r="AC1341" s="262"/>
      <c r="AD1341" s="262"/>
      <c r="AE1341" s="262"/>
      <c r="AF1341" s="147"/>
      <c r="AG1341" s="147"/>
      <c r="AH1341" s="147"/>
      <c r="AI1341" s="147"/>
      <c r="AJ1341" s="189"/>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row>
    <row r="1342" spans="1:59" ht="15.75" customHeight="1" x14ac:dyDescent="0.2">
      <c r="A1342" s="162"/>
      <c r="B1342" s="162"/>
      <c r="C1342" s="206"/>
      <c r="D1342" s="262"/>
      <c r="E1342" s="262"/>
      <c r="F1342" s="262"/>
      <c r="G1342" s="262"/>
      <c r="H1342" s="262"/>
      <c r="I1342" s="262"/>
      <c r="J1342" s="262"/>
      <c r="K1342" s="262"/>
      <c r="L1342" s="262"/>
      <c r="M1342" s="262"/>
      <c r="N1342" s="262"/>
      <c r="O1342" s="262"/>
      <c r="P1342" s="262"/>
      <c r="Q1342" s="262"/>
      <c r="R1342" s="262"/>
      <c r="S1342" s="262"/>
      <c r="T1342" s="262"/>
      <c r="U1342" s="262"/>
      <c r="V1342" s="262"/>
      <c r="W1342" s="262"/>
      <c r="X1342" s="262"/>
      <c r="Y1342" s="262"/>
      <c r="Z1342" s="262"/>
      <c r="AA1342" s="262"/>
      <c r="AB1342" s="262"/>
      <c r="AC1342" s="262"/>
      <c r="AD1342" s="262"/>
      <c r="AE1342" s="262"/>
      <c r="AF1342" s="147"/>
      <c r="AG1342" s="147"/>
      <c r="AH1342" s="147"/>
      <c r="AI1342" s="147"/>
      <c r="AJ1342" s="195"/>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row>
    <row r="1343" spans="1:59" ht="15.75" customHeight="1" x14ac:dyDescent="0.2">
      <c r="A1343" s="162"/>
      <c r="B1343" s="162"/>
      <c r="C1343" s="206"/>
      <c r="D1343" s="262"/>
      <c r="E1343" s="262"/>
      <c r="F1343" s="262"/>
      <c r="G1343" s="262"/>
      <c r="H1343" s="262"/>
      <c r="I1343" s="262"/>
      <c r="J1343" s="262"/>
      <c r="K1343" s="262"/>
      <c r="L1343" s="262"/>
      <c r="M1343" s="262"/>
      <c r="N1343" s="262"/>
      <c r="O1343" s="262"/>
      <c r="P1343" s="262"/>
      <c r="Q1343" s="262"/>
      <c r="R1343" s="262"/>
      <c r="S1343" s="262"/>
      <c r="T1343" s="262"/>
      <c r="U1343" s="262"/>
      <c r="V1343" s="262"/>
      <c r="W1343" s="262"/>
      <c r="X1343" s="262"/>
      <c r="Y1343" s="262"/>
      <c r="Z1343" s="262"/>
      <c r="AA1343" s="262"/>
      <c r="AB1343" s="262"/>
      <c r="AC1343" s="262"/>
      <c r="AD1343" s="262"/>
      <c r="AE1343" s="262"/>
      <c r="AF1343" s="147"/>
      <c r="AG1343" s="147"/>
      <c r="AH1343" s="147"/>
      <c r="AI1343" s="147"/>
      <c r="AJ1343" s="189"/>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row>
    <row r="1344" spans="1:59" ht="15.75" customHeight="1" x14ac:dyDescent="0.2">
      <c r="A1344" s="162"/>
      <c r="B1344" s="162"/>
      <c r="C1344" s="206"/>
      <c r="D1344" s="262"/>
      <c r="E1344" s="262"/>
      <c r="F1344" s="262"/>
      <c r="G1344" s="262"/>
      <c r="H1344" s="262"/>
      <c r="I1344" s="262"/>
      <c r="J1344" s="262"/>
      <c r="K1344" s="262"/>
      <c r="L1344" s="262"/>
      <c r="M1344" s="262"/>
      <c r="N1344" s="262"/>
      <c r="O1344" s="262"/>
      <c r="P1344" s="262"/>
      <c r="Q1344" s="262"/>
      <c r="R1344" s="262"/>
      <c r="S1344" s="262"/>
      <c r="T1344" s="262"/>
      <c r="U1344" s="262"/>
      <c r="V1344" s="262"/>
      <c r="W1344" s="262"/>
      <c r="X1344" s="262"/>
      <c r="Y1344" s="262"/>
      <c r="Z1344" s="262"/>
      <c r="AA1344" s="262"/>
      <c r="AB1344" s="262"/>
      <c r="AC1344" s="262"/>
      <c r="AD1344" s="262"/>
      <c r="AE1344" s="262"/>
      <c r="AF1344" s="147"/>
      <c r="AG1344" s="147"/>
      <c r="AH1344" s="147"/>
      <c r="AI1344" s="147"/>
      <c r="AJ1344" s="189"/>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row>
    <row r="1345" spans="1:59" ht="15.75" customHeight="1" x14ac:dyDescent="0.2">
      <c r="A1345" s="162"/>
      <c r="B1345" s="162"/>
      <c r="C1345" s="206"/>
      <c r="D1345" s="262"/>
      <c r="E1345" s="262"/>
      <c r="F1345" s="262"/>
      <c r="G1345" s="262"/>
      <c r="H1345" s="262"/>
      <c r="I1345" s="262"/>
      <c r="J1345" s="262"/>
      <c r="K1345" s="262"/>
      <c r="L1345" s="262"/>
      <c r="M1345" s="262"/>
      <c r="N1345" s="262"/>
      <c r="O1345" s="262"/>
      <c r="P1345" s="262"/>
      <c r="Q1345" s="262"/>
      <c r="R1345" s="262"/>
      <c r="S1345" s="262"/>
      <c r="T1345" s="262"/>
      <c r="U1345" s="262"/>
      <c r="V1345" s="262"/>
      <c r="W1345" s="262"/>
      <c r="X1345" s="262"/>
      <c r="Y1345" s="262"/>
      <c r="Z1345" s="262"/>
      <c r="AA1345" s="262"/>
      <c r="AB1345" s="262"/>
      <c r="AC1345" s="262"/>
      <c r="AD1345" s="262"/>
      <c r="AE1345" s="262"/>
      <c r="AF1345" s="147"/>
      <c r="AG1345" s="147"/>
      <c r="AH1345" s="147"/>
      <c r="AI1345" s="147"/>
      <c r="AJ1345" s="84"/>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row>
    <row r="1346" spans="1:59" ht="15.75" customHeight="1" x14ac:dyDescent="0.2">
      <c r="A1346" s="162"/>
      <c r="B1346" s="162"/>
      <c r="C1346" s="206"/>
      <c r="D1346" s="262"/>
      <c r="E1346" s="262"/>
      <c r="F1346" s="262"/>
      <c r="G1346" s="262"/>
      <c r="H1346" s="262"/>
      <c r="I1346" s="262"/>
      <c r="J1346" s="262"/>
      <c r="K1346" s="262"/>
      <c r="L1346" s="262"/>
      <c r="M1346" s="262"/>
      <c r="N1346" s="262"/>
      <c r="O1346" s="262"/>
      <c r="P1346" s="262"/>
      <c r="Q1346" s="262"/>
      <c r="R1346" s="262"/>
      <c r="S1346" s="262"/>
      <c r="T1346" s="262"/>
      <c r="U1346" s="262"/>
      <c r="V1346" s="262"/>
      <c r="W1346" s="262"/>
      <c r="X1346" s="262"/>
      <c r="Y1346" s="262"/>
      <c r="Z1346" s="262"/>
      <c r="AA1346" s="262"/>
      <c r="AB1346" s="262"/>
      <c r="AC1346" s="262"/>
      <c r="AD1346" s="262"/>
      <c r="AE1346" s="262"/>
      <c r="AF1346" s="147"/>
      <c r="AG1346" s="147"/>
      <c r="AH1346" s="147"/>
      <c r="AI1346" s="147"/>
      <c r="AJ1346" s="189"/>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row>
    <row r="1347" spans="1:59" ht="15.75" customHeight="1" x14ac:dyDescent="0.2">
      <c r="A1347" s="162"/>
      <c r="B1347" s="162"/>
      <c r="C1347" s="206"/>
      <c r="D1347" s="262"/>
      <c r="E1347" s="262"/>
      <c r="F1347" s="262"/>
      <c r="G1347" s="262"/>
      <c r="H1347" s="262"/>
      <c r="I1347" s="262"/>
      <c r="J1347" s="262"/>
      <c r="K1347" s="262"/>
      <c r="L1347" s="262"/>
      <c r="M1347" s="262"/>
      <c r="N1347" s="262"/>
      <c r="O1347" s="262"/>
      <c r="P1347" s="262"/>
      <c r="Q1347" s="262"/>
      <c r="R1347" s="262"/>
      <c r="S1347" s="262"/>
      <c r="T1347" s="262"/>
      <c r="U1347" s="262"/>
      <c r="V1347" s="262"/>
      <c r="W1347" s="262"/>
      <c r="X1347" s="262"/>
      <c r="Y1347" s="262"/>
      <c r="Z1347" s="262"/>
      <c r="AA1347" s="262"/>
      <c r="AB1347" s="262"/>
      <c r="AC1347" s="262"/>
      <c r="AD1347" s="262"/>
      <c r="AE1347" s="262"/>
      <c r="AF1347" s="147"/>
      <c r="AG1347" s="147"/>
      <c r="AH1347" s="147"/>
      <c r="AI1347" s="147"/>
      <c r="AJ1347" s="189"/>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row>
    <row r="1348" spans="1:59" ht="15.75" customHeight="1" x14ac:dyDescent="0.2">
      <c r="A1348" s="162"/>
      <c r="B1348" s="162"/>
      <c r="C1348" s="206"/>
      <c r="D1348" s="262"/>
      <c r="E1348" s="262"/>
      <c r="F1348" s="262"/>
      <c r="G1348" s="262"/>
      <c r="H1348" s="262"/>
      <c r="I1348" s="262"/>
      <c r="J1348" s="262"/>
      <c r="K1348" s="262"/>
      <c r="L1348" s="262"/>
      <c r="M1348" s="262"/>
      <c r="N1348" s="262"/>
      <c r="O1348" s="262"/>
      <c r="P1348" s="262"/>
      <c r="Q1348" s="262"/>
      <c r="R1348" s="262"/>
      <c r="S1348" s="262"/>
      <c r="T1348" s="262"/>
      <c r="U1348" s="262"/>
      <c r="V1348" s="262"/>
      <c r="W1348" s="262"/>
      <c r="X1348" s="262"/>
      <c r="Y1348" s="262"/>
      <c r="Z1348" s="262"/>
      <c r="AA1348" s="262"/>
      <c r="AB1348" s="262"/>
      <c r="AC1348" s="262"/>
      <c r="AD1348" s="262"/>
      <c r="AE1348" s="262"/>
      <c r="AF1348" s="147"/>
      <c r="AG1348" s="147"/>
      <c r="AH1348" s="147"/>
      <c r="AI1348" s="147"/>
      <c r="AJ1348" s="189"/>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row>
    <row r="1349" spans="1:59" ht="15.75" customHeight="1" x14ac:dyDescent="0.2">
      <c r="A1349" s="162"/>
      <c r="B1349" s="162"/>
      <c r="C1349" s="206"/>
      <c r="D1349" s="262"/>
      <c r="E1349" s="262"/>
      <c r="F1349" s="262"/>
      <c r="G1349" s="262"/>
      <c r="H1349" s="262"/>
      <c r="I1349" s="262"/>
      <c r="J1349" s="262"/>
      <c r="K1349" s="262"/>
      <c r="L1349" s="262"/>
      <c r="M1349" s="262"/>
      <c r="N1349" s="262"/>
      <c r="O1349" s="262"/>
      <c r="P1349" s="262"/>
      <c r="Q1349" s="262"/>
      <c r="R1349" s="262"/>
      <c r="S1349" s="262"/>
      <c r="T1349" s="262"/>
      <c r="U1349" s="262"/>
      <c r="V1349" s="262"/>
      <c r="W1349" s="262"/>
      <c r="X1349" s="262"/>
      <c r="Y1349" s="262"/>
      <c r="Z1349" s="262"/>
      <c r="AA1349" s="262"/>
      <c r="AB1349" s="262"/>
      <c r="AC1349" s="262"/>
      <c r="AD1349" s="262"/>
      <c r="AE1349" s="262"/>
      <c r="AF1349" s="147"/>
      <c r="AG1349" s="147"/>
      <c r="AH1349" s="147"/>
      <c r="AI1349" s="147"/>
      <c r="AJ1349" s="195"/>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row>
    <row r="1350" spans="1:59" ht="15.75" customHeight="1" x14ac:dyDescent="0.2">
      <c r="A1350" s="162"/>
      <c r="B1350" s="162"/>
      <c r="C1350" s="206"/>
      <c r="D1350" s="262"/>
      <c r="E1350" s="262"/>
      <c r="F1350" s="262"/>
      <c r="G1350" s="262"/>
      <c r="H1350" s="262"/>
      <c r="I1350" s="262"/>
      <c r="J1350" s="262"/>
      <c r="K1350" s="262"/>
      <c r="L1350" s="262"/>
      <c r="M1350" s="262"/>
      <c r="N1350" s="262"/>
      <c r="O1350" s="262"/>
      <c r="P1350" s="262"/>
      <c r="Q1350" s="262"/>
      <c r="R1350" s="262"/>
      <c r="S1350" s="262"/>
      <c r="T1350" s="262"/>
      <c r="U1350" s="262"/>
      <c r="V1350" s="262"/>
      <c r="W1350" s="262"/>
      <c r="X1350" s="262"/>
      <c r="Y1350" s="262"/>
      <c r="Z1350" s="262"/>
      <c r="AA1350" s="262"/>
      <c r="AB1350" s="262"/>
      <c r="AC1350" s="262"/>
      <c r="AD1350" s="262"/>
      <c r="AE1350" s="262"/>
      <c r="AF1350" s="147"/>
      <c r="AG1350" s="147"/>
      <c r="AH1350" s="147"/>
      <c r="AI1350" s="147"/>
      <c r="AJ1350" s="189"/>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row>
    <row r="1351" spans="1:59" ht="15.75" customHeight="1" x14ac:dyDescent="0.2">
      <c r="A1351" s="162"/>
      <c r="B1351" s="162"/>
      <c r="C1351" s="206"/>
      <c r="D1351" s="262"/>
      <c r="E1351" s="262"/>
      <c r="F1351" s="262"/>
      <c r="G1351" s="262"/>
      <c r="H1351" s="262"/>
      <c r="I1351" s="262"/>
      <c r="J1351" s="262"/>
      <c r="K1351" s="262"/>
      <c r="L1351" s="262"/>
      <c r="M1351" s="262"/>
      <c r="N1351" s="262"/>
      <c r="O1351" s="262"/>
      <c r="P1351" s="262"/>
      <c r="Q1351" s="262"/>
      <c r="R1351" s="262"/>
      <c r="S1351" s="262"/>
      <c r="T1351" s="262"/>
      <c r="U1351" s="262"/>
      <c r="V1351" s="262"/>
      <c r="W1351" s="262"/>
      <c r="X1351" s="262"/>
      <c r="Y1351" s="262"/>
      <c r="Z1351" s="262"/>
      <c r="AA1351" s="262"/>
      <c r="AB1351" s="262"/>
      <c r="AC1351" s="262"/>
      <c r="AD1351" s="262"/>
      <c r="AE1351" s="262"/>
      <c r="AF1351" s="147"/>
      <c r="AG1351" s="147"/>
      <c r="AH1351" s="147"/>
      <c r="AI1351" s="147"/>
      <c r="AJ1351" s="189"/>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row>
    <row r="1352" spans="1:59" ht="15.75" customHeight="1" x14ac:dyDescent="0.2">
      <c r="A1352" s="162"/>
      <c r="B1352" s="162"/>
      <c r="C1352" s="206"/>
      <c r="D1352" s="262"/>
      <c r="E1352" s="262"/>
      <c r="F1352" s="262"/>
      <c r="G1352" s="262"/>
      <c r="H1352" s="262"/>
      <c r="I1352" s="262"/>
      <c r="J1352" s="262"/>
      <c r="K1352" s="262"/>
      <c r="L1352" s="262"/>
      <c r="M1352" s="262"/>
      <c r="N1352" s="262"/>
      <c r="O1352" s="262"/>
      <c r="P1352" s="262"/>
      <c r="Q1352" s="262"/>
      <c r="R1352" s="262"/>
      <c r="S1352" s="262"/>
      <c r="T1352" s="262"/>
      <c r="U1352" s="262"/>
      <c r="V1352" s="262"/>
      <c r="W1352" s="262"/>
      <c r="X1352" s="262"/>
      <c r="Y1352" s="262"/>
      <c r="Z1352" s="262"/>
      <c r="AA1352" s="262"/>
      <c r="AB1352" s="262"/>
      <c r="AC1352" s="262"/>
      <c r="AD1352" s="262"/>
      <c r="AE1352" s="262"/>
      <c r="AF1352" s="147"/>
      <c r="AG1352" s="147"/>
      <c r="AH1352" s="147"/>
      <c r="AI1352" s="147"/>
      <c r="AJ1352" s="189"/>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row>
    <row r="1353" spans="1:59" ht="15.75" customHeight="1" x14ac:dyDescent="0.2">
      <c r="A1353" s="162"/>
      <c r="B1353" s="162"/>
      <c r="C1353" s="206"/>
      <c r="D1353" s="262"/>
      <c r="E1353" s="262"/>
      <c r="F1353" s="262"/>
      <c r="G1353" s="262"/>
      <c r="H1353" s="262"/>
      <c r="I1353" s="262"/>
      <c r="J1353" s="262"/>
      <c r="K1353" s="262"/>
      <c r="L1353" s="262"/>
      <c r="M1353" s="262"/>
      <c r="N1353" s="262"/>
      <c r="O1353" s="262"/>
      <c r="P1353" s="262"/>
      <c r="Q1353" s="262"/>
      <c r="R1353" s="262"/>
      <c r="S1353" s="262"/>
      <c r="T1353" s="262"/>
      <c r="U1353" s="262"/>
      <c r="V1353" s="262"/>
      <c r="W1353" s="262"/>
      <c r="X1353" s="262"/>
      <c r="Y1353" s="262"/>
      <c r="Z1353" s="262"/>
      <c r="AA1353" s="262"/>
      <c r="AB1353" s="262"/>
      <c r="AC1353" s="262"/>
      <c r="AD1353" s="262"/>
      <c r="AE1353" s="262"/>
      <c r="AF1353" s="147"/>
      <c r="AG1353" s="147"/>
      <c r="AH1353" s="147"/>
      <c r="AI1353" s="147"/>
      <c r="AJ1353" s="189"/>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row>
    <row r="1354" spans="1:59" ht="15.75" customHeight="1" x14ac:dyDescent="0.2">
      <c r="A1354" s="162"/>
      <c r="B1354" s="162"/>
      <c r="C1354" s="206"/>
      <c r="D1354" s="262"/>
      <c r="E1354" s="262"/>
      <c r="F1354" s="262"/>
      <c r="G1354" s="262"/>
      <c r="H1354" s="262"/>
      <c r="I1354" s="262"/>
      <c r="J1354" s="262"/>
      <c r="K1354" s="262"/>
      <c r="L1354" s="262"/>
      <c r="M1354" s="262"/>
      <c r="N1354" s="262"/>
      <c r="O1354" s="262"/>
      <c r="P1354" s="262"/>
      <c r="Q1354" s="262"/>
      <c r="R1354" s="262"/>
      <c r="S1354" s="262"/>
      <c r="T1354" s="262"/>
      <c r="U1354" s="262"/>
      <c r="V1354" s="262"/>
      <c r="W1354" s="262"/>
      <c r="X1354" s="262"/>
      <c r="Y1354" s="262"/>
      <c r="Z1354" s="262"/>
      <c r="AA1354" s="262"/>
      <c r="AB1354" s="262"/>
      <c r="AC1354" s="262"/>
      <c r="AD1354" s="262"/>
      <c r="AE1354" s="262"/>
      <c r="AF1354" s="147"/>
      <c r="AG1354" s="147"/>
      <c r="AH1354" s="147"/>
      <c r="AI1354" s="147"/>
      <c r="AJ1354" s="195"/>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row>
    <row r="1355" spans="1:59" ht="15.75" customHeight="1" x14ac:dyDescent="0.2">
      <c r="A1355" s="162"/>
      <c r="B1355" s="162"/>
      <c r="C1355" s="206"/>
      <c r="D1355" s="262"/>
      <c r="E1355" s="262"/>
      <c r="F1355" s="262"/>
      <c r="G1355" s="262"/>
      <c r="H1355" s="262"/>
      <c r="I1355" s="262"/>
      <c r="J1355" s="262"/>
      <c r="K1355" s="262"/>
      <c r="L1355" s="262"/>
      <c r="M1355" s="262"/>
      <c r="N1355" s="262"/>
      <c r="O1355" s="262"/>
      <c r="P1355" s="262"/>
      <c r="Q1355" s="262"/>
      <c r="R1355" s="262"/>
      <c r="S1355" s="262"/>
      <c r="T1355" s="262"/>
      <c r="U1355" s="262"/>
      <c r="V1355" s="262"/>
      <c r="W1355" s="262"/>
      <c r="X1355" s="262"/>
      <c r="Y1355" s="262"/>
      <c r="Z1355" s="262"/>
      <c r="AA1355" s="262"/>
      <c r="AB1355" s="262"/>
      <c r="AC1355" s="262"/>
      <c r="AD1355" s="262"/>
      <c r="AE1355" s="262"/>
      <c r="AF1355" s="147"/>
      <c r="AG1355" s="147"/>
      <c r="AH1355" s="147"/>
      <c r="AI1355" s="147"/>
      <c r="AJ1355" s="189"/>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row>
    <row r="1356" spans="1:59" ht="15.75" customHeight="1" x14ac:dyDescent="0.2">
      <c r="A1356" s="162"/>
      <c r="B1356" s="162"/>
      <c r="C1356" s="206"/>
      <c r="D1356" s="262"/>
      <c r="E1356" s="262"/>
      <c r="F1356" s="262"/>
      <c r="G1356" s="262"/>
      <c r="H1356" s="262"/>
      <c r="I1356" s="262"/>
      <c r="J1356" s="262"/>
      <c r="K1356" s="262"/>
      <c r="L1356" s="262"/>
      <c r="M1356" s="262"/>
      <c r="N1356" s="262"/>
      <c r="O1356" s="262"/>
      <c r="P1356" s="262"/>
      <c r="Q1356" s="262"/>
      <c r="R1356" s="262"/>
      <c r="S1356" s="262"/>
      <c r="T1356" s="262"/>
      <c r="U1356" s="262"/>
      <c r="V1356" s="262"/>
      <c r="W1356" s="262"/>
      <c r="X1356" s="262"/>
      <c r="Y1356" s="262"/>
      <c r="Z1356" s="262"/>
      <c r="AA1356" s="262"/>
      <c r="AB1356" s="262"/>
      <c r="AC1356" s="262"/>
      <c r="AD1356" s="262"/>
      <c r="AE1356" s="262"/>
      <c r="AF1356" s="147"/>
      <c r="AG1356" s="147"/>
      <c r="AH1356" s="147"/>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row>
    <row r="1357" spans="1:59" ht="15.75" customHeight="1" x14ac:dyDescent="0.2">
      <c r="A1357" s="162"/>
      <c r="B1357" s="162"/>
      <c r="C1357" s="206"/>
      <c r="D1357" s="262"/>
      <c r="E1357" s="262"/>
      <c r="F1357" s="262"/>
      <c r="G1357" s="262"/>
      <c r="H1357" s="262"/>
      <c r="I1357" s="262"/>
      <c r="J1357" s="262"/>
      <c r="K1357" s="262"/>
      <c r="L1357" s="262"/>
      <c r="M1357" s="262"/>
      <c r="N1357" s="262"/>
      <c r="O1357" s="262"/>
      <c r="P1357" s="262"/>
      <c r="Q1357" s="262"/>
      <c r="R1357" s="262"/>
      <c r="S1357" s="262"/>
      <c r="T1357" s="262"/>
      <c r="U1357" s="262"/>
      <c r="V1357" s="262"/>
      <c r="W1357" s="262"/>
      <c r="X1357" s="262"/>
      <c r="Y1357" s="262"/>
      <c r="Z1357" s="262"/>
      <c r="AA1357" s="262"/>
      <c r="AB1357" s="262"/>
      <c r="AC1357" s="262"/>
      <c r="AD1357" s="262"/>
      <c r="AE1357" s="262"/>
      <c r="AF1357" s="147"/>
      <c r="AG1357" s="147"/>
      <c r="AH1357" s="147"/>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row>
    <row r="1358" spans="1:59" ht="15.75" customHeight="1" x14ac:dyDescent="0.2">
      <c r="A1358" s="162"/>
      <c r="B1358" s="162"/>
      <c r="C1358" s="206"/>
      <c r="D1358" s="262"/>
      <c r="E1358" s="262"/>
      <c r="F1358" s="262"/>
      <c r="G1358" s="262"/>
      <c r="H1358" s="262"/>
      <c r="I1358" s="262"/>
      <c r="J1358" s="262"/>
      <c r="K1358" s="262"/>
      <c r="L1358" s="262"/>
      <c r="M1358" s="262"/>
      <c r="N1358" s="262"/>
      <c r="O1358" s="262"/>
      <c r="P1358" s="262"/>
      <c r="Q1358" s="262"/>
      <c r="R1358" s="262"/>
      <c r="S1358" s="262"/>
      <c r="T1358" s="262"/>
      <c r="U1358" s="262"/>
      <c r="V1358" s="262"/>
      <c r="W1358" s="262"/>
      <c r="X1358" s="262"/>
      <c r="Y1358" s="262"/>
      <c r="Z1358" s="262"/>
      <c r="AA1358" s="262"/>
      <c r="AB1358" s="262"/>
      <c r="AC1358" s="262"/>
      <c r="AD1358" s="262"/>
      <c r="AE1358" s="262"/>
      <c r="AF1358" s="147"/>
      <c r="AG1358" s="147"/>
      <c r="AH1358" s="147"/>
      <c r="AI1358" s="147"/>
      <c r="AJ1358" s="189"/>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row>
    <row r="1359" spans="1:59" ht="15.75" customHeight="1" x14ac:dyDescent="0.2">
      <c r="A1359" s="162"/>
      <c r="B1359" s="162"/>
      <c r="C1359" s="206"/>
      <c r="D1359" s="262"/>
      <c r="E1359" s="262"/>
      <c r="F1359" s="262"/>
      <c r="G1359" s="262"/>
      <c r="H1359" s="262"/>
      <c r="I1359" s="262"/>
      <c r="J1359" s="262"/>
      <c r="K1359" s="262"/>
      <c r="L1359" s="262"/>
      <c r="M1359" s="262"/>
      <c r="N1359" s="262"/>
      <c r="O1359" s="262"/>
      <c r="P1359" s="262"/>
      <c r="Q1359" s="262"/>
      <c r="R1359" s="262"/>
      <c r="S1359" s="262"/>
      <c r="T1359" s="262"/>
      <c r="U1359" s="262"/>
      <c r="V1359" s="262"/>
      <c r="W1359" s="262"/>
      <c r="X1359" s="262"/>
      <c r="Y1359" s="262"/>
      <c r="Z1359" s="262"/>
      <c r="AA1359" s="262"/>
      <c r="AB1359" s="262"/>
      <c r="AC1359" s="262"/>
      <c r="AD1359" s="262"/>
      <c r="AE1359" s="262"/>
      <c r="AF1359" s="147"/>
      <c r="AG1359" s="147"/>
      <c r="AH1359" s="147"/>
      <c r="AI1359" s="147"/>
      <c r="AJ1359" s="189"/>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row>
    <row r="1360" spans="1:59" ht="15.75" customHeight="1" x14ac:dyDescent="0.2">
      <c r="A1360" s="162"/>
      <c r="B1360" s="162"/>
      <c r="C1360" s="206"/>
      <c r="D1360" s="262"/>
      <c r="E1360" s="262"/>
      <c r="F1360" s="262"/>
      <c r="G1360" s="262"/>
      <c r="H1360" s="262"/>
      <c r="I1360" s="262"/>
      <c r="J1360" s="262"/>
      <c r="K1360" s="262"/>
      <c r="L1360" s="262"/>
      <c r="M1360" s="262"/>
      <c r="N1360" s="262"/>
      <c r="O1360" s="262"/>
      <c r="P1360" s="262"/>
      <c r="Q1360" s="262"/>
      <c r="R1360" s="262"/>
      <c r="S1360" s="262"/>
      <c r="T1360" s="262"/>
      <c r="U1360" s="262"/>
      <c r="V1360" s="262"/>
      <c r="W1360" s="262"/>
      <c r="X1360" s="262"/>
      <c r="Y1360" s="262"/>
      <c r="Z1360" s="262"/>
      <c r="AA1360" s="262"/>
      <c r="AB1360" s="262"/>
      <c r="AC1360" s="262"/>
      <c r="AD1360" s="262"/>
      <c r="AE1360" s="262"/>
      <c r="AF1360" s="147"/>
      <c r="AG1360" s="147"/>
      <c r="AH1360" s="147"/>
      <c r="AI1360" s="147"/>
      <c r="AJ1360" s="189"/>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row>
    <row r="1361" spans="1:59" ht="15.75" customHeight="1" x14ac:dyDescent="0.2">
      <c r="A1361" s="162"/>
      <c r="B1361" s="162"/>
      <c r="C1361" s="206"/>
      <c r="D1361" s="262"/>
      <c r="E1361" s="262"/>
      <c r="F1361" s="262"/>
      <c r="G1361" s="262"/>
      <c r="H1361" s="262"/>
      <c r="I1361" s="262"/>
      <c r="J1361" s="262"/>
      <c r="K1361" s="262"/>
      <c r="L1361" s="262"/>
      <c r="M1361" s="262"/>
      <c r="N1361" s="262"/>
      <c r="O1361" s="262"/>
      <c r="P1361" s="262"/>
      <c r="Q1361" s="262"/>
      <c r="R1361" s="262"/>
      <c r="S1361" s="262"/>
      <c r="T1361" s="262"/>
      <c r="U1361" s="262"/>
      <c r="V1361" s="262"/>
      <c r="W1361" s="262"/>
      <c r="X1361" s="262"/>
      <c r="Y1361" s="262"/>
      <c r="Z1361" s="262"/>
      <c r="AA1361" s="262"/>
      <c r="AB1361" s="262"/>
      <c r="AC1361" s="262"/>
      <c r="AD1361" s="262"/>
      <c r="AE1361" s="262"/>
      <c r="AF1361" s="147"/>
      <c r="AG1361" s="147"/>
      <c r="AH1361" s="147"/>
      <c r="AI1361" s="147"/>
      <c r="AJ1361" s="189"/>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row>
    <row r="1362" spans="1:59" ht="15.75" customHeight="1" x14ac:dyDescent="0.2">
      <c r="A1362" s="162"/>
      <c r="B1362" s="162"/>
      <c r="C1362" s="206"/>
      <c r="D1362" s="262"/>
      <c r="E1362" s="262"/>
      <c r="F1362" s="262"/>
      <c r="G1362" s="262"/>
      <c r="H1362" s="262"/>
      <c r="I1362" s="262"/>
      <c r="J1362" s="262"/>
      <c r="K1362" s="262"/>
      <c r="L1362" s="262"/>
      <c r="M1362" s="262"/>
      <c r="N1362" s="262"/>
      <c r="O1362" s="262"/>
      <c r="P1362" s="262"/>
      <c r="Q1362" s="262"/>
      <c r="R1362" s="262"/>
      <c r="S1362" s="262"/>
      <c r="T1362" s="262"/>
      <c r="U1362" s="262"/>
      <c r="V1362" s="262"/>
      <c r="W1362" s="262"/>
      <c r="X1362" s="262"/>
      <c r="Y1362" s="262"/>
      <c r="Z1362" s="262"/>
      <c r="AA1362" s="262"/>
      <c r="AB1362" s="262"/>
      <c r="AC1362" s="262"/>
      <c r="AD1362" s="262"/>
      <c r="AE1362" s="262"/>
      <c r="AF1362" s="147"/>
      <c r="AG1362" s="147"/>
      <c r="AH1362" s="147"/>
      <c r="AI1362" s="147"/>
      <c r="AJ1362" s="189"/>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row>
    <row r="1363" spans="1:59" ht="15.75" customHeight="1" x14ac:dyDescent="0.2">
      <c r="A1363" s="162"/>
      <c r="B1363" s="162"/>
      <c r="C1363" s="206"/>
      <c r="D1363" s="262"/>
      <c r="E1363" s="262"/>
      <c r="F1363" s="262"/>
      <c r="G1363" s="262"/>
      <c r="H1363" s="262"/>
      <c r="I1363" s="262"/>
      <c r="J1363" s="262"/>
      <c r="K1363" s="262"/>
      <c r="L1363" s="262"/>
      <c r="M1363" s="262"/>
      <c r="N1363" s="262"/>
      <c r="O1363" s="262"/>
      <c r="P1363" s="262"/>
      <c r="Q1363" s="262"/>
      <c r="R1363" s="262"/>
      <c r="S1363" s="262"/>
      <c r="T1363" s="262"/>
      <c r="U1363" s="262"/>
      <c r="V1363" s="262"/>
      <c r="W1363" s="262"/>
      <c r="X1363" s="262"/>
      <c r="Y1363" s="262"/>
      <c r="Z1363" s="262"/>
      <c r="AA1363" s="262"/>
      <c r="AB1363" s="262"/>
      <c r="AC1363" s="262"/>
      <c r="AD1363" s="262"/>
      <c r="AE1363" s="262"/>
      <c r="AF1363" s="147"/>
      <c r="AG1363" s="147"/>
      <c r="AH1363" s="147"/>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row>
    <row r="1364" spans="1:59" ht="15.75" customHeight="1" x14ac:dyDescent="0.2">
      <c r="A1364" s="162"/>
      <c r="B1364" s="162"/>
      <c r="C1364" s="206"/>
      <c r="D1364" s="262"/>
      <c r="E1364" s="262"/>
      <c r="F1364" s="262"/>
      <c r="G1364" s="262"/>
      <c r="H1364" s="262"/>
      <c r="I1364" s="262"/>
      <c r="J1364" s="262"/>
      <c r="K1364" s="262"/>
      <c r="L1364" s="262"/>
      <c r="M1364" s="262"/>
      <c r="N1364" s="262"/>
      <c r="O1364" s="262"/>
      <c r="P1364" s="262"/>
      <c r="Q1364" s="262"/>
      <c r="R1364" s="262"/>
      <c r="S1364" s="262"/>
      <c r="T1364" s="262"/>
      <c r="U1364" s="262"/>
      <c r="V1364" s="262"/>
      <c r="W1364" s="262"/>
      <c r="X1364" s="262"/>
      <c r="Y1364" s="262"/>
      <c r="Z1364" s="262"/>
      <c r="AA1364" s="262"/>
      <c r="AB1364" s="262"/>
      <c r="AC1364" s="262"/>
      <c r="AD1364" s="262"/>
      <c r="AE1364" s="262"/>
      <c r="AF1364" s="147"/>
      <c r="AG1364" s="147"/>
      <c r="AH1364" s="147"/>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row>
    <row r="1365" spans="1:59" ht="15.75" customHeight="1" x14ac:dyDescent="0.2">
      <c r="A1365" s="162"/>
      <c r="B1365" s="162"/>
      <c r="C1365" s="206"/>
      <c r="D1365" s="262"/>
      <c r="E1365" s="262"/>
      <c r="F1365" s="262"/>
      <c r="G1365" s="262"/>
      <c r="H1365" s="262"/>
      <c r="I1365" s="262"/>
      <c r="J1365" s="262"/>
      <c r="K1365" s="262"/>
      <c r="L1365" s="262"/>
      <c r="M1365" s="262"/>
      <c r="N1365" s="262"/>
      <c r="O1365" s="262"/>
      <c r="P1365" s="262"/>
      <c r="Q1365" s="262"/>
      <c r="R1365" s="262"/>
      <c r="S1365" s="262"/>
      <c r="T1365" s="262"/>
      <c r="U1365" s="262"/>
      <c r="V1365" s="262"/>
      <c r="W1365" s="262"/>
      <c r="X1365" s="262"/>
      <c r="Y1365" s="262"/>
      <c r="Z1365" s="262"/>
      <c r="AA1365" s="262"/>
      <c r="AB1365" s="262"/>
      <c r="AC1365" s="262"/>
      <c r="AD1365" s="262"/>
      <c r="AE1365" s="262"/>
      <c r="AF1365" s="147"/>
      <c r="AG1365" s="147"/>
      <c r="AH1365" s="147"/>
      <c r="AI1365" s="147"/>
      <c r="AJ1365" s="189"/>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row>
    <row r="1366" spans="1:59" ht="15.75" customHeight="1" x14ac:dyDescent="0.2">
      <c r="A1366" s="162"/>
      <c r="B1366" s="162"/>
      <c r="C1366" s="206"/>
      <c r="D1366" s="262"/>
      <c r="E1366" s="262"/>
      <c r="F1366" s="262"/>
      <c r="G1366" s="262"/>
      <c r="H1366" s="262"/>
      <c r="I1366" s="262"/>
      <c r="J1366" s="262"/>
      <c r="K1366" s="262"/>
      <c r="L1366" s="262"/>
      <c r="M1366" s="262"/>
      <c r="N1366" s="262"/>
      <c r="O1366" s="262"/>
      <c r="P1366" s="262"/>
      <c r="Q1366" s="262"/>
      <c r="R1366" s="262"/>
      <c r="S1366" s="262"/>
      <c r="T1366" s="262"/>
      <c r="U1366" s="262"/>
      <c r="V1366" s="262"/>
      <c r="W1366" s="262"/>
      <c r="X1366" s="262"/>
      <c r="Y1366" s="262"/>
      <c r="Z1366" s="262"/>
      <c r="AA1366" s="262"/>
      <c r="AB1366" s="262"/>
      <c r="AC1366" s="262"/>
      <c r="AD1366" s="262"/>
      <c r="AE1366" s="262"/>
      <c r="AF1366" s="147"/>
      <c r="AG1366" s="147"/>
      <c r="AH1366" s="147"/>
      <c r="AI1366" s="147"/>
      <c r="AJ1366" s="189"/>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row>
    <row r="1367" spans="1:59" ht="15.75" customHeight="1" x14ac:dyDescent="0.2">
      <c r="A1367" s="162"/>
      <c r="B1367" s="162"/>
      <c r="C1367" s="206"/>
      <c r="D1367" s="262"/>
      <c r="E1367" s="262"/>
      <c r="F1367" s="262"/>
      <c r="G1367" s="262"/>
      <c r="H1367" s="262"/>
      <c r="I1367" s="262"/>
      <c r="J1367" s="262"/>
      <c r="K1367" s="262"/>
      <c r="L1367" s="262"/>
      <c r="M1367" s="262"/>
      <c r="N1367" s="262"/>
      <c r="O1367" s="262"/>
      <c r="P1367" s="262"/>
      <c r="Q1367" s="262"/>
      <c r="R1367" s="262"/>
      <c r="S1367" s="262"/>
      <c r="T1367" s="262"/>
      <c r="U1367" s="262"/>
      <c r="V1367" s="262"/>
      <c r="W1367" s="262"/>
      <c r="X1367" s="262"/>
      <c r="Y1367" s="262"/>
      <c r="Z1367" s="262"/>
      <c r="AA1367" s="262"/>
      <c r="AB1367" s="262"/>
      <c r="AC1367" s="262"/>
      <c r="AD1367" s="262"/>
      <c r="AE1367" s="262"/>
      <c r="AF1367" s="147"/>
      <c r="AG1367" s="147"/>
      <c r="AH1367" s="147"/>
      <c r="AI1367" s="147"/>
      <c r="AJ1367" s="195"/>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row>
    <row r="1368" spans="1:59" ht="15.75" customHeight="1" x14ac:dyDescent="0.2">
      <c r="A1368" s="162"/>
      <c r="B1368" s="162"/>
      <c r="C1368" s="206"/>
      <c r="D1368" s="262"/>
      <c r="E1368" s="262"/>
      <c r="F1368" s="262"/>
      <c r="G1368" s="262"/>
      <c r="H1368" s="262"/>
      <c r="I1368" s="262"/>
      <c r="J1368" s="262"/>
      <c r="K1368" s="262"/>
      <c r="L1368" s="262"/>
      <c r="M1368" s="262"/>
      <c r="N1368" s="262"/>
      <c r="O1368" s="262"/>
      <c r="P1368" s="262"/>
      <c r="Q1368" s="262"/>
      <c r="R1368" s="262"/>
      <c r="S1368" s="262"/>
      <c r="T1368" s="262"/>
      <c r="U1368" s="262"/>
      <c r="V1368" s="262"/>
      <c r="W1368" s="262"/>
      <c r="X1368" s="262"/>
      <c r="Y1368" s="262"/>
      <c r="Z1368" s="262"/>
      <c r="AA1368" s="262"/>
      <c r="AB1368" s="262"/>
      <c r="AC1368" s="262"/>
      <c r="AD1368" s="262"/>
      <c r="AE1368" s="262"/>
      <c r="AF1368" s="147"/>
      <c r="AG1368" s="147"/>
      <c r="AH1368" s="147"/>
      <c r="AI1368" s="147"/>
      <c r="AJ1368" s="189"/>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row>
    <row r="1369" spans="1:59" ht="15.75" customHeight="1" x14ac:dyDescent="0.2">
      <c r="A1369" s="162"/>
      <c r="B1369" s="162"/>
      <c r="C1369" s="206"/>
      <c r="D1369" s="262"/>
      <c r="E1369" s="262"/>
      <c r="F1369" s="262"/>
      <c r="G1369" s="262"/>
      <c r="H1369" s="262"/>
      <c r="I1369" s="262"/>
      <c r="J1369" s="262"/>
      <c r="K1369" s="262"/>
      <c r="L1369" s="262"/>
      <c r="M1369" s="262"/>
      <c r="N1369" s="262"/>
      <c r="O1369" s="262"/>
      <c r="P1369" s="262"/>
      <c r="Q1369" s="262"/>
      <c r="R1369" s="262"/>
      <c r="S1369" s="262"/>
      <c r="T1369" s="262"/>
      <c r="U1369" s="262"/>
      <c r="V1369" s="262"/>
      <c r="W1369" s="262"/>
      <c r="X1369" s="262"/>
      <c r="Y1369" s="262"/>
      <c r="Z1369" s="262"/>
      <c r="AA1369" s="262"/>
      <c r="AB1369" s="262"/>
      <c r="AC1369" s="262"/>
      <c r="AD1369" s="262"/>
      <c r="AE1369" s="262"/>
      <c r="AF1369" s="147"/>
      <c r="AG1369" s="147"/>
      <c r="AH1369" s="147"/>
      <c r="AI1369" s="147"/>
      <c r="AJ1369" s="189"/>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row>
    <row r="1370" spans="1:59" ht="15.75" customHeight="1" x14ac:dyDescent="0.2">
      <c r="A1370" s="162"/>
      <c r="B1370" s="162"/>
      <c r="C1370" s="206"/>
      <c r="D1370" s="262"/>
      <c r="E1370" s="262"/>
      <c r="F1370" s="262"/>
      <c r="G1370" s="262"/>
      <c r="H1370" s="262"/>
      <c r="I1370" s="262"/>
      <c r="J1370" s="262"/>
      <c r="K1370" s="262"/>
      <c r="L1370" s="262"/>
      <c r="M1370" s="262"/>
      <c r="N1370" s="262"/>
      <c r="O1370" s="262"/>
      <c r="P1370" s="262"/>
      <c r="Q1370" s="262"/>
      <c r="R1370" s="262"/>
      <c r="S1370" s="262"/>
      <c r="T1370" s="262"/>
      <c r="U1370" s="262"/>
      <c r="V1370" s="262"/>
      <c r="W1370" s="262"/>
      <c r="X1370" s="262"/>
      <c r="Y1370" s="262"/>
      <c r="Z1370" s="262"/>
      <c r="AA1370" s="262"/>
      <c r="AB1370" s="262"/>
      <c r="AC1370" s="262"/>
      <c r="AD1370" s="262"/>
      <c r="AE1370" s="262"/>
      <c r="AF1370" s="147"/>
      <c r="AG1370" s="147"/>
      <c r="AH1370" s="147"/>
      <c r="AI1370" s="147"/>
      <c r="AJ1370" s="189"/>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row>
    <row r="1371" spans="1:59" ht="15.75" customHeight="1" x14ac:dyDescent="0.2">
      <c r="A1371" s="162"/>
      <c r="B1371" s="162"/>
      <c r="C1371" s="206"/>
      <c r="D1371" s="262"/>
      <c r="E1371" s="262"/>
      <c r="F1371" s="262"/>
      <c r="G1371" s="262"/>
      <c r="H1371" s="262"/>
      <c r="I1371" s="262"/>
      <c r="J1371" s="262"/>
      <c r="K1371" s="262"/>
      <c r="L1371" s="262"/>
      <c r="M1371" s="262"/>
      <c r="N1371" s="262"/>
      <c r="O1371" s="262"/>
      <c r="P1371" s="262"/>
      <c r="Q1371" s="262"/>
      <c r="R1371" s="262"/>
      <c r="S1371" s="262"/>
      <c r="T1371" s="262"/>
      <c r="U1371" s="262"/>
      <c r="V1371" s="262"/>
      <c r="W1371" s="262"/>
      <c r="X1371" s="262"/>
      <c r="Y1371" s="262"/>
      <c r="Z1371" s="262"/>
      <c r="AA1371" s="262"/>
      <c r="AB1371" s="262"/>
      <c r="AC1371" s="262"/>
      <c r="AD1371" s="262"/>
      <c r="AE1371" s="262"/>
      <c r="AF1371" s="147"/>
      <c r="AG1371" s="147"/>
      <c r="AH1371" s="147"/>
      <c r="AI1371" s="147"/>
      <c r="AJ1371" s="189"/>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row>
    <row r="1372" spans="1:59" ht="15.75" customHeight="1" x14ac:dyDescent="0.2">
      <c r="A1372" s="162"/>
      <c r="B1372" s="162"/>
      <c r="C1372" s="206"/>
      <c r="D1372" s="262"/>
      <c r="E1372" s="262"/>
      <c r="F1372" s="262"/>
      <c r="G1372" s="262"/>
      <c r="H1372" s="262"/>
      <c r="I1372" s="262"/>
      <c r="J1372" s="262"/>
      <c r="K1372" s="262"/>
      <c r="L1372" s="262"/>
      <c r="M1372" s="262"/>
      <c r="N1372" s="262"/>
      <c r="O1372" s="262"/>
      <c r="P1372" s="262"/>
      <c r="Q1372" s="262"/>
      <c r="R1372" s="262"/>
      <c r="S1372" s="262"/>
      <c r="T1372" s="262"/>
      <c r="U1372" s="262"/>
      <c r="V1372" s="262"/>
      <c r="W1372" s="262"/>
      <c r="X1372" s="262"/>
      <c r="Y1372" s="262"/>
      <c r="Z1372" s="262"/>
      <c r="AA1372" s="262"/>
      <c r="AB1372" s="262"/>
      <c r="AC1372" s="262"/>
      <c r="AD1372" s="262"/>
      <c r="AE1372" s="262"/>
      <c r="AF1372" s="147"/>
      <c r="AG1372" s="147"/>
      <c r="AH1372" s="147"/>
      <c r="AI1372" s="147"/>
      <c r="AJ1372" s="195"/>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row>
    <row r="1373" spans="1:59" ht="15.75" customHeight="1" x14ac:dyDescent="0.2">
      <c r="A1373" s="162"/>
      <c r="B1373" s="162"/>
      <c r="C1373" s="206"/>
      <c r="D1373" s="262"/>
      <c r="E1373" s="262"/>
      <c r="F1373" s="262"/>
      <c r="G1373" s="262"/>
      <c r="H1373" s="262"/>
      <c r="I1373" s="262"/>
      <c r="J1373" s="262"/>
      <c r="K1373" s="262"/>
      <c r="L1373" s="262"/>
      <c r="M1373" s="262"/>
      <c r="N1373" s="262"/>
      <c r="O1373" s="262"/>
      <c r="P1373" s="262"/>
      <c r="Q1373" s="262"/>
      <c r="R1373" s="262"/>
      <c r="S1373" s="262"/>
      <c r="T1373" s="262"/>
      <c r="U1373" s="262"/>
      <c r="V1373" s="262"/>
      <c r="W1373" s="262"/>
      <c r="X1373" s="262"/>
      <c r="Y1373" s="262"/>
      <c r="Z1373" s="262"/>
      <c r="AA1373" s="262"/>
      <c r="AB1373" s="262"/>
      <c r="AC1373" s="262"/>
      <c r="AD1373" s="262"/>
      <c r="AE1373" s="262"/>
      <c r="AF1373" s="147"/>
      <c r="AG1373" s="147"/>
      <c r="AH1373" s="147"/>
      <c r="AI1373" s="147"/>
      <c r="AJ1373" s="189"/>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row>
    <row r="1374" spans="1:59" ht="15.75" customHeight="1" x14ac:dyDescent="0.2">
      <c r="A1374" s="162"/>
      <c r="B1374" s="162"/>
      <c r="C1374" s="206"/>
      <c r="D1374" s="262"/>
      <c r="E1374" s="262"/>
      <c r="F1374" s="262"/>
      <c r="G1374" s="262"/>
      <c r="H1374" s="262"/>
      <c r="I1374" s="262"/>
      <c r="J1374" s="262"/>
      <c r="K1374" s="262"/>
      <c r="L1374" s="262"/>
      <c r="M1374" s="262"/>
      <c r="N1374" s="262"/>
      <c r="O1374" s="262"/>
      <c r="P1374" s="262"/>
      <c r="Q1374" s="262"/>
      <c r="R1374" s="262"/>
      <c r="S1374" s="262"/>
      <c r="T1374" s="262"/>
      <c r="U1374" s="262"/>
      <c r="V1374" s="262"/>
      <c r="W1374" s="262"/>
      <c r="X1374" s="262"/>
      <c r="Y1374" s="262"/>
      <c r="Z1374" s="262"/>
      <c r="AA1374" s="262"/>
      <c r="AB1374" s="262"/>
      <c r="AC1374" s="262"/>
      <c r="AD1374" s="262"/>
      <c r="AE1374" s="262"/>
      <c r="AF1374" s="147"/>
      <c r="AG1374" s="147"/>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row>
    <row r="1375" spans="1:59" ht="15.75" customHeight="1" x14ac:dyDescent="0.2">
      <c r="A1375" s="162"/>
      <c r="B1375" s="162"/>
      <c r="C1375" s="206"/>
      <c r="D1375" s="262"/>
      <c r="E1375" s="262"/>
      <c r="F1375" s="262"/>
      <c r="G1375" s="262"/>
      <c r="H1375" s="262"/>
      <c r="I1375" s="262"/>
      <c r="J1375" s="262"/>
      <c r="K1375" s="262"/>
      <c r="L1375" s="262"/>
      <c r="M1375" s="262"/>
      <c r="N1375" s="262"/>
      <c r="O1375" s="262"/>
      <c r="P1375" s="262"/>
      <c r="Q1375" s="262"/>
      <c r="R1375" s="262"/>
      <c r="S1375" s="262"/>
      <c r="T1375" s="262"/>
      <c r="U1375" s="262"/>
      <c r="V1375" s="262"/>
      <c r="W1375" s="262"/>
      <c r="X1375" s="262"/>
      <c r="Y1375" s="262"/>
      <c r="Z1375" s="262"/>
      <c r="AA1375" s="262"/>
      <c r="AB1375" s="262"/>
      <c r="AC1375" s="262"/>
      <c r="AD1375" s="262"/>
      <c r="AE1375" s="262"/>
      <c r="AF1375" s="147"/>
      <c r="AG1375" s="147"/>
      <c r="AH1375" s="147"/>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row>
    <row r="1376" spans="1:59" ht="15.75" customHeight="1" x14ac:dyDescent="0.2">
      <c r="A1376" s="162"/>
      <c r="B1376" s="162"/>
      <c r="C1376" s="206"/>
      <c r="D1376" s="262"/>
      <c r="E1376" s="262"/>
      <c r="F1376" s="262"/>
      <c r="G1376" s="262"/>
      <c r="H1376" s="262"/>
      <c r="I1376" s="262"/>
      <c r="J1376" s="262"/>
      <c r="K1376" s="262"/>
      <c r="L1376" s="262"/>
      <c r="M1376" s="262"/>
      <c r="N1376" s="262"/>
      <c r="O1376" s="262"/>
      <c r="P1376" s="262"/>
      <c r="Q1376" s="262"/>
      <c r="R1376" s="262"/>
      <c r="S1376" s="262"/>
      <c r="T1376" s="262"/>
      <c r="U1376" s="262"/>
      <c r="V1376" s="262"/>
      <c r="W1376" s="262"/>
      <c r="X1376" s="262"/>
      <c r="Y1376" s="262"/>
      <c r="Z1376" s="262"/>
      <c r="AA1376" s="262"/>
      <c r="AB1376" s="262"/>
      <c r="AC1376" s="262"/>
      <c r="AD1376" s="262"/>
      <c r="AE1376" s="262"/>
      <c r="AF1376" s="147"/>
      <c r="AG1376" s="147"/>
      <c r="AH1376" s="147"/>
      <c r="AI1376" s="147"/>
      <c r="AJ1376" s="189"/>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row>
    <row r="1377" spans="1:59" ht="15.75" customHeight="1" x14ac:dyDescent="0.2">
      <c r="A1377" s="162"/>
      <c r="B1377" s="162"/>
      <c r="C1377" s="206"/>
      <c r="D1377" s="262"/>
      <c r="E1377" s="262"/>
      <c r="F1377" s="262"/>
      <c r="G1377" s="262"/>
      <c r="H1377" s="262"/>
      <c r="I1377" s="262"/>
      <c r="J1377" s="262"/>
      <c r="K1377" s="262"/>
      <c r="L1377" s="262"/>
      <c r="M1377" s="262"/>
      <c r="N1377" s="262"/>
      <c r="O1377" s="262"/>
      <c r="P1377" s="262"/>
      <c r="Q1377" s="262"/>
      <c r="R1377" s="262"/>
      <c r="S1377" s="262"/>
      <c r="T1377" s="262"/>
      <c r="U1377" s="262"/>
      <c r="V1377" s="262"/>
      <c r="W1377" s="262"/>
      <c r="X1377" s="262"/>
      <c r="Y1377" s="262"/>
      <c r="Z1377" s="262"/>
      <c r="AA1377" s="262"/>
      <c r="AB1377" s="262"/>
      <c r="AC1377" s="262"/>
      <c r="AD1377" s="262"/>
      <c r="AE1377" s="262"/>
      <c r="AF1377" s="147"/>
      <c r="AG1377" s="147"/>
      <c r="AH1377" s="147"/>
      <c r="AI1377" s="147"/>
      <c r="AJ1377" s="189"/>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row>
    <row r="1378" spans="1:59" ht="15.75" customHeight="1" x14ac:dyDescent="0.2">
      <c r="A1378" s="162"/>
      <c r="B1378" s="162"/>
      <c r="C1378" s="206"/>
      <c r="D1378" s="262"/>
      <c r="E1378" s="262"/>
      <c r="F1378" s="262"/>
      <c r="G1378" s="262"/>
      <c r="H1378" s="262"/>
      <c r="I1378" s="262"/>
      <c r="J1378" s="262"/>
      <c r="K1378" s="262"/>
      <c r="L1378" s="262"/>
      <c r="M1378" s="262"/>
      <c r="N1378" s="262"/>
      <c r="O1378" s="262"/>
      <c r="P1378" s="262"/>
      <c r="Q1378" s="262"/>
      <c r="R1378" s="262"/>
      <c r="S1378" s="262"/>
      <c r="T1378" s="262"/>
      <c r="U1378" s="262"/>
      <c r="V1378" s="262"/>
      <c r="W1378" s="262"/>
      <c r="X1378" s="262"/>
      <c r="Y1378" s="262"/>
      <c r="Z1378" s="262"/>
      <c r="AA1378" s="262"/>
      <c r="AB1378" s="262"/>
      <c r="AC1378" s="262"/>
      <c r="AD1378" s="262"/>
      <c r="AE1378" s="262"/>
      <c r="AF1378" s="147"/>
      <c r="AG1378" s="147"/>
      <c r="AH1378" s="147"/>
      <c r="AI1378" s="147"/>
      <c r="AJ1378" s="189"/>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row>
    <row r="1379" spans="1:59" ht="15.75" customHeight="1" x14ac:dyDescent="0.2">
      <c r="A1379" s="162"/>
      <c r="B1379" s="162"/>
      <c r="C1379" s="206"/>
      <c r="D1379" s="262"/>
      <c r="E1379" s="262"/>
      <c r="F1379" s="262"/>
      <c r="G1379" s="262"/>
      <c r="H1379" s="262"/>
      <c r="I1379" s="262"/>
      <c r="J1379" s="262"/>
      <c r="K1379" s="262"/>
      <c r="L1379" s="262"/>
      <c r="M1379" s="262"/>
      <c r="N1379" s="262"/>
      <c r="O1379" s="262"/>
      <c r="P1379" s="262"/>
      <c r="Q1379" s="262"/>
      <c r="R1379" s="262"/>
      <c r="S1379" s="262"/>
      <c r="T1379" s="262"/>
      <c r="U1379" s="262"/>
      <c r="V1379" s="262"/>
      <c r="W1379" s="262"/>
      <c r="X1379" s="262"/>
      <c r="Y1379" s="262"/>
      <c r="Z1379" s="262"/>
      <c r="AA1379" s="262"/>
      <c r="AB1379" s="262"/>
      <c r="AC1379" s="262"/>
      <c r="AD1379" s="262"/>
      <c r="AE1379" s="262"/>
      <c r="AF1379" s="147"/>
      <c r="AG1379" s="147"/>
      <c r="AH1379" s="147"/>
      <c r="AI1379" s="147"/>
      <c r="AJ1379" s="189"/>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row>
    <row r="1380" spans="1:59" ht="15.75" customHeight="1" x14ac:dyDescent="0.2">
      <c r="A1380" s="162"/>
      <c r="B1380" s="162"/>
      <c r="C1380" s="206"/>
      <c r="D1380" s="262"/>
      <c r="E1380" s="262"/>
      <c r="F1380" s="262"/>
      <c r="G1380" s="262"/>
      <c r="H1380" s="262"/>
      <c r="I1380" s="262"/>
      <c r="J1380" s="262"/>
      <c r="K1380" s="262"/>
      <c r="L1380" s="262"/>
      <c r="M1380" s="262"/>
      <c r="N1380" s="262"/>
      <c r="O1380" s="262"/>
      <c r="P1380" s="262"/>
      <c r="Q1380" s="262"/>
      <c r="R1380" s="262"/>
      <c r="S1380" s="262"/>
      <c r="T1380" s="262"/>
      <c r="U1380" s="262"/>
      <c r="V1380" s="262"/>
      <c r="W1380" s="262"/>
      <c r="X1380" s="262"/>
      <c r="Y1380" s="262"/>
      <c r="Z1380" s="262"/>
      <c r="AA1380" s="262"/>
      <c r="AB1380" s="262"/>
      <c r="AC1380" s="262"/>
      <c r="AD1380" s="262"/>
      <c r="AE1380" s="262"/>
      <c r="AF1380" s="147"/>
      <c r="AG1380" s="147"/>
      <c r="AH1380" s="147"/>
      <c r="AI1380" s="147"/>
      <c r="AJ1380" s="189"/>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row>
    <row r="1381" spans="1:59" ht="15.75" customHeight="1" x14ac:dyDescent="0.2">
      <c r="A1381" s="162"/>
      <c r="B1381" s="162"/>
      <c r="C1381" s="206"/>
      <c r="D1381" s="262"/>
      <c r="E1381" s="262"/>
      <c r="F1381" s="262"/>
      <c r="G1381" s="262"/>
      <c r="H1381" s="262"/>
      <c r="I1381" s="262"/>
      <c r="J1381" s="262"/>
      <c r="K1381" s="262"/>
      <c r="L1381" s="262"/>
      <c r="M1381" s="262"/>
      <c r="N1381" s="262"/>
      <c r="O1381" s="262"/>
      <c r="P1381" s="262"/>
      <c r="Q1381" s="262"/>
      <c r="R1381" s="262"/>
      <c r="S1381" s="262"/>
      <c r="T1381" s="262"/>
      <c r="U1381" s="262"/>
      <c r="V1381" s="262"/>
      <c r="W1381" s="262"/>
      <c r="X1381" s="262"/>
      <c r="Y1381" s="262"/>
      <c r="Z1381" s="262"/>
      <c r="AA1381" s="262"/>
      <c r="AB1381" s="262"/>
      <c r="AC1381" s="262"/>
      <c r="AD1381" s="262"/>
      <c r="AE1381" s="262"/>
      <c r="AF1381" s="147"/>
      <c r="AG1381" s="147"/>
      <c r="AH1381" s="147"/>
      <c r="AI1381" s="147"/>
      <c r="AJ1381" s="84"/>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row>
    <row r="1382" spans="1:59" ht="15.75" customHeight="1" x14ac:dyDescent="0.2">
      <c r="A1382" s="162"/>
      <c r="B1382" s="162"/>
      <c r="C1382" s="206"/>
      <c r="D1382" s="262"/>
      <c r="E1382" s="262"/>
      <c r="F1382" s="262"/>
      <c r="G1382" s="262"/>
      <c r="H1382" s="262"/>
      <c r="I1382" s="262"/>
      <c r="J1382" s="262"/>
      <c r="K1382" s="262"/>
      <c r="L1382" s="262"/>
      <c r="M1382" s="262"/>
      <c r="N1382" s="262"/>
      <c r="O1382" s="262"/>
      <c r="P1382" s="262"/>
      <c r="Q1382" s="262"/>
      <c r="R1382" s="262"/>
      <c r="S1382" s="262"/>
      <c r="T1382" s="262"/>
      <c r="U1382" s="262"/>
      <c r="V1382" s="262"/>
      <c r="W1382" s="262"/>
      <c r="X1382" s="262"/>
      <c r="Y1382" s="262"/>
      <c r="Z1382" s="262"/>
      <c r="AA1382" s="262"/>
      <c r="AB1382" s="262"/>
      <c r="AC1382" s="262"/>
      <c r="AD1382" s="262"/>
      <c r="AE1382" s="262"/>
      <c r="AF1382" s="147"/>
      <c r="AG1382" s="147"/>
      <c r="AH1382" s="147"/>
      <c r="AI1382" s="147"/>
      <c r="AJ1382" s="189"/>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row>
    <row r="1383" spans="1:59" ht="15.75" customHeight="1" x14ac:dyDescent="0.2">
      <c r="A1383" s="162"/>
      <c r="B1383" s="162"/>
      <c r="C1383" s="206"/>
      <c r="D1383" s="262"/>
      <c r="E1383" s="262"/>
      <c r="F1383" s="262"/>
      <c r="G1383" s="262"/>
      <c r="H1383" s="262"/>
      <c r="I1383" s="262"/>
      <c r="J1383" s="262"/>
      <c r="K1383" s="262"/>
      <c r="L1383" s="262"/>
      <c r="M1383" s="262"/>
      <c r="N1383" s="262"/>
      <c r="O1383" s="262"/>
      <c r="P1383" s="262"/>
      <c r="Q1383" s="262"/>
      <c r="R1383" s="262"/>
      <c r="S1383" s="262"/>
      <c r="T1383" s="262"/>
      <c r="U1383" s="262"/>
      <c r="V1383" s="262"/>
      <c r="W1383" s="262"/>
      <c r="X1383" s="262"/>
      <c r="Y1383" s="262"/>
      <c r="Z1383" s="262"/>
      <c r="AA1383" s="262"/>
      <c r="AB1383" s="262"/>
      <c r="AC1383" s="262"/>
      <c r="AD1383" s="262"/>
      <c r="AE1383" s="262"/>
      <c r="AF1383" s="147"/>
      <c r="AG1383" s="147"/>
      <c r="AH1383" s="147"/>
      <c r="AI1383" s="147"/>
      <c r="AJ1383" s="189"/>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row>
    <row r="1384" spans="1:59" ht="15.75" customHeight="1" x14ac:dyDescent="0.2">
      <c r="A1384" s="162"/>
      <c r="B1384" s="162"/>
      <c r="C1384" s="206"/>
      <c r="D1384" s="262"/>
      <c r="E1384" s="262"/>
      <c r="F1384" s="262"/>
      <c r="G1384" s="262"/>
      <c r="H1384" s="262"/>
      <c r="I1384" s="262"/>
      <c r="J1384" s="262"/>
      <c r="K1384" s="262"/>
      <c r="L1384" s="262"/>
      <c r="M1384" s="262"/>
      <c r="N1384" s="262"/>
      <c r="O1384" s="262"/>
      <c r="P1384" s="262"/>
      <c r="Q1384" s="262"/>
      <c r="R1384" s="262"/>
      <c r="S1384" s="262"/>
      <c r="T1384" s="262"/>
      <c r="U1384" s="262"/>
      <c r="V1384" s="262"/>
      <c r="W1384" s="262"/>
      <c r="X1384" s="262"/>
      <c r="Y1384" s="262"/>
      <c r="Z1384" s="262"/>
      <c r="AA1384" s="262"/>
      <c r="AB1384" s="262"/>
      <c r="AC1384" s="262"/>
      <c r="AD1384" s="262"/>
      <c r="AE1384" s="262"/>
      <c r="AF1384" s="147"/>
      <c r="AG1384" s="147"/>
      <c r="AH1384" s="147"/>
      <c r="AI1384" s="147"/>
      <c r="AJ1384" s="189"/>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row>
    <row r="1385" spans="1:59" ht="15.75" customHeight="1" x14ac:dyDescent="0.2">
      <c r="A1385" s="162"/>
      <c r="B1385" s="162"/>
      <c r="C1385" s="206"/>
      <c r="D1385" s="262"/>
      <c r="E1385" s="262"/>
      <c r="F1385" s="262"/>
      <c r="G1385" s="262"/>
      <c r="H1385" s="262"/>
      <c r="I1385" s="262"/>
      <c r="J1385" s="262"/>
      <c r="K1385" s="262"/>
      <c r="L1385" s="262"/>
      <c r="M1385" s="262"/>
      <c r="N1385" s="262"/>
      <c r="O1385" s="262"/>
      <c r="P1385" s="262"/>
      <c r="Q1385" s="262"/>
      <c r="R1385" s="262"/>
      <c r="S1385" s="262"/>
      <c r="T1385" s="262"/>
      <c r="U1385" s="262"/>
      <c r="V1385" s="262"/>
      <c r="W1385" s="262"/>
      <c r="X1385" s="262"/>
      <c r="Y1385" s="262"/>
      <c r="Z1385" s="262"/>
      <c r="AA1385" s="262"/>
      <c r="AB1385" s="262"/>
      <c r="AC1385" s="262"/>
      <c r="AD1385" s="262"/>
      <c r="AE1385" s="262"/>
      <c r="AF1385" s="147"/>
      <c r="AG1385" s="147"/>
      <c r="AH1385" s="147"/>
      <c r="AI1385" s="147"/>
      <c r="AJ1385" s="195"/>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row>
    <row r="1386" spans="1:59" ht="15.75" customHeight="1" x14ac:dyDescent="0.2">
      <c r="A1386" s="162"/>
      <c r="B1386" s="162"/>
      <c r="C1386" s="206"/>
      <c r="D1386" s="262"/>
      <c r="E1386" s="262"/>
      <c r="F1386" s="262"/>
      <c r="G1386" s="262"/>
      <c r="H1386" s="262"/>
      <c r="I1386" s="262"/>
      <c r="J1386" s="262"/>
      <c r="K1386" s="262"/>
      <c r="L1386" s="262"/>
      <c r="M1386" s="262"/>
      <c r="N1386" s="262"/>
      <c r="O1386" s="262"/>
      <c r="P1386" s="262"/>
      <c r="Q1386" s="262"/>
      <c r="R1386" s="262"/>
      <c r="S1386" s="262"/>
      <c r="T1386" s="262"/>
      <c r="U1386" s="262"/>
      <c r="V1386" s="262"/>
      <c r="W1386" s="262"/>
      <c r="X1386" s="262"/>
      <c r="Y1386" s="262"/>
      <c r="Z1386" s="262"/>
      <c r="AA1386" s="262"/>
      <c r="AB1386" s="262"/>
      <c r="AC1386" s="262"/>
      <c r="AD1386" s="262"/>
      <c r="AE1386" s="262"/>
      <c r="AF1386" s="147"/>
      <c r="AG1386" s="147"/>
      <c r="AH1386" s="147"/>
      <c r="AI1386" s="147"/>
      <c r="AJ1386" s="189"/>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row>
    <row r="1387" spans="1:59" ht="15.75" customHeight="1" x14ac:dyDescent="0.2">
      <c r="A1387" s="162"/>
      <c r="B1387" s="162"/>
      <c r="C1387" s="206"/>
      <c r="D1387" s="262"/>
      <c r="E1387" s="262"/>
      <c r="F1387" s="262"/>
      <c r="G1387" s="262"/>
      <c r="H1387" s="262"/>
      <c r="I1387" s="262"/>
      <c r="J1387" s="262"/>
      <c r="K1387" s="262"/>
      <c r="L1387" s="262"/>
      <c r="M1387" s="262"/>
      <c r="N1387" s="262"/>
      <c r="O1387" s="262"/>
      <c r="P1387" s="262"/>
      <c r="Q1387" s="262"/>
      <c r="R1387" s="262"/>
      <c r="S1387" s="262"/>
      <c r="T1387" s="262"/>
      <c r="U1387" s="262"/>
      <c r="V1387" s="262"/>
      <c r="W1387" s="262"/>
      <c r="X1387" s="262"/>
      <c r="Y1387" s="262"/>
      <c r="Z1387" s="262"/>
      <c r="AA1387" s="262"/>
      <c r="AB1387" s="262"/>
      <c r="AC1387" s="262"/>
      <c r="AD1387" s="262"/>
      <c r="AE1387" s="262"/>
      <c r="AF1387" s="147"/>
      <c r="AG1387" s="147"/>
      <c r="AH1387" s="147"/>
      <c r="AI1387" s="147"/>
      <c r="AJ1387" s="189"/>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row>
    <row r="1388" spans="1:59" ht="15.75" customHeight="1" x14ac:dyDescent="0.2">
      <c r="A1388" s="162"/>
      <c r="B1388" s="162"/>
      <c r="C1388" s="206"/>
      <c r="D1388" s="262"/>
      <c r="E1388" s="262"/>
      <c r="F1388" s="262"/>
      <c r="G1388" s="262"/>
      <c r="H1388" s="262"/>
      <c r="I1388" s="262"/>
      <c r="J1388" s="262"/>
      <c r="K1388" s="262"/>
      <c r="L1388" s="262"/>
      <c r="M1388" s="262"/>
      <c r="N1388" s="262"/>
      <c r="O1388" s="262"/>
      <c r="P1388" s="262"/>
      <c r="Q1388" s="262"/>
      <c r="R1388" s="262"/>
      <c r="S1388" s="262"/>
      <c r="T1388" s="262"/>
      <c r="U1388" s="262"/>
      <c r="V1388" s="262"/>
      <c r="W1388" s="262"/>
      <c r="X1388" s="262"/>
      <c r="Y1388" s="262"/>
      <c r="Z1388" s="262"/>
      <c r="AA1388" s="262"/>
      <c r="AB1388" s="262"/>
      <c r="AC1388" s="262"/>
      <c r="AD1388" s="262"/>
      <c r="AE1388" s="262"/>
      <c r="AF1388" s="147"/>
      <c r="AG1388" s="147"/>
      <c r="AH1388" s="147"/>
      <c r="AI1388" s="147"/>
      <c r="AJ1388" s="189"/>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row>
    <row r="1389" spans="1:59" ht="15.75" customHeight="1" x14ac:dyDescent="0.2">
      <c r="A1389" s="162"/>
      <c r="B1389" s="162"/>
      <c r="C1389" s="206"/>
      <c r="D1389" s="262"/>
      <c r="E1389" s="262"/>
      <c r="F1389" s="262"/>
      <c r="G1389" s="262"/>
      <c r="H1389" s="262"/>
      <c r="I1389" s="262"/>
      <c r="J1389" s="262"/>
      <c r="K1389" s="262"/>
      <c r="L1389" s="262"/>
      <c r="M1389" s="262"/>
      <c r="N1389" s="262"/>
      <c r="O1389" s="262"/>
      <c r="P1389" s="262"/>
      <c r="Q1389" s="262"/>
      <c r="R1389" s="262"/>
      <c r="S1389" s="262"/>
      <c r="T1389" s="262"/>
      <c r="U1389" s="262"/>
      <c r="V1389" s="262"/>
      <c r="W1389" s="262"/>
      <c r="X1389" s="262"/>
      <c r="Y1389" s="262"/>
      <c r="Z1389" s="262"/>
      <c r="AA1389" s="262"/>
      <c r="AB1389" s="262"/>
      <c r="AC1389" s="262"/>
      <c r="AD1389" s="262"/>
      <c r="AE1389" s="262"/>
      <c r="AF1389" s="147"/>
      <c r="AG1389" s="147"/>
      <c r="AH1389" s="147"/>
      <c r="AI1389" s="147"/>
      <c r="AJ1389" s="189"/>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row>
    <row r="1390" spans="1:59" ht="15.75" customHeight="1" x14ac:dyDescent="0.2">
      <c r="A1390" s="162"/>
      <c r="B1390" s="162"/>
      <c r="C1390" s="206"/>
      <c r="D1390" s="262"/>
      <c r="E1390" s="262"/>
      <c r="F1390" s="262"/>
      <c r="G1390" s="262"/>
      <c r="H1390" s="262"/>
      <c r="I1390" s="262"/>
      <c r="J1390" s="262"/>
      <c r="K1390" s="262"/>
      <c r="L1390" s="262"/>
      <c r="M1390" s="262"/>
      <c r="N1390" s="262"/>
      <c r="O1390" s="262"/>
      <c r="P1390" s="262"/>
      <c r="Q1390" s="262"/>
      <c r="R1390" s="262"/>
      <c r="S1390" s="262"/>
      <c r="T1390" s="262"/>
      <c r="U1390" s="262"/>
      <c r="V1390" s="262"/>
      <c r="W1390" s="262"/>
      <c r="X1390" s="262"/>
      <c r="Y1390" s="262"/>
      <c r="Z1390" s="262"/>
      <c r="AA1390" s="262"/>
      <c r="AB1390" s="262"/>
      <c r="AC1390" s="262"/>
      <c r="AD1390" s="262"/>
      <c r="AE1390" s="262"/>
      <c r="AF1390" s="147"/>
      <c r="AG1390" s="147"/>
      <c r="AH1390" s="147"/>
      <c r="AI1390" s="147"/>
      <c r="AJ1390" s="195"/>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row>
    <row r="1391" spans="1:59" ht="15.75" customHeight="1" x14ac:dyDescent="0.2">
      <c r="A1391" s="162"/>
      <c r="B1391" s="162"/>
      <c r="C1391" s="206"/>
      <c r="D1391" s="262"/>
      <c r="E1391" s="262"/>
      <c r="F1391" s="262"/>
      <c r="G1391" s="262"/>
      <c r="H1391" s="262"/>
      <c r="I1391" s="262"/>
      <c r="J1391" s="262"/>
      <c r="K1391" s="262"/>
      <c r="L1391" s="262"/>
      <c r="M1391" s="262"/>
      <c r="N1391" s="262"/>
      <c r="O1391" s="262"/>
      <c r="P1391" s="262"/>
      <c r="Q1391" s="262"/>
      <c r="R1391" s="262"/>
      <c r="S1391" s="262"/>
      <c r="T1391" s="262"/>
      <c r="U1391" s="262"/>
      <c r="V1391" s="262"/>
      <c r="W1391" s="262"/>
      <c r="X1391" s="262"/>
      <c r="Y1391" s="262"/>
      <c r="Z1391" s="262"/>
      <c r="AA1391" s="262"/>
      <c r="AB1391" s="262"/>
      <c r="AC1391" s="262"/>
      <c r="AD1391" s="262"/>
      <c r="AE1391" s="262"/>
      <c r="AF1391" s="147"/>
      <c r="AG1391" s="147"/>
      <c r="AH1391" s="147"/>
      <c r="AI1391" s="147"/>
      <c r="AJ1391" s="189"/>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row>
    <row r="1392" spans="1:59" ht="15.75" customHeight="1" x14ac:dyDescent="0.2">
      <c r="A1392" s="162"/>
      <c r="B1392" s="162"/>
      <c r="C1392" s="206"/>
      <c r="D1392" s="262"/>
      <c r="E1392" s="262"/>
      <c r="F1392" s="262"/>
      <c r="G1392" s="262"/>
      <c r="H1392" s="262"/>
      <c r="I1392" s="262"/>
      <c r="J1392" s="262"/>
      <c r="K1392" s="262"/>
      <c r="L1392" s="262"/>
      <c r="M1392" s="262"/>
      <c r="N1392" s="262"/>
      <c r="O1392" s="262"/>
      <c r="P1392" s="262"/>
      <c r="Q1392" s="262"/>
      <c r="R1392" s="262"/>
      <c r="S1392" s="262"/>
      <c r="T1392" s="262"/>
      <c r="U1392" s="262"/>
      <c r="V1392" s="262"/>
      <c r="W1392" s="262"/>
      <c r="X1392" s="262"/>
      <c r="Y1392" s="262"/>
      <c r="Z1392" s="262"/>
      <c r="AA1392" s="262"/>
      <c r="AB1392" s="262"/>
      <c r="AC1392" s="262"/>
      <c r="AD1392" s="262"/>
      <c r="AE1392" s="262"/>
      <c r="AF1392" s="147"/>
      <c r="AG1392" s="147"/>
      <c r="AH1392" s="147"/>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row>
    <row r="1393" spans="1:59" ht="15.75" customHeight="1" x14ac:dyDescent="0.2">
      <c r="A1393" s="162"/>
      <c r="B1393" s="162"/>
      <c r="C1393" s="206"/>
      <c r="D1393" s="262"/>
      <c r="E1393" s="262"/>
      <c r="F1393" s="262"/>
      <c r="G1393" s="262"/>
      <c r="H1393" s="262"/>
      <c r="I1393" s="262"/>
      <c r="J1393" s="262"/>
      <c r="K1393" s="262"/>
      <c r="L1393" s="262"/>
      <c r="M1393" s="262"/>
      <c r="N1393" s="262"/>
      <c r="O1393" s="262"/>
      <c r="P1393" s="262"/>
      <c r="Q1393" s="262"/>
      <c r="R1393" s="262"/>
      <c r="S1393" s="262"/>
      <c r="T1393" s="262"/>
      <c r="U1393" s="262"/>
      <c r="V1393" s="262"/>
      <c r="W1393" s="262"/>
      <c r="X1393" s="262"/>
      <c r="Y1393" s="262"/>
      <c r="Z1393" s="262"/>
      <c r="AA1393" s="262"/>
      <c r="AB1393" s="262"/>
      <c r="AC1393" s="262"/>
      <c r="AD1393" s="262"/>
      <c r="AE1393" s="262"/>
      <c r="AF1393" s="147"/>
      <c r="AG1393" s="147"/>
      <c r="AH1393" s="147"/>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row>
    <row r="1394" spans="1:59" ht="15.75" customHeight="1" x14ac:dyDescent="0.2">
      <c r="A1394" s="162"/>
      <c r="B1394" s="162"/>
      <c r="C1394" s="206"/>
      <c r="D1394" s="262"/>
      <c r="E1394" s="262"/>
      <c r="F1394" s="262"/>
      <c r="G1394" s="262"/>
      <c r="H1394" s="262"/>
      <c r="I1394" s="262"/>
      <c r="J1394" s="262"/>
      <c r="K1394" s="262"/>
      <c r="L1394" s="262"/>
      <c r="M1394" s="262"/>
      <c r="N1394" s="262"/>
      <c r="O1394" s="262"/>
      <c r="P1394" s="262"/>
      <c r="Q1394" s="262"/>
      <c r="R1394" s="262"/>
      <c r="S1394" s="262"/>
      <c r="T1394" s="262"/>
      <c r="U1394" s="262"/>
      <c r="V1394" s="262"/>
      <c r="W1394" s="262"/>
      <c r="X1394" s="262"/>
      <c r="Y1394" s="262"/>
      <c r="Z1394" s="262"/>
      <c r="AA1394" s="262"/>
      <c r="AB1394" s="262"/>
      <c r="AC1394" s="262"/>
      <c r="AD1394" s="262"/>
      <c r="AE1394" s="262"/>
      <c r="AF1394" s="147"/>
      <c r="AG1394" s="147"/>
      <c r="AH1394" s="147"/>
      <c r="AI1394" s="147"/>
      <c r="AJ1394" s="189"/>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row>
    <row r="1395" spans="1:59" ht="15.75" customHeight="1" x14ac:dyDescent="0.2">
      <c r="A1395" s="162"/>
      <c r="B1395" s="162"/>
      <c r="C1395" s="206"/>
      <c r="D1395" s="262"/>
      <c r="E1395" s="262"/>
      <c r="F1395" s="262"/>
      <c r="G1395" s="262"/>
      <c r="H1395" s="262"/>
      <c r="I1395" s="262"/>
      <c r="J1395" s="262"/>
      <c r="K1395" s="262"/>
      <c r="L1395" s="262"/>
      <c r="M1395" s="262"/>
      <c r="N1395" s="262"/>
      <c r="O1395" s="262"/>
      <c r="P1395" s="262"/>
      <c r="Q1395" s="262"/>
      <c r="R1395" s="262"/>
      <c r="S1395" s="262"/>
      <c r="T1395" s="262"/>
      <c r="U1395" s="262"/>
      <c r="V1395" s="262"/>
      <c r="W1395" s="262"/>
      <c r="X1395" s="262"/>
      <c r="Y1395" s="262"/>
      <c r="Z1395" s="262"/>
      <c r="AA1395" s="262"/>
      <c r="AB1395" s="262"/>
      <c r="AC1395" s="262"/>
      <c r="AD1395" s="262"/>
      <c r="AE1395" s="262"/>
      <c r="AF1395" s="147"/>
      <c r="AG1395" s="147"/>
      <c r="AH1395" s="147"/>
      <c r="AI1395" s="147"/>
      <c r="AJ1395" s="189"/>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row>
    <row r="1396" spans="1:59" ht="15.75" customHeight="1" x14ac:dyDescent="0.2">
      <c r="A1396" s="162"/>
      <c r="B1396" s="162"/>
      <c r="C1396" s="206"/>
      <c r="D1396" s="262"/>
      <c r="E1396" s="262"/>
      <c r="F1396" s="262"/>
      <c r="G1396" s="262"/>
      <c r="H1396" s="262"/>
      <c r="I1396" s="262"/>
      <c r="J1396" s="262"/>
      <c r="K1396" s="262"/>
      <c r="L1396" s="262"/>
      <c r="M1396" s="262"/>
      <c r="N1396" s="262"/>
      <c r="O1396" s="262"/>
      <c r="P1396" s="262"/>
      <c r="Q1396" s="262"/>
      <c r="R1396" s="262"/>
      <c r="S1396" s="262"/>
      <c r="T1396" s="262"/>
      <c r="U1396" s="262"/>
      <c r="V1396" s="262"/>
      <c r="W1396" s="262"/>
      <c r="X1396" s="262"/>
      <c r="Y1396" s="262"/>
      <c r="Z1396" s="262"/>
      <c r="AA1396" s="262"/>
      <c r="AB1396" s="262"/>
      <c r="AC1396" s="262"/>
      <c r="AD1396" s="262"/>
      <c r="AE1396" s="262"/>
      <c r="AF1396" s="147"/>
      <c r="AG1396" s="147"/>
      <c r="AH1396" s="147"/>
      <c r="AI1396" s="147"/>
      <c r="AJ1396" s="189"/>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row>
    <row r="1397" spans="1:59" ht="15.75" customHeight="1" x14ac:dyDescent="0.2">
      <c r="A1397" s="162"/>
      <c r="B1397" s="162"/>
      <c r="C1397" s="206"/>
      <c r="D1397" s="262"/>
      <c r="E1397" s="262"/>
      <c r="F1397" s="262"/>
      <c r="G1397" s="262"/>
      <c r="H1397" s="262"/>
      <c r="I1397" s="262"/>
      <c r="J1397" s="262"/>
      <c r="K1397" s="262"/>
      <c r="L1397" s="262"/>
      <c r="M1397" s="262"/>
      <c r="N1397" s="262"/>
      <c r="O1397" s="262"/>
      <c r="P1397" s="262"/>
      <c r="Q1397" s="262"/>
      <c r="R1397" s="262"/>
      <c r="S1397" s="262"/>
      <c r="T1397" s="262"/>
      <c r="U1397" s="262"/>
      <c r="V1397" s="262"/>
      <c r="W1397" s="262"/>
      <c r="X1397" s="262"/>
      <c r="Y1397" s="262"/>
      <c r="Z1397" s="262"/>
      <c r="AA1397" s="262"/>
      <c r="AB1397" s="262"/>
      <c r="AC1397" s="262"/>
      <c r="AD1397" s="262"/>
      <c r="AE1397" s="262"/>
      <c r="AF1397" s="147"/>
      <c r="AG1397" s="147"/>
      <c r="AH1397" s="147"/>
      <c r="AI1397" s="147"/>
      <c r="AJ1397" s="189"/>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row>
    <row r="1398" spans="1:59" ht="15.75" customHeight="1" x14ac:dyDescent="0.2">
      <c r="A1398" s="162"/>
      <c r="B1398" s="162"/>
      <c r="C1398" s="206"/>
      <c r="D1398" s="262"/>
      <c r="E1398" s="262"/>
      <c r="F1398" s="262"/>
      <c r="G1398" s="262"/>
      <c r="H1398" s="262"/>
      <c r="I1398" s="262"/>
      <c r="J1398" s="262"/>
      <c r="K1398" s="262"/>
      <c r="L1398" s="262"/>
      <c r="M1398" s="262"/>
      <c r="N1398" s="262"/>
      <c r="O1398" s="262"/>
      <c r="P1398" s="262"/>
      <c r="Q1398" s="262"/>
      <c r="R1398" s="262"/>
      <c r="S1398" s="262"/>
      <c r="T1398" s="262"/>
      <c r="U1398" s="262"/>
      <c r="V1398" s="262"/>
      <c r="W1398" s="262"/>
      <c r="X1398" s="262"/>
      <c r="Y1398" s="262"/>
      <c r="Z1398" s="262"/>
      <c r="AA1398" s="262"/>
      <c r="AB1398" s="262"/>
      <c r="AC1398" s="262"/>
      <c r="AD1398" s="262"/>
      <c r="AE1398" s="262"/>
      <c r="AF1398" s="147"/>
      <c r="AG1398" s="147"/>
      <c r="AH1398" s="147"/>
      <c r="AI1398" s="147"/>
      <c r="AJ1398" s="189"/>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row>
    <row r="1399" spans="1:59" ht="15.75" customHeight="1" x14ac:dyDescent="0.2">
      <c r="A1399" s="162"/>
      <c r="B1399" s="162"/>
      <c r="C1399" s="206"/>
      <c r="D1399" s="262"/>
      <c r="E1399" s="262"/>
      <c r="F1399" s="262"/>
      <c r="G1399" s="262"/>
      <c r="H1399" s="262"/>
      <c r="I1399" s="262"/>
      <c r="J1399" s="262"/>
      <c r="K1399" s="262"/>
      <c r="L1399" s="262"/>
      <c r="M1399" s="262"/>
      <c r="N1399" s="262"/>
      <c r="O1399" s="262"/>
      <c r="P1399" s="262"/>
      <c r="Q1399" s="262"/>
      <c r="R1399" s="262"/>
      <c r="S1399" s="262"/>
      <c r="T1399" s="262"/>
      <c r="U1399" s="262"/>
      <c r="V1399" s="262"/>
      <c r="W1399" s="262"/>
      <c r="X1399" s="262"/>
      <c r="Y1399" s="262"/>
      <c r="Z1399" s="262"/>
      <c r="AA1399" s="262"/>
      <c r="AB1399" s="262"/>
      <c r="AC1399" s="262"/>
      <c r="AD1399" s="262"/>
      <c r="AE1399" s="262"/>
      <c r="AF1399" s="147"/>
      <c r="AG1399" s="147"/>
      <c r="AH1399" s="147"/>
      <c r="AI1399" s="147"/>
      <c r="AJ1399" s="84"/>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row>
    <row r="1400" spans="1:59" ht="15.75" customHeight="1" x14ac:dyDescent="0.2">
      <c r="A1400" s="162"/>
      <c r="B1400" s="162"/>
      <c r="C1400" s="206"/>
      <c r="D1400" s="262"/>
      <c r="E1400" s="262"/>
      <c r="F1400" s="262"/>
      <c r="G1400" s="262"/>
      <c r="H1400" s="262"/>
      <c r="I1400" s="262"/>
      <c r="J1400" s="262"/>
      <c r="K1400" s="262"/>
      <c r="L1400" s="262"/>
      <c r="M1400" s="262"/>
      <c r="N1400" s="262"/>
      <c r="O1400" s="262"/>
      <c r="P1400" s="262"/>
      <c r="Q1400" s="262"/>
      <c r="R1400" s="262"/>
      <c r="S1400" s="262"/>
      <c r="T1400" s="262"/>
      <c r="U1400" s="262"/>
      <c r="V1400" s="262"/>
      <c r="W1400" s="262"/>
      <c r="X1400" s="262"/>
      <c r="Y1400" s="262"/>
      <c r="Z1400" s="262"/>
      <c r="AA1400" s="262"/>
      <c r="AB1400" s="262"/>
      <c r="AC1400" s="262"/>
      <c r="AD1400" s="262"/>
      <c r="AE1400" s="262"/>
      <c r="AF1400" s="147"/>
      <c r="AG1400" s="147"/>
      <c r="AH1400" s="147"/>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row>
    <row r="1401" spans="1:59" ht="15.75" customHeight="1" x14ac:dyDescent="0.2">
      <c r="A1401" s="162"/>
      <c r="B1401" s="162"/>
      <c r="C1401" s="206"/>
      <c r="D1401" s="262"/>
      <c r="E1401" s="262"/>
      <c r="F1401" s="262"/>
      <c r="G1401" s="262"/>
      <c r="H1401" s="262"/>
      <c r="I1401" s="262"/>
      <c r="J1401" s="262"/>
      <c r="K1401" s="262"/>
      <c r="L1401" s="262"/>
      <c r="M1401" s="262"/>
      <c r="N1401" s="262"/>
      <c r="O1401" s="262"/>
      <c r="P1401" s="262"/>
      <c r="Q1401" s="262"/>
      <c r="R1401" s="262"/>
      <c r="S1401" s="262"/>
      <c r="T1401" s="262"/>
      <c r="U1401" s="262"/>
      <c r="V1401" s="262"/>
      <c r="W1401" s="262"/>
      <c r="X1401" s="262"/>
      <c r="Y1401" s="262"/>
      <c r="Z1401" s="262"/>
      <c r="AA1401" s="262"/>
      <c r="AB1401" s="262"/>
      <c r="AC1401" s="262"/>
      <c r="AD1401" s="262"/>
      <c r="AE1401" s="262"/>
      <c r="AF1401" s="147"/>
      <c r="AG1401" s="147"/>
      <c r="AH1401" s="147"/>
      <c r="AI1401" s="147"/>
      <c r="AJ1401" s="189"/>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row>
    <row r="1402" spans="1:59" ht="15.75" customHeight="1" x14ac:dyDescent="0.2">
      <c r="A1402" s="162"/>
      <c r="B1402" s="162"/>
      <c r="C1402" s="206"/>
      <c r="D1402" s="262"/>
      <c r="E1402" s="262"/>
      <c r="F1402" s="262"/>
      <c r="G1402" s="262"/>
      <c r="H1402" s="262"/>
      <c r="I1402" s="262"/>
      <c r="J1402" s="262"/>
      <c r="K1402" s="262"/>
      <c r="L1402" s="262"/>
      <c r="M1402" s="262"/>
      <c r="N1402" s="262"/>
      <c r="O1402" s="262"/>
      <c r="P1402" s="262"/>
      <c r="Q1402" s="262"/>
      <c r="R1402" s="262"/>
      <c r="S1402" s="262"/>
      <c r="T1402" s="262"/>
      <c r="U1402" s="262"/>
      <c r="V1402" s="262"/>
      <c r="W1402" s="262"/>
      <c r="X1402" s="262"/>
      <c r="Y1402" s="262"/>
      <c r="Z1402" s="262"/>
      <c r="AA1402" s="262"/>
      <c r="AB1402" s="262"/>
      <c r="AC1402" s="262"/>
      <c r="AD1402" s="262"/>
      <c r="AE1402" s="262"/>
      <c r="AF1402" s="147"/>
      <c r="AG1402" s="147"/>
      <c r="AH1402" s="147"/>
      <c r="AI1402" s="147"/>
      <c r="AJ1402" s="189"/>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row>
    <row r="1403" spans="1:59" ht="15.75" customHeight="1" x14ac:dyDescent="0.2">
      <c r="A1403" s="162"/>
      <c r="B1403" s="162"/>
      <c r="C1403" s="206"/>
      <c r="D1403" s="262"/>
      <c r="E1403" s="262"/>
      <c r="F1403" s="262"/>
      <c r="G1403" s="262"/>
      <c r="H1403" s="262"/>
      <c r="I1403" s="262"/>
      <c r="J1403" s="262"/>
      <c r="K1403" s="262"/>
      <c r="L1403" s="262"/>
      <c r="M1403" s="262"/>
      <c r="N1403" s="262"/>
      <c r="O1403" s="262"/>
      <c r="P1403" s="262"/>
      <c r="Q1403" s="262"/>
      <c r="R1403" s="262"/>
      <c r="S1403" s="262"/>
      <c r="T1403" s="262"/>
      <c r="U1403" s="262"/>
      <c r="V1403" s="262"/>
      <c r="W1403" s="262"/>
      <c r="X1403" s="262"/>
      <c r="Y1403" s="262"/>
      <c r="Z1403" s="262"/>
      <c r="AA1403" s="262"/>
      <c r="AB1403" s="262"/>
      <c r="AC1403" s="262"/>
      <c r="AD1403" s="262"/>
      <c r="AE1403" s="262"/>
      <c r="AF1403" s="147"/>
      <c r="AG1403" s="147"/>
      <c r="AH1403" s="147"/>
      <c r="AI1403" s="147"/>
      <c r="AJ1403" s="195"/>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row>
    <row r="1404" spans="1:59" ht="15.75" customHeight="1" x14ac:dyDescent="0.2">
      <c r="A1404" s="162"/>
      <c r="B1404" s="162"/>
      <c r="C1404" s="206"/>
      <c r="D1404" s="262"/>
      <c r="E1404" s="262"/>
      <c r="F1404" s="262"/>
      <c r="G1404" s="262"/>
      <c r="H1404" s="262"/>
      <c r="I1404" s="262"/>
      <c r="J1404" s="262"/>
      <c r="K1404" s="262"/>
      <c r="L1404" s="262"/>
      <c r="M1404" s="262"/>
      <c r="N1404" s="262"/>
      <c r="O1404" s="262"/>
      <c r="P1404" s="262"/>
      <c r="Q1404" s="262"/>
      <c r="R1404" s="262"/>
      <c r="S1404" s="262"/>
      <c r="T1404" s="262"/>
      <c r="U1404" s="262"/>
      <c r="V1404" s="262"/>
      <c r="W1404" s="262"/>
      <c r="X1404" s="262"/>
      <c r="Y1404" s="262"/>
      <c r="Z1404" s="262"/>
      <c r="AA1404" s="262"/>
      <c r="AB1404" s="262"/>
      <c r="AC1404" s="262"/>
      <c r="AD1404" s="262"/>
      <c r="AE1404" s="262"/>
      <c r="AF1404" s="147"/>
      <c r="AG1404" s="147"/>
      <c r="AH1404" s="147"/>
      <c r="AI1404" s="147"/>
      <c r="AJ1404" s="189"/>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row>
    <row r="1405" spans="1:59" ht="15.75" customHeight="1" x14ac:dyDescent="0.2">
      <c r="A1405" s="162"/>
      <c r="B1405" s="162"/>
      <c r="C1405" s="206"/>
      <c r="D1405" s="262"/>
      <c r="E1405" s="262"/>
      <c r="F1405" s="262"/>
      <c r="G1405" s="262"/>
      <c r="H1405" s="262"/>
      <c r="I1405" s="262"/>
      <c r="J1405" s="262"/>
      <c r="K1405" s="262"/>
      <c r="L1405" s="262"/>
      <c r="M1405" s="262"/>
      <c r="N1405" s="262"/>
      <c r="O1405" s="262"/>
      <c r="P1405" s="262"/>
      <c r="Q1405" s="262"/>
      <c r="R1405" s="262"/>
      <c r="S1405" s="262"/>
      <c r="T1405" s="262"/>
      <c r="U1405" s="262"/>
      <c r="V1405" s="262"/>
      <c r="W1405" s="262"/>
      <c r="X1405" s="262"/>
      <c r="Y1405" s="262"/>
      <c r="Z1405" s="262"/>
      <c r="AA1405" s="262"/>
      <c r="AB1405" s="262"/>
      <c r="AC1405" s="262"/>
      <c r="AD1405" s="262"/>
      <c r="AE1405" s="262"/>
      <c r="AF1405" s="147"/>
      <c r="AG1405" s="147"/>
      <c r="AH1405" s="147"/>
      <c r="AI1405" s="147"/>
      <c r="AJ1405" s="189"/>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row>
    <row r="1406" spans="1:59" ht="15.75" customHeight="1" x14ac:dyDescent="0.2">
      <c r="A1406" s="162"/>
      <c r="B1406" s="162"/>
      <c r="C1406" s="206"/>
      <c r="D1406" s="262"/>
      <c r="E1406" s="262"/>
      <c r="F1406" s="262"/>
      <c r="G1406" s="262"/>
      <c r="H1406" s="262"/>
      <c r="I1406" s="262"/>
      <c r="J1406" s="262"/>
      <c r="K1406" s="262"/>
      <c r="L1406" s="262"/>
      <c r="M1406" s="262"/>
      <c r="N1406" s="262"/>
      <c r="O1406" s="262"/>
      <c r="P1406" s="262"/>
      <c r="Q1406" s="262"/>
      <c r="R1406" s="262"/>
      <c r="S1406" s="262"/>
      <c r="T1406" s="262"/>
      <c r="U1406" s="262"/>
      <c r="V1406" s="262"/>
      <c r="W1406" s="262"/>
      <c r="X1406" s="262"/>
      <c r="Y1406" s="262"/>
      <c r="Z1406" s="262"/>
      <c r="AA1406" s="262"/>
      <c r="AB1406" s="262"/>
      <c r="AC1406" s="262"/>
      <c r="AD1406" s="262"/>
      <c r="AE1406" s="262"/>
      <c r="AF1406" s="147"/>
      <c r="AG1406" s="147"/>
      <c r="AH1406" s="147"/>
      <c r="AI1406" s="147"/>
      <c r="AJ1406" s="189"/>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row>
    <row r="1407" spans="1:59" ht="15.75" customHeight="1" x14ac:dyDescent="0.2">
      <c r="A1407" s="162"/>
      <c r="B1407" s="162"/>
      <c r="C1407" s="206"/>
      <c r="D1407" s="262"/>
      <c r="E1407" s="262"/>
      <c r="F1407" s="262"/>
      <c r="G1407" s="262"/>
      <c r="H1407" s="262"/>
      <c r="I1407" s="262"/>
      <c r="J1407" s="262"/>
      <c r="K1407" s="262"/>
      <c r="L1407" s="262"/>
      <c r="M1407" s="262"/>
      <c r="N1407" s="262"/>
      <c r="O1407" s="262"/>
      <c r="P1407" s="262"/>
      <c r="Q1407" s="262"/>
      <c r="R1407" s="262"/>
      <c r="S1407" s="262"/>
      <c r="T1407" s="262"/>
      <c r="U1407" s="262"/>
      <c r="V1407" s="262"/>
      <c r="W1407" s="262"/>
      <c r="X1407" s="262"/>
      <c r="Y1407" s="262"/>
      <c r="Z1407" s="262"/>
      <c r="AA1407" s="262"/>
      <c r="AB1407" s="262"/>
      <c r="AC1407" s="262"/>
      <c r="AD1407" s="262"/>
      <c r="AE1407" s="262"/>
      <c r="AF1407" s="147"/>
      <c r="AG1407" s="147"/>
      <c r="AH1407" s="147"/>
      <c r="AI1407" s="147"/>
      <c r="AJ1407" s="195"/>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row>
    <row r="1408" spans="1:59" ht="15.75" customHeight="1" x14ac:dyDescent="0.2">
      <c r="A1408" s="162"/>
      <c r="B1408" s="162"/>
      <c r="C1408" s="206"/>
      <c r="D1408" s="262"/>
      <c r="E1408" s="262"/>
      <c r="F1408" s="262"/>
      <c r="G1408" s="262"/>
      <c r="H1408" s="262"/>
      <c r="I1408" s="262"/>
      <c r="J1408" s="262"/>
      <c r="K1408" s="262"/>
      <c r="L1408" s="262"/>
      <c r="M1408" s="262"/>
      <c r="N1408" s="262"/>
      <c r="O1408" s="262"/>
      <c r="P1408" s="262"/>
      <c r="Q1408" s="262"/>
      <c r="R1408" s="262"/>
      <c r="S1408" s="262"/>
      <c r="T1408" s="262"/>
      <c r="U1408" s="262"/>
      <c r="V1408" s="262"/>
      <c r="W1408" s="262"/>
      <c r="X1408" s="262"/>
      <c r="Y1408" s="262"/>
      <c r="Z1408" s="262"/>
      <c r="AA1408" s="262"/>
      <c r="AB1408" s="262"/>
      <c r="AC1408" s="262"/>
      <c r="AD1408" s="262"/>
      <c r="AE1408" s="262"/>
      <c r="AF1408" s="147"/>
      <c r="AG1408" s="147"/>
      <c r="AH1408" s="147"/>
      <c r="AI1408" s="147"/>
      <c r="AJ1408" s="195"/>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row>
    <row r="1409" spans="1:59" ht="15.75" customHeight="1" x14ac:dyDescent="0.2">
      <c r="A1409" s="162"/>
      <c r="B1409" s="162"/>
      <c r="C1409" s="206"/>
      <c r="D1409" s="262"/>
      <c r="E1409" s="262"/>
      <c r="F1409" s="262"/>
      <c r="G1409" s="262"/>
      <c r="H1409" s="262"/>
      <c r="I1409" s="262"/>
      <c r="J1409" s="262"/>
      <c r="K1409" s="262"/>
      <c r="L1409" s="262"/>
      <c r="M1409" s="262"/>
      <c r="N1409" s="262"/>
      <c r="O1409" s="262"/>
      <c r="P1409" s="262"/>
      <c r="Q1409" s="262"/>
      <c r="R1409" s="262"/>
      <c r="S1409" s="262"/>
      <c r="T1409" s="262"/>
      <c r="U1409" s="262"/>
      <c r="V1409" s="262"/>
      <c r="W1409" s="262"/>
      <c r="X1409" s="262"/>
      <c r="Y1409" s="262"/>
      <c r="Z1409" s="262"/>
      <c r="AA1409" s="262"/>
      <c r="AB1409" s="262"/>
      <c r="AC1409" s="262"/>
      <c r="AD1409" s="262"/>
      <c r="AE1409" s="262"/>
      <c r="AF1409" s="147"/>
      <c r="AG1409" s="147"/>
      <c r="AH1409" s="147"/>
      <c r="AI1409" s="147"/>
      <c r="AJ1409" s="189"/>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row>
    <row r="1410" spans="1:59" ht="15.75" customHeight="1" x14ac:dyDescent="0.2">
      <c r="A1410" s="162"/>
      <c r="B1410" s="162"/>
      <c r="C1410" s="206"/>
      <c r="D1410" s="262"/>
      <c r="E1410" s="262"/>
      <c r="F1410" s="262"/>
      <c r="G1410" s="262"/>
      <c r="H1410" s="262"/>
      <c r="I1410" s="262"/>
      <c r="J1410" s="262"/>
      <c r="K1410" s="262"/>
      <c r="L1410" s="262"/>
      <c r="M1410" s="262"/>
      <c r="N1410" s="262"/>
      <c r="O1410" s="262"/>
      <c r="P1410" s="262"/>
      <c r="Q1410" s="262"/>
      <c r="R1410" s="262"/>
      <c r="S1410" s="262"/>
      <c r="T1410" s="262"/>
      <c r="U1410" s="262"/>
      <c r="V1410" s="262"/>
      <c r="W1410" s="262"/>
      <c r="X1410" s="262"/>
      <c r="Y1410" s="262"/>
      <c r="Z1410" s="262"/>
      <c r="AA1410" s="262"/>
      <c r="AB1410" s="262"/>
      <c r="AC1410" s="262"/>
      <c r="AD1410" s="262"/>
      <c r="AE1410" s="262"/>
      <c r="AF1410" s="147"/>
      <c r="AG1410" s="147"/>
      <c r="AH1410" s="147"/>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row>
    <row r="1411" spans="1:59" ht="15.75" customHeight="1" x14ac:dyDescent="0.2">
      <c r="A1411" s="162"/>
      <c r="B1411" s="162"/>
      <c r="C1411" s="206"/>
      <c r="D1411" s="262"/>
      <c r="E1411" s="262"/>
      <c r="F1411" s="262"/>
      <c r="G1411" s="262"/>
      <c r="H1411" s="262"/>
      <c r="I1411" s="262"/>
      <c r="J1411" s="262"/>
      <c r="K1411" s="262"/>
      <c r="L1411" s="262"/>
      <c r="M1411" s="262"/>
      <c r="N1411" s="262"/>
      <c r="O1411" s="262"/>
      <c r="P1411" s="262"/>
      <c r="Q1411" s="262"/>
      <c r="R1411" s="262"/>
      <c r="S1411" s="262"/>
      <c r="T1411" s="262"/>
      <c r="U1411" s="262"/>
      <c r="V1411" s="262"/>
      <c r="W1411" s="262"/>
      <c r="X1411" s="262"/>
      <c r="Y1411" s="262"/>
      <c r="Z1411" s="262"/>
      <c r="AA1411" s="262"/>
      <c r="AB1411" s="262"/>
      <c r="AC1411" s="262"/>
      <c r="AD1411" s="262"/>
      <c r="AE1411" s="262"/>
      <c r="AF1411" s="147"/>
      <c r="AG1411" s="147"/>
      <c r="AH1411" s="147"/>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row>
    <row r="1412" spans="1:59" ht="15.75" customHeight="1" x14ac:dyDescent="0.2">
      <c r="A1412" s="162"/>
      <c r="B1412" s="162"/>
      <c r="C1412" s="206"/>
      <c r="D1412" s="262"/>
      <c r="E1412" s="262"/>
      <c r="F1412" s="262"/>
      <c r="G1412" s="262"/>
      <c r="H1412" s="262"/>
      <c r="I1412" s="262"/>
      <c r="J1412" s="262"/>
      <c r="K1412" s="262"/>
      <c r="L1412" s="262"/>
      <c r="M1412" s="262"/>
      <c r="N1412" s="262"/>
      <c r="O1412" s="262"/>
      <c r="P1412" s="262"/>
      <c r="Q1412" s="262"/>
      <c r="R1412" s="262"/>
      <c r="S1412" s="262"/>
      <c r="T1412" s="262"/>
      <c r="U1412" s="262"/>
      <c r="V1412" s="262"/>
      <c r="W1412" s="262"/>
      <c r="X1412" s="262"/>
      <c r="Y1412" s="262"/>
      <c r="Z1412" s="262"/>
      <c r="AA1412" s="262"/>
      <c r="AB1412" s="262"/>
      <c r="AC1412" s="262"/>
      <c r="AD1412" s="262"/>
      <c r="AE1412" s="262"/>
      <c r="AF1412" s="147"/>
      <c r="AG1412" s="147"/>
      <c r="AH1412" s="147"/>
      <c r="AI1412" s="147"/>
      <c r="AJ1412" s="189"/>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row>
    <row r="1413" spans="1:59" ht="15.75" customHeight="1" x14ac:dyDescent="0.2">
      <c r="A1413" s="162"/>
      <c r="B1413" s="162"/>
      <c r="C1413" s="206"/>
      <c r="D1413" s="262"/>
      <c r="E1413" s="262"/>
      <c r="F1413" s="262"/>
      <c r="G1413" s="262"/>
      <c r="H1413" s="262"/>
      <c r="I1413" s="262"/>
      <c r="J1413" s="262"/>
      <c r="K1413" s="262"/>
      <c r="L1413" s="262"/>
      <c r="M1413" s="262"/>
      <c r="N1413" s="262"/>
      <c r="O1413" s="262"/>
      <c r="P1413" s="262"/>
      <c r="Q1413" s="262"/>
      <c r="R1413" s="262"/>
      <c r="S1413" s="262"/>
      <c r="T1413" s="262"/>
      <c r="U1413" s="262"/>
      <c r="V1413" s="262"/>
      <c r="W1413" s="262"/>
      <c r="X1413" s="262"/>
      <c r="Y1413" s="262"/>
      <c r="Z1413" s="262"/>
      <c r="AA1413" s="262"/>
      <c r="AB1413" s="262"/>
      <c r="AC1413" s="262"/>
      <c r="AD1413" s="262"/>
      <c r="AE1413" s="262"/>
      <c r="AF1413" s="147"/>
      <c r="AG1413" s="147"/>
      <c r="AH1413" s="147"/>
      <c r="AI1413" s="147"/>
      <c r="AJ1413" s="189"/>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row>
    <row r="1414" spans="1:59" ht="15.75" customHeight="1" x14ac:dyDescent="0.2">
      <c r="A1414" s="162"/>
      <c r="B1414" s="162"/>
      <c r="C1414" s="206"/>
      <c r="D1414" s="262"/>
      <c r="E1414" s="262"/>
      <c r="F1414" s="262"/>
      <c r="G1414" s="262"/>
      <c r="H1414" s="262"/>
      <c r="I1414" s="262"/>
      <c r="J1414" s="262"/>
      <c r="K1414" s="262"/>
      <c r="L1414" s="262"/>
      <c r="M1414" s="262"/>
      <c r="N1414" s="262"/>
      <c r="O1414" s="262"/>
      <c r="P1414" s="262"/>
      <c r="Q1414" s="262"/>
      <c r="R1414" s="262"/>
      <c r="S1414" s="262"/>
      <c r="T1414" s="262"/>
      <c r="U1414" s="262"/>
      <c r="V1414" s="262"/>
      <c r="W1414" s="262"/>
      <c r="X1414" s="262"/>
      <c r="Y1414" s="262"/>
      <c r="Z1414" s="262"/>
      <c r="AA1414" s="262"/>
      <c r="AB1414" s="262"/>
      <c r="AC1414" s="262"/>
      <c r="AD1414" s="262"/>
      <c r="AE1414" s="262"/>
      <c r="AF1414" s="147"/>
      <c r="AG1414" s="147"/>
      <c r="AH1414" s="147"/>
      <c r="AI1414" s="147"/>
      <c r="AJ1414" s="195"/>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row>
    <row r="1415" spans="1:59" ht="15.75" customHeight="1" x14ac:dyDescent="0.2">
      <c r="A1415" s="162"/>
      <c r="B1415" s="162"/>
      <c r="C1415" s="206"/>
      <c r="D1415" s="262"/>
      <c r="E1415" s="262"/>
      <c r="F1415" s="262"/>
      <c r="G1415" s="262"/>
      <c r="H1415" s="262"/>
      <c r="I1415" s="262"/>
      <c r="J1415" s="262"/>
      <c r="K1415" s="262"/>
      <c r="L1415" s="262"/>
      <c r="M1415" s="262"/>
      <c r="N1415" s="262"/>
      <c r="O1415" s="262"/>
      <c r="P1415" s="262"/>
      <c r="Q1415" s="262"/>
      <c r="R1415" s="262"/>
      <c r="S1415" s="262"/>
      <c r="T1415" s="262"/>
      <c r="U1415" s="262"/>
      <c r="V1415" s="262"/>
      <c r="W1415" s="262"/>
      <c r="X1415" s="262"/>
      <c r="Y1415" s="262"/>
      <c r="Z1415" s="262"/>
      <c r="AA1415" s="262"/>
      <c r="AB1415" s="262"/>
      <c r="AC1415" s="262"/>
      <c r="AD1415" s="262"/>
      <c r="AE1415" s="262"/>
      <c r="AF1415" s="147"/>
      <c r="AG1415" s="147"/>
      <c r="AH1415" s="147"/>
      <c r="AI1415" s="147"/>
      <c r="AJ1415" s="189"/>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row>
    <row r="1416" spans="1:59" ht="15.75" customHeight="1" x14ac:dyDescent="0.2">
      <c r="A1416" s="162"/>
      <c r="B1416" s="162"/>
      <c r="C1416" s="206"/>
      <c r="D1416" s="262"/>
      <c r="E1416" s="262"/>
      <c r="F1416" s="262"/>
      <c r="G1416" s="262"/>
      <c r="H1416" s="262"/>
      <c r="I1416" s="262"/>
      <c r="J1416" s="262"/>
      <c r="K1416" s="262"/>
      <c r="L1416" s="262"/>
      <c r="M1416" s="262"/>
      <c r="N1416" s="262"/>
      <c r="O1416" s="262"/>
      <c r="P1416" s="262"/>
      <c r="Q1416" s="262"/>
      <c r="R1416" s="262"/>
      <c r="S1416" s="262"/>
      <c r="T1416" s="262"/>
      <c r="U1416" s="262"/>
      <c r="V1416" s="262"/>
      <c r="W1416" s="262"/>
      <c r="X1416" s="262"/>
      <c r="Y1416" s="262"/>
      <c r="Z1416" s="262"/>
      <c r="AA1416" s="262"/>
      <c r="AB1416" s="262"/>
      <c r="AC1416" s="262"/>
      <c r="AD1416" s="262"/>
      <c r="AE1416" s="262"/>
      <c r="AF1416" s="147"/>
      <c r="AG1416" s="147"/>
      <c r="AH1416" s="147"/>
      <c r="AI1416" s="147"/>
      <c r="AJ1416" s="231"/>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row>
    <row r="1417" spans="1:59" ht="15.75" customHeight="1" x14ac:dyDescent="0.2">
      <c r="A1417" s="162"/>
      <c r="B1417" s="162"/>
      <c r="C1417" s="206"/>
      <c r="D1417" s="262"/>
      <c r="E1417" s="262"/>
      <c r="F1417" s="262"/>
      <c r="G1417" s="262"/>
      <c r="H1417" s="262"/>
      <c r="I1417" s="262"/>
      <c r="J1417" s="262"/>
      <c r="K1417" s="262"/>
      <c r="L1417" s="262"/>
      <c r="M1417" s="262"/>
      <c r="N1417" s="262"/>
      <c r="O1417" s="262"/>
      <c r="P1417" s="262"/>
      <c r="Q1417" s="262"/>
      <c r="R1417" s="262"/>
      <c r="S1417" s="262"/>
      <c r="T1417" s="262"/>
      <c r="U1417" s="262"/>
      <c r="V1417" s="262"/>
      <c r="W1417" s="262"/>
      <c r="X1417" s="262"/>
      <c r="Y1417" s="262"/>
      <c r="Z1417" s="262"/>
      <c r="AA1417" s="262"/>
      <c r="AB1417" s="262"/>
      <c r="AC1417" s="262"/>
      <c r="AD1417" s="262"/>
      <c r="AE1417" s="262"/>
      <c r="AF1417" s="147"/>
      <c r="AG1417" s="147"/>
      <c r="AH1417" s="147"/>
      <c r="AI1417" s="147"/>
      <c r="AJ1417" s="84"/>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row>
    <row r="1418" spans="1:59" ht="15.75" customHeight="1" x14ac:dyDescent="0.2">
      <c r="A1418" s="162"/>
      <c r="B1418" s="162"/>
      <c r="C1418" s="206"/>
      <c r="D1418" s="262"/>
      <c r="E1418" s="262"/>
      <c r="F1418" s="262"/>
      <c r="G1418" s="262"/>
      <c r="H1418" s="262"/>
      <c r="I1418" s="262"/>
      <c r="J1418" s="262"/>
      <c r="K1418" s="262"/>
      <c r="L1418" s="262"/>
      <c r="M1418" s="262"/>
      <c r="N1418" s="262"/>
      <c r="O1418" s="262"/>
      <c r="P1418" s="262"/>
      <c r="Q1418" s="262"/>
      <c r="R1418" s="262"/>
      <c r="S1418" s="262"/>
      <c r="T1418" s="262"/>
      <c r="U1418" s="262"/>
      <c r="V1418" s="262"/>
      <c r="W1418" s="262"/>
      <c r="X1418" s="262"/>
      <c r="Y1418" s="262"/>
      <c r="Z1418" s="262"/>
      <c r="AA1418" s="262"/>
      <c r="AB1418" s="262"/>
      <c r="AC1418" s="262"/>
      <c r="AD1418" s="262"/>
      <c r="AE1418" s="262"/>
      <c r="AF1418" s="147"/>
      <c r="AG1418" s="147"/>
      <c r="AH1418" s="147"/>
      <c r="AI1418" s="147"/>
      <c r="AJ1418" s="189"/>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row>
    <row r="1419" spans="1:59" ht="15.75" customHeight="1" x14ac:dyDescent="0.2">
      <c r="A1419" s="162"/>
      <c r="B1419" s="162"/>
      <c r="C1419" s="206"/>
      <c r="D1419" s="262"/>
      <c r="E1419" s="262"/>
      <c r="F1419" s="262"/>
      <c r="G1419" s="262"/>
      <c r="H1419" s="262"/>
      <c r="I1419" s="262"/>
      <c r="J1419" s="262"/>
      <c r="K1419" s="262"/>
      <c r="L1419" s="262"/>
      <c r="M1419" s="262"/>
      <c r="N1419" s="262"/>
      <c r="O1419" s="262"/>
      <c r="P1419" s="262"/>
      <c r="Q1419" s="262"/>
      <c r="R1419" s="262"/>
      <c r="S1419" s="262"/>
      <c r="T1419" s="262"/>
      <c r="U1419" s="262"/>
      <c r="V1419" s="262"/>
      <c r="W1419" s="262"/>
      <c r="X1419" s="262"/>
      <c r="Y1419" s="262"/>
      <c r="Z1419" s="262"/>
      <c r="AA1419" s="262"/>
      <c r="AB1419" s="262"/>
      <c r="AC1419" s="262"/>
      <c r="AD1419" s="262"/>
      <c r="AE1419" s="262"/>
      <c r="AF1419" s="147"/>
      <c r="AG1419" s="147"/>
      <c r="AH1419" s="147"/>
      <c r="AI1419" s="147"/>
      <c r="AJ1419" s="189"/>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row>
    <row r="1420" spans="1:59" ht="15.75" customHeight="1" x14ac:dyDescent="0.2">
      <c r="A1420" s="162"/>
      <c r="B1420" s="162"/>
      <c r="C1420" s="206"/>
      <c r="D1420" s="262"/>
      <c r="E1420" s="262"/>
      <c r="F1420" s="262"/>
      <c r="G1420" s="262"/>
      <c r="H1420" s="262"/>
      <c r="I1420" s="262"/>
      <c r="J1420" s="262"/>
      <c r="K1420" s="262"/>
      <c r="L1420" s="262"/>
      <c r="M1420" s="262"/>
      <c r="N1420" s="262"/>
      <c r="O1420" s="262"/>
      <c r="P1420" s="262"/>
      <c r="Q1420" s="262"/>
      <c r="R1420" s="262"/>
      <c r="S1420" s="262"/>
      <c r="T1420" s="262"/>
      <c r="U1420" s="262"/>
      <c r="V1420" s="262"/>
      <c r="W1420" s="262"/>
      <c r="X1420" s="262"/>
      <c r="Y1420" s="262"/>
      <c r="Z1420" s="262"/>
      <c r="AA1420" s="262"/>
      <c r="AB1420" s="262"/>
      <c r="AC1420" s="262"/>
      <c r="AD1420" s="262"/>
      <c r="AE1420" s="262"/>
      <c r="AF1420" s="147"/>
      <c r="AG1420" s="147"/>
      <c r="AH1420" s="147"/>
      <c r="AI1420" s="147"/>
      <c r="AJ1420" s="189"/>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row>
    <row r="1421" spans="1:59" ht="15.75" customHeight="1" x14ac:dyDescent="0.2">
      <c r="A1421" s="162"/>
      <c r="B1421" s="162"/>
      <c r="C1421" s="206"/>
      <c r="D1421" s="262"/>
      <c r="E1421" s="262"/>
      <c r="F1421" s="262"/>
      <c r="G1421" s="262"/>
      <c r="H1421" s="262"/>
      <c r="I1421" s="262"/>
      <c r="J1421" s="262"/>
      <c r="K1421" s="262"/>
      <c r="L1421" s="262"/>
      <c r="M1421" s="262"/>
      <c r="N1421" s="262"/>
      <c r="O1421" s="262"/>
      <c r="P1421" s="262"/>
      <c r="Q1421" s="262"/>
      <c r="R1421" s="262"/>
      <c r="S1421" s="262"/>
      <c r="T1421" s="262"/>
      <c r="U1421" s="262"/>
      <c r="V1421" s="262"/>
      <c r="W1421" s="262"/>
      <c r="X1421" s="262"/>
      <c r="Y1421" s="262"/>
      <c r="Z1421" s="262"/>
      <c r="AA1421" s="262"/>
      <c r="AB1421" s="262"/>
      <c r="AC1421" s="262"/>
      <c r="AD1421" s="262"/>
      <c r="AE1421" s="262"/>
      <c r="AF1421" s="147"/>
      <c r="AG1421" s="147"/>
      <c r="AH1421" s="147"/>
      <c r="AI1421" s="147"/>
      <c r="AJ1421" s="189"/>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row>
    <row r="1422" spans="1:59" ht="15.75" customHeight="1" x14ac:dyDescent="0.2">
      <c r="A1422" s="162"/>
      <c r="B1422" s="162"/>
      <c r="C1422" s="206"/>
      <c r="D1422" s="262"/>
      <c r="E1422" s="262"/>
      <c r="F1422" s="262"/>
      <c r="G1422" s="262"/>
      <c r="H1422" s="262"/>
      <c r="I1422" s="262"/>
      <c r="J1422" s="262"/>
      <c r="K1422" s="262"/>
      <c r="L1422" s="262"/>
      <c r="M1422" s="262"/>
      <c r="N1422" s="262"/>
      <c r="O1422" s="262"/>
      <c r="P1422" s="262"/>
      <c r="Q1422" s="262"/>
      <c r="R1422" s="262"/>
      <c r="S1422" s="262"/>
      <c r="T1422" s="262"/>
      <c r="U1422" s="262"/>
      <c r="V1422" s="262"/>
      <c r="W1422" s="262"/>
      <c r="X1422" s="262"/>
      <c r="Y1422" s="262"/>
      <c r="Z1422" s="262"/>
      <c r="AA1422" s="262"/>
      <c r="AB1422" s="262"/>
      <c r="AC1422" s="262"/>
      <c r="AD1422" s="262"/>
      <c r="AE1422" s="262"/>
      <c r="AF1422" s="147"/>
      <c r="AG1422" s="147"/>
      <c r="AH1422" s="147"/>
      <c r="AI1422" s="147"/>
      <c r="AJ1422" s="189"/>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row>
    <row r="1423" spans="1:59" ht="15.75" customHeight="1" x14ac:dyDescent="0.2">
      <c r="A1423" s="162"/>
      <c r="B1423" s="162"/>
      <c r="C1423" s="206"/>
      <c r="D1423" s="262"/>
      <c r="E1423" s="262"/>
      <c r="F1423" s="262"/>
      <c r="G1423" s="262"/>
      <c r="H1423" s="262"/>
      <c r="I1423" s="262"/>
      <c r="J1423" s="262"/>
      <c r="K1423" s="262"/>
      <c r="L1423" s="262"/>
      <c r="M1423" s="262"/>
      <c r="N1423" s="262"/>
      <c r="O1423" s="262"/>
      <c r="P1423" s="262"/>
      <c r="Q1423" s="262"/>
      <c r="R1423" s="262"/>
      <c r="S1423" s="262"/>
      <c r="T1423" s="262"/>
      <c r="U1423" s="262"/>
      <c r="V1423" s="262"/>
      <c r="W1423" s="262"/>
      <c r="X1423" s="262"/>
      <c r="Y1423" s="262"/>
      <c r="Z1423" s="262"/>
      <c r="AA1423" s="262"/>
      <c r="AB1423" s="262"/>
      <c r="AC1423" s="262"/>
      <c r="AD1423" s="262"/>
      <c r="AE1423" s="262"/>
      <c r="AF1423" s="147"/>
      <c r="AG1423" s="147"/>
      <c r="AH1423" s="147"/>
      <c r="AI1423" s="147"/>
      <c r="AJ1423" s="195"/>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row>
    <row r="1424" spans="1:59" ht="15.75" customHeight="1" x14ac:dyDescent="0.2">
      <c r="A1424" s="162"/>
      <c r="B1424" s="162"/>
      <c r="C1424" s="206"/>
      <c r="D1424" s="262"/>
      <c r="E1424" s="262"/>
      <c r="F1424" s="262"/>
      <c r="G1424" s="262"/>
      <c r="H1424" s="262"/>
      <c r="I1424" s="262"/>
      <c r="J1424" s="262"/>
      <c r="K1424" s="262"/>
      <c r="L1424" s="262"/>
      <c r="M1424" s="262"/>
      <c r="N1424" s="262"/>
      <c r="O1424" s="262"/>
      <c r="P1424" s="262"/>
      <c r="Q1424" s="262"/>
      <c r="R1424" s="262"/>
      <c r="S1424" s="262"/>
      <c r="T1424" s="262"/>
      <c r="U1424" s="262"/>
      <c r="V1424" s="262"/>
      <c r="W1424" s="262"/>
      <c r="X1424" s="262"/>
      <c r="Y1424" s="262"/>
      <c r="Z1424" s="262"/>
      <c r="AA1424" s="262"/>
      <c r="AB1424" s="262"/>
      <c r="AC1424" s="262"/>
      <c r="AD1424" s="262"/>
      <c r="AE1424" s="262"/>
      <c r="AF1424" s="147"/>
      <c r="AG1424" s="147"/>
      <c r="AH1424" s="147"/>
      <c r="AI1424" s="147"/>
      <c r="AJ1424" s="189"/>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row>
    <row r="1425" spans="1:59" ht="15.75" customHeight="1" x14ac:dyDescent="0.2">
      <c r="A1425" s="162"/>
      <c r="B1425" s="162"/>
      <c r="C1425" s="206"/>
      <c r="D1425" s="262"/>
      <c r="E1425" s="262"/>
      <c r="F1425" s="262"/>
      <c r="G1425" s="262"/>
      <c r="H1425" s="262"/>
      <c r="I1425" s="262"/>
      <c r="J1425" s="262"/>
      <c r="K1425" s="262"/>
      <c r="L1425" s="262"/>
      <c r="M1425" s="262"/>
      <c r="N1425" s="262"/>
      <c r="O1425" s="262"/>
      <c r="P1425" s="262"/>
      <c r="Q1425" s="262"/>
      <c r="R1425" s="262"/>
      <c r="S1425" s="262"/>
      <c r="T1425" s="262"/>
      <c r="U1425" s="262"/>
      <c r="V1425" s="262"/>
      <c r="W1425" s="262"/>
      <c r="X1425" s="262"/>
      <c r="Y1425" s="262"/>
      <c r="Z1425" s="262"/>
      <c r="AA1425" s="262"/>
      <c r="AB1425" s="262"/>
      <c r="AC1425" s="262"/>
      <c r="AD1425" s="262"/>
      <c r="AE1425" s="262"/>
      <c r="AF1425" s="147"/>
      <c r="AG1425" s="147"/>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row>
    <row r="1426" spans="1:59" ht="15.75" customHeight="1" x14ac:dyDescent="0.2">
      <c r="A1426" s="162"/>
      <c r="B1426" s="162"/>
      <c r="C1426" s="206"/>
      <c r="D1426" s="262"/>
      <c r="E1426" s="262"/>
      <c r="F1426" s="262"/>
      <c r="G1426" s="262"/>
      <c r="H1426" s="262"/>
      <c r="I1426" s="262"/>
      <c r="J1426" s="262"/>
      <c r="K1426" s="262"/>
      <c r="L1426" s="262"/>
      <c r="M1426" s="262"/>
      <c r="N1426" s="262"/>
      <c r="O1426" s="262"/>
      <c r="P1426" s="262"/>
      <c r="Q1426" s="262"/>
      <c r="R1426" s="262"/>
      <c r="S1426" s="262"/>
      <c r="T1426" s="262"/>
      <c r="U1426" s="262"/>
      <c r="V1426" s="262"/>
      <c r="W1426" s="262"/>
      <c r="X1426" s="262"/>
      <c r="Y1426" s="262"/>
      <c r="Z1426" s="262"/>
      <c r="AA1426" s="262"/>
      <c r="AB1426" s="262"/>
      <c r="AC1426" s="262"/>
      <c r="AD1426" s="262"/>
      <c r="AE1426" s="262"/>
      <c r="AF1426" s="147"/>
      <c r="AG1426" s="147"/>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row>
    <row r="1427" spans="1:59" ht="15.75" customHeight="1" x14ac:dyDescent="0.2">
      <c r="A1427" s="162"/>
      <c r="B1427" s="162"/>
      <c r="C1427" s="206"/>
      <c r="D1427" s="262"/>
      <c r="E1427" s="262"/>
      <c r="F1427" s="262"/>
      <c r="G1427" s="262"/>
      <c r="H1427" s="262"/>
      <c r="I1427" s="262"/>
      <c r="J1427" s="262"/>
      <c r="K1427" s="262"/>
      <c r="L1427" s="262"/>
      <c r="M1427" s="262"/>
      <c r="N1427" s="262"/>
      <c r="O1427" s="262"/>
      <c r="P1427" s="262"/>
      <c r="Q1427" s="262"/>
      <c r="R1427" s="262"/>
      <c r="S1427" s="262"/>
      <c r="T1427" s="262"/>
      <c r="U1427" s="262"/>
      <c r="V1427" s="262"/>
      <c r="W1427" s="262"/>
      <c r="X1427" s="262"/>
      <c r="Y1427" s="262"/>
      <c r="Z1427" s="262"/>
      <c r="AA1427" s="262"/>
      <c r="AB1427" s="262"/>
      <c r="AC1427" s="262"/>
      <c r="AD1427" s="262"/>
      <c r="AE1427" s="262"/>
      <c r="AF1427" s="147"/>
      <c r="AG1427" s="147"/>
      <c r="AH1427" s="147"/>
      <c r="AI1427" s="147"/>
      <c r="AJ1427" s="189"/>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row>
    <row r="1428" spans="1:59" ht="15.75" customHeight="1" x14ac:dyDescent="0.2">
      <c r="A1428" s="162"/>
      <c r="B1428" s="162"/>
      <c r="C1428" s="206"/>
      <c r="D1428" s="262"/>
      <c r="E1428" s="262"/>
      <c r="F1428" s="262"/>
      <c r="G1428" s="262"/>
      <c r="H1428" s="262"/>
      <c r="I1428" s="262"/>
      <c r="J1428" s="262"/>
      <c r="K1428" s="262"/>
      <c r="L1428" s="262"/>
      <c r="M1428" s="262"/>
      <c r="N1428" s="262"/>
      <c r="O1428" s="262"/>
      <c r="P1428" s="262"/>
      <c r="Q1428" s="262"/>
      <c r="R1428" s="262"/>
      <c r="S1428" s="262"/>
      <c r="T1428" s="262"/>
      <c r="U1428" s="262"/>
      <c r="V1428" s="262"/>
      <c r="W1428" s="262"/>
      <c r="X1428" s="262"/>
      <c r="Y1428" s="262"/>
      <c r="Z1428" s="262"/>
      <c r="AA1428" s="262"/>
      <c r="AB1428" s="262"/>
      <c r="AC1428" s="262"/>
      <c r="AD1428" s="262"/>
      <c r="AE1428" s="262"/>
      <c r="AF1428" s="147"/>
      <c r="AG1428" s="147"/>
      <c r="AH1428" s="147"/>
      <c r="AI1428" s="147"/>
      <c r="AJ1428" s="189"/>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row>
    <row r="1429" spans="1:59" ht="15.75" customHeight="1" x14ac:dyDescent="0.2">
      <c r="A1429" s="162"/>
      <c r="B1429" s="162"/>
      <c r="C1429" s="206"/>
      <c r="D1429" s="262"/>
      <c r="E1429" s="262"/>
      <c r="F1429" s="262"/>
      <c r="G1429" s="262"/>
      <c r="H1429" s="262"/>
      <c r="I1429" s="262"/>
      <c r="J1429" s="262"/>
      <c r="K1429" s="262"/>
      <c r="L1429" s="262"/>
      <c r="M1429" s="262"/>
      <c r="N1429" s="262"/>
      <c r="O1429" s="262"/>
      <c r="P1429" s="262"/>
      <c r="Q1429" s="262"/>
      <c r="R1429" s="262"/>
      <c r="S1429" s="262"/>
      <c r="T1429" s="262"/>
      <c r="U1429" s="262"/>
      <c r="V1429" s="262"/>
      <c r="W1429" s="262"/>
      <c r="X1429" s="262"/>
      <c r="Y1429" s="262"/>
      <c r="Z1429" s="262"/>
      <c r="AA1429" s="262"/>
      <c r="AB1429" s="262"/>
      <c r="AC1429" s="262"/>
      <c r="AD1429" s="262"/>
      <c r="AE1429" s="262"/>
      <c r="AF1429" s="147"/>
      <c r="AG1429" s="147"/>
      <c r="AH1429" s="147"/>
      <c r="AI1429" s="147"/>
      <c r="AJ1429" s="189"/>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row>
    <row r="1430" spans="1:59" ht="15.75" customHeight="1" x14ac:dyDescent="0.2">
      <c r="A1430" s="162"/>
      <c r="B1430" s="162"/>
      <c r="C1430" s="206"/>
      <c r="D1430" s="262"/>
      <c r="E1430" s="262"/>
      <c r="F1430" s="262"/>
      <c r="G1430" s="262"/>
      <c r="H1430" s="262"/>
      <c r="I1430" s="262"/>
      <c r="J1430" s="262"/>
      <c r="K1430" s="262"/>
      <c r="L1430" s="262"/>
      <c r="M1430" s="262"/>
      <c r="N1430" s="262"/>
      <c r="O1430" s="262"/>
      <c r="P1430" s="262"/>
      <c r="Q1430" s="262"/>
      <c r="R1430" s="262"/>
      <c r="S1430" s="262"/>
      <c r="T1430" s="262"/>
      <c r="U1430" s="262"/>
      <c r="V1430" s="262"/>
      <c r="W1430" s="262"/>
      <c r="X1430" s="262"/>
      <c r="Y1430" s="262"/>
      <c r="Z1430" s="262"/>
      <c r="AA1430" s="262"/>
      <c r="AB1430" s="262"/>
      <c r="AC1430" s="262"/>
      <c r="AD1430" s="262"/>
      <c r="AE1430" s="262"/>
      <c r="AF1430" s="147"/>
      <c r="AG1430" s="147"/>
      <c r="AH1430" s="147"/>
      <c r="AI1430" s="147"/>
      <c r="AJ1430" s="189"/>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row>
    <row r="1431" spans="1:59" ht="15.75" customHeight="1" x14ac:dyDescent="0.2">
      <c r="A1431" s="162"/>
      <c r="B1431" s="162"/>
      <c r="C1431" s="206"/>
      <c r="D1431" s="262"/>
      <c r="E1431" s="262"/>
      <c r="F1431" s="262"/>
      <c r="G1431" s="262"/>
      <c r="H1431" s="262"/>
      <c r="I1431" s="262"/>
      <c r="J1431" s="262"/>
      <c r="K1431" s="262"/>
      <c r="L1431" s="262"/>
      <c r="M1431" s="262"/>
      <c r="N1431" s="262"/>
      <c r="O1431" s="262"/>
      <c r="P1431" s="262"/>
      <c r="Q1431" s="262"/>
      <c r="R1431" s="262"/>
      <c r="S1431" s="262"/>
      <c r="T1431" s="262"/>
      <c r="U1431" s="262"/>
      <c r="V1431" s="262"/>
      <c r="W1431" s="262"/>
      <c r="X1431" s="262"/>
      <c r="Y1431" s="262"/>
      <c r="Z1431" s="262"/>
      <c r="AA1431" s="262"/>
      <c r="AB1431" s="262"/>
      <c r="AC1431" s="262"/>
      <c r="AD1431" s="262"/>
      <c r="AE1431" s="262"/>
      <c r="AF1431" s="147"/>
      <c r="AG1431" s="147"/>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row>
    <row r="1432" spans="1:59" ht="15.75" customHeight="1" x14ac:dyDescent="0.2">
      <c r="A1432" s="162"/>
      <c r="B1432" s="162"/>
      <c r="C1432" s="206"/>
      <c r="D1432" s="262"/>
      <c r="E1432" s="262"/>
      <c r="F1432" s="262"/>
      <c r="G1432" s="262"/>
      <c r="H1432" s="262"/>
      <c r="I1432" s="262"/>
      <c r="J1432" s="262"/>
      <c r="K1432" s="262"/>
      <c r="L1432" s="262"/>
      <c r="M1432" s="262"/>
      <c r="N1432" s="262"/>
      <c r="O1432" s="262"/>
      <c r="P1432" s="262"/>
      <c r="Q1432" s="262"/>
      <c r="R1432" s="262"/>
      <c r="S1432" s="262"/>
      <c r="T1432" s="262"/>
      <c r="U1432" s="262"/>
      <c r="V1432" s="262"/>
      <c r="W1432" s="262"/>
      <c r="X1432" s="262"/>
      <c r="Y1432" s="262"/>
      <c r="Z1432" s="262"/>
      <c r="AA1432" s="262"/>
      <c r="AB1432" s="262"/>
      <c r="AC1432" s="262"/>
      <c r="AD1432" s="262"/>
      <c r="AE1432" s="262"/>
      <c r="AF1432" s="147"/>
      <c r="AG1432" s="147"/>
      <c r="AH1432" s="147"/>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row>
    <row r="1433" spans="1:59" ht="15.75" customHeight="1" x14ac:dyDescent="0.2">
      <c r="A1433" s="162"/>
      <c r="B1433" s="162"/>
      <c r="C1433" s="206"/>
      <c r="D1433" s="262"/>
      <c r="E1433" s="262"/>
      <c r="F1433" s="262"/>
      <c r="G1433" s="262"/>
      <c r="H1433" s="262"/>
      <c r="I1433" s="262"/>
      <c r="J1433" s="262"/>
      <c r="K1433" s="262"/>
      <c r="L1433" s="262"/>
      <c r="M1433" s="262"/>
      <c r="N1433" s="262"/>
      <c r="O1433" s="262"/>
      <c r="P1433" s="262"/>
      <c r="Q1433" s="262"/>
      <c r="R1433" s="262"/>
      <c r="S1433" s="262"/>
      <c r="T1433" s="262"/>
      <c r="U1433" s="262"/>
      <c r="V1433" s="262"/>
      <c r="W1433" s="262"/>
      <c r="X1433" s="262"/>
      <c r="Y1433" s="262"/>
      <c r="Z1433" s="262"/>
      <c r="AA1433" s="262"/>
      <c r="AB1433" s="262"/>
      <c r="AC1433" s="262"/>
      <c r="AD1433" s="262"/>
      <c r="AE1433" s="262"/>
      <c r="AF1433" s="147"/>
      <c r="AG1433" s="147"/>
      <c r="AH1433" s="147"/>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row>
    <row r="1434" spans="1:59" ht="15.75" customHeight="1" x14ac:dyDescent="0.2">
      <c r="A1434" s="162"/>
      <c r="B1434" s="162"/>
      <c r="C1434" s="206"/>
      <c r="D1434" s="262"/>
      <c r="E1434" s="262"/>
      <c r="F1434" s="262"/>
      <c r="G1434" s="262"/>
      <c r="H1434" s="262"/>
      <c r="I1434" s="262"/>
      <c r="J1434" s="262"/>
      <c r="K1434" s="262"/>
      <c r="L1434" s="262"/>
      <c r="M1434" s="262"/>
      <c r="N1434" s="262"/>
      <c r="O1434" s="262"/>
      <c r="P1434" s="262"/>
      <c r="Q1434" s="262"/>
      <c r="R1434" s="262"/>
      <c r="S1434" s="262"/>
      <c r="T1434" s="262"/>
      <c r="U1434" s="262"/>
      <c r="V1434" s="262"/>
      <c r="W1434" s="262"/>
      <c r="X1434" s="262"/>
      <c r="Y1434" s="262"/>
      <c r="Z1434" s="262"/>
      <c r="AA1434" s="262"/>
      <c r="AB1434" s="262"/>
      <c r="AC1434" s="262"/>
      <c r="AD1434" s="262"/>
      <c r="AE1434" s="262"/>
      <c r="AF1434" s="147"/>
      <c r="AG1434" s="147"/>
      <c r="AH1434" s="147"/>
      <c r="AI1434" s="147"/>
      <c r="AJ1434" s="189"/>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row>
    <row r="1435" spans="1:59" ht="15.75" customHeight="1" x14ac:dyDescent="0.2">
      <c r="A1435" s="162"/>
      <c r="B1435" s="162"/>
      <c r="C1435" s="206"/>
      <c r="D1435" s="262"/>
      <c r="E1435" s="262"/>
      <c r="F1435" s="262"/>
      <c r="G1435" s="262"/>
      <c r="H1435" s="262"/>
      <c r="I1435" s="262"/>
      <c r="J1435" s="262"/>
      <c r="K1435" s="262"/>
      <c r="L1435" s="262"/>
      <c r="M1435" s="262"/>
      <c r="N1435" s="262"/>
      <c r="O1435" s="262"/>
      <c r="P1435" s="262"/>
      <c r="Q1435" s="262"/>
      <c r="R1435" s="262"/>
      <c r="S1435" s="262"/>
      <c r="T1435" s="262"/>
      <c r="U1435" s="262"/>
      <c r="V1435" s="262"/>
      <c r="W1435" s="262"/>
      <c r="X1435" s="262"/>
      <c r="Y1435" s="262"/>
      <c r="Z1435" s="262"/>
      <c r="AA1435" s="262"/>
      <c r="AB1435" s="262"/>
      <c r="AC1435" s="262"/>
      <c r="AD1435" s="262"/>
      <c r="AE1435" s="262"/>
      <c r="AF1435" s="147"/>
      <c r="AG1435" s="147"/>
      <c r="AH1435" s="147"/>
      <c r="AI1435" s="147"/>
      <c r="AJ1435" s="189"/>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row>
    <row r="1436" spans="1:59" ht="15.75" customHeight="1" x14ac:dyDescent="0.2">
      <c r="A1436" s="162"/>
      <c r="B1436" s="162"/>
      <c r="C1436" s="206"/>
      <c r="D1436" s="262"/>
      <c r="E1436" s="262"/>
      <c r="F1436" s="262"/>
      <c r="G1436" s="262"/>
      <c r="H1436" s="262"/>
      <c r="I1436" s="262"/>
      <c r="J1436" s="262"/>
      <c r="K1436" s="262"/>
      <c r="L1436" s="262"/>
      <c r="M1436" s="262"/>
      <c r="N1436" s="262"/>
      <c r="O1436" s="262"/>
      <c r="P1436" s="262"/>
      <c r="Q1436" s="262"/>
      <c r="R1436" s="262"/>
      <c r="S1436" s="262"/>
      <c r="T1436" s="262"/>
      <c r="U1436" s="262"/>
      <c r="V1436" s="262"/>
      <c r="W1436" s="262"/>
      <c r="X1436" s="262"/>
      <c r="Y1436" s="262"/>
      <c r="Z1436" s="262"/>
      <c r="AA1436" s="262"/>
      <c r="AB1436" s="262"/>
      <c r="AC1436" s="262"/>
      <c r="AD1436" s="262"/>
      <c r="AE1436" s="262"/>
      <c r="AF1436" s="147"/>
      <c r="AG1436" s="147"/>
      <c r="AH1436" s="147"/>
      <c r="AI1436" s="147"/>
      <c r="AJ1436" s="189"/>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row>
    <row r="1437" spans="1:59" ht="15.75" customHeight="1" x14ac:dyDescent="0.2">
      <c r="A1437" s="162"/>
      <c r="B1437" s="162"/>
      <c r="C1437" s="206"/>
      <c r="D1437" s="262"/>
      <c r="E1437" s="262"/>
      <c r="F1437" s="262"/>
      <c r="G1437" s="262"/>
      <c r="H1437" s="262"/>
      <c r="I1437" s="262"/>
      <c r="J1437" s="262"/>
      <c r="K1437" s="262"/>
      <c r="L1437" s="262"/>
      <c r="M1437" s="262"/>
      <c r="N1437" s="262"/>
      <c r="O1437" s="262"/>
      <c r="P1437" s="262"/>
      <c r="Q1437" s="262"/>
      <c r="R1437" s="262"/>
      <c r="S1437" s="262"/>
      <c r="T1437" s="262"/>
      <c r="U1437" s="262"/>
      <c r="V1437" s="262"/>
      <c r="W1437" s="262"/>
      <c r="X1437" s="262"/>
      <c r="Y1437" s="262"/>
      <c r="Z1437" s="262"/>
      <c r="AA1437" s="262"/>
      <c r="AB1437" s="262"/>
      <c r="AC1437" s="262"/>
      <c r="AD1437" s="262"/>
      <c r="AE1437" s="262"/>
      <c r="AF1437" s="147"/>
      <c r="AG1437" s="147"/>
      <c r="AH1437" s="147"/>
      <c r="AI1437" s="147"/>
      <c r="AJ1437" s="189"/>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row>
    <row r="1438" spans="1:59" ht="15.75" customHeight="1" x14ac:dyDescent="0.2">
      <c r="A1438" s="162"/>
      <c r="B1438" s="162"/>
      <c r="C1438" s="206"/>
      <c r="D1438" s="262"/>
      <c r="E1438" s="262"/>
      <c r="F1438" s="262"/>
      <c r="G1438" s="262"/>
      <c r="H1438" s="262"/>
      <c r="I1438" s="262"/>
      <c r="J1438" s="262"/>
      <c r="K1438" s="262"/>
      <c r="L1438" s="262"/>
      <c r="M1438" s="262"/>
      <c r="N1438" s="262"/>
      <c r="O1438" s="262"/>
      <c r="P1438" s="262"/>
      <c r="Q1438" s="262"/>
      <c r="R1438" s="262"/>
      <c r="S1438" s="262"/>
      <c r="T1438" s="262"/>
      <c r="U1438" s="262"/>
      <c r="V1438" s="262"/>
      <c r="W1438" s="262"/>
      <c r="X1438" s="262"/>
      <c r="Y1438" s="262"/>
      <c r="Z1438" s="262"/>
      <c r="AA1438" s="262"/>
      <c r="AB1438" s="262"/>
      <c r="AC1438" s="262"/>
      <c r="AD1438" s="262"/>
      <c r="AE1438" s="262"/>
      <c r="AF1438" s="147"/>
      <c r="AG1438" s="147"/>
      <c r="AH1438" s="147"/>
      <c r="AI1438" s="147"/>
      <c r="AJ1438" s="189"/>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row>
    <row r="1439" spans="1:59" ht="15.75" customHeight="1" x14ac:dyDescent="0.2">
      <c r="A1439" s="162"/>
      <c r="B1439" s="162"/>
      <c r="C1439" s="206"/>
      <c r="D1439" s="262"/>
      <c r="E1439" s="262"/>
      <c r="F1439" s="262"/>
      <c r="G1439" s="262"/>
      <c r="H1439" s="262"/>
      <c r="I1439" s="262"/>
      <c r="J1439" s="262"/>
      <c r="K1439" s="262"/>
      <c r="L1439" s="262"/>
      <c r="M1439" s="262"/>
      <c r="N1439" s="262"/>
      <c r="O1439" s="262"/>
      <c r="P1439" s="262"/>
      <c r="Q1439" s="262"/>
      <c r="R1439" s="262"/>
      <c r="S1439" s="262"/>
      <c r="T1439" s="262"/>
      <c r="U1439" s="262"/>
      <c r="V1439" s="262"/>
      <c r="W1439" s="262"/>
      <c r="X1439" s="262"/>
      <c r="Y1439" s="262"/>
      <c r="Z1439" s="262"/>
      <c r="AA1439" s="262"/>
      <c r="AB1439" s="262"/>
      <c r="AC1439" s="262"/>
      <c r="AD1439" s="262"/>
      <c r="AE1439" s="262"/>
      <c r="AF1439" s="147"/>
      <c r="AG1439" s="147"/>
      <c r="AH1439" s="147"/>
      <c r="AI1439" s="147"/>
      <c r="AJ1439" s="189"/>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row>
    <row r="1440" spans="1:59" ht="15.75" customHeight="1" x14ac:dyDescent="0.2">
      <c r="A1440" s="162"/>
      <c r="B1440" s="162"/>
      <c r="C1440" s="206"/>
      <c r="D1440" s="262"/>
      <c r="E1440" s="262"/>
      <c r="F1440" s="262"/>
      <c r="G1440" s="262"/>
      <c r="H1440" s="262"/>
      <c r="I1440" s="262"/>
      <c r="J1440" s="262"/>
      <c r="K1440" s="262"/>
      <c r="L1440" s="262"/>
      <c r="M1440" s="262"/>
      <c r="N1440" s="262"/>
      <c r="O1440" s="262"/>
      <c r="P1440" s="262"/>
      <c r="Q1440" s="262"/>
      <c r="R1440" s="262"/>
      <c r="S1440" s="262"/>
      <c r="T1440" s="262"/>
      <c r="U1440" s="262"/>
      <c r="V1440" s="262"/>
      <c r="W1440" s="262"/>
      <c r="X1440" s="262"/>
      <c r="Y1440" s="262"/>
      <c r="Z1440" s="262"/>
      <c r="AA1440" s="262"/>
      <c r="AB1440" s="262"/>
      <c r="AC1440" s="262"/>
      <c r="AD1440" s="262"/>
      <c r="AE1440" s="262"/>
      <c r="AF1440" s="147"/>
      <c r="AG1440" s="147"/>
      <c r="AH1440" s="147"/>
      <c r="AI1440" s="147"/>
      <c r="AJ1440" s="189"/>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row>
    <row r="1441" spans="1:59" ht="15.75" customHeight="1" x14ac:dyDescent="0.2">
      <c r="A1441" s="162"/>
      <c r="B1441" s="162"/>
      <c r="C1441" s="206"/>
      <c r="D1441" s="262"/>
      <c r="E1441" s="262"/>
      <c r="F1441" s="262"/>
      <c r="G1441" s="262"/>
      <c r="H1441" s="262"/>
      <c r="I1441" s="262"/>
      <c r="J1441" s="262"/>
      <c r="K1441" s="262"/>
      <c r="L1441" s="262"/>
      <c r="M1441" s="262"/>
      <c r="N1441" s="262"/>
      <c r="O1441" s="262"/>
      <c r="P1441" s="262"/>
      <c r="Q1441" s="262"/>
      <c r="R1441" s="262"/>
      <c r="S1441" s="262"/>
      <c r="T1441" s="262"/>
      <c r="U1441" s="262"/>
      <c r="V1441" s="262"/>
      <c r="W1441" s="262"/>
      <c r="X1441" s="262"/>
      <c r="Y1441" s="262"/>
      <c r="Z1441" s="262"/>
      <c r="AA1441" s="262"/>
      <c r="AB1441" s="262"/>
      <c r="AC1441" s="262"/>
      <c r="AD1441" s="262"/>
      <c r="AE1441" s="262"/>
      <c r="AF1441" s="147"/>
      <c r="AG1441" s="147"/>
      <c r="AH1441" s="147"/>
      <c r="AI1441" s="147"/>
      <c r="AJ1441" s="162"/>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row>
    <row r="1442" spans="1:59" ht="15.75" customHeight="1" x14ac:dyDescent="0.2">
      <c r="A1442" s="162"/>
      <c r="B1442" s="162"/>
      <c r="C1442" s="206"/>
      <c r="D1442" s="262"/>
      <c r="E1442" s="262"/>
      <c r="F1442" s="262"/>
      <c r="G1442" s="262"/>
      <c r="H1442" s="262"/>
      <c r="I1442" s="262"/>
      <c r="J1442" s="262"/>
      <c r="K1442" s="262"/>
      <c r="L1442" s="262"/>
      <c r="M1442" s="262"/>
      <c r="N1442" s="262"/>
      <c r="O1442" s="262"/>
      <c r="P1442" s="262"/>
      <c r="Q1442" s="262"/>
      <c r="R1442" s="262"/>
      <c r="S1442" s="262"/>
      <c r="T1442" s="262"/>
      <c r="U1442" s="262"/>
      <c r="V1442" s="262"/>
      <c r="W1442" s="262"/>
      <c r="X1442" s="262"/>
      <c r="Y1442" s="262"/>
      <c r="Z1442" s="262"/>
      <c r="AA1442" s="262"/>
      <c r="AB1442" s="262"/>
      <c r="AC1442" s="262"/>
      <c r="AD1442" s="262"/>
      <c r="AE1442" s="262"/>
      <c r="AF1442" s="147"/>
      <c r="AG1442" s="147"/>
      <c r="AH1442" s="147"/>
      <c r="AI1442" s="147"/>
      <c r="AJ1442" s="189"/>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row>
    <row r="1443" spans="1:59" ht="15.75" customHeight="1" x14ac:dyDescent="0.2">
      <c r="A1443" s="162"/>
      <c r="B1443" s="162"/>
      <c r="C1443" s="206"/>
      <c r="D1443" s="262"/>
      <c r="E1443" s="262"/>
      <c r="F1443" s="262"/>
      <c r="G1443" s="262"/>
      <c r="H1443" s="262"/>
      <c r="I1443" s="262"/>
      <c r="J1443" s="262"/>
      <c r="K1443" s="262"/>
      <c r="L1443" s="262"/>
      <c r="M1443" s="262"/>
      <c r="N1443" s="262"/>
      <c r="O1443" s="262"/>
      <c r="P1443" s="262"/>
      <c r="Q1443" s="262"/>
      <c r="R1443" s="262"/>
      <c r="S1443" s="262"/>
      <c r="T1443" s="262"/>
      <c r="U1443" s="262"/>
      <c r="V1443" s="262"/>
      <c r="W1443" s="262"/>
      <c r="X1443" s="262"/>
      <c r="Y1443" s="262"/>
      <c r="Z1443" s="262"/>
      <c r="AA1443" s="262"/>
      <c r="AB1443" s="262"/>
      <c r="AC1443" s="262"/>
      <c r="AD1443" s="262"/>
      <c r="AE1443" s="262"/>
      <c r="AF1443" s="147"/>
      <c r="AG1443" s="147"/>
      <c r="AH1443" s="147"/>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row>
    <row r="1444" spans="1:59" ht="15.75" customHeight="1" x14ac:dyDescent="0.2">
      <c r="A1444" s="162"/>
      <c r="B1444" s="162"/>
      <c r="C1444" s="206"/>
      <c r="D1444" s="262"/>
      <c r="E1444" s="262"/>
      <c r="F1444" s="262"/>
      <c r="G1444" s="262"/>
      <c r="H1444" s="262"/>
      <c r="I1444" s="262"/>
      <c r="J1444" s="262"/>
      <c r="K1444" s="262"/>
      <c r="L1444" s="262"/>
      <c r="M1444" s="262"/>
      <c r="N1444" s="262"/>
      <c r="O1444" s="262"/>
      <c r="P1444" s="262"/>
      <c r="Q1444" s="262"/>
      <c r="R1444" s="262"/>
      <c r="S1444" s="262"/>
      <c r="T1444" s="262"/>
      <c r="U1444" s="262"/>
      <c r="V1444" s="262"/>
      <c r="W1444" s="262"/>
      <c r="X1444" s="262"/>
      <c r="Y1444" s="262"/>
      <c r="Z1444" s="262"/>
      <c r="AA1444" s="262"/>
      <c r="AB1444" s="262"/>
      <c r="AC1444" s="262"/>
      <c r="AD1444" s="262"/>
      <c r="AE1444" s="262"/>
      <c r="AF1444" s="147"/>
      <c r="AG1444" s="147"/>
      <c r="AH1444" s="147"/>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row>
    <row r="1445" spans="1:59" ht="15.75" customHeight="1" x14ac:dyDescent="0.2">
      <c r="A1445" s="162"/>
      <c r="B1445" s="162"/>
      <c r="C1445" s="206"/>
      <c r="D1445" s="262"/>
      <c r="E1445" s="262"/>
      <c r="F1445" s="262"/>
      <c r="G1445" s="262"/>
      <c r="H1445" s="262"/>
      <c r="I1445" s="262"/>
      <c r="J1445" s="262"/>
      <c r="K1445" s="262"/>
      <c r="L1445" s="262"/>
      <c r="M1445" s="262"/>
      <c r="N1445" s="262"/>
      <c r="O1445" s="262"/>
      <c r="P1445" s="262"/>
      <c r="Q1445" s="262"/>
      <c r="R1445" s="262"/>
      <c r="S1445" s="262"/>
      <c r="T1445" s="262"/>
      <c r="U1445" s="262"/>
      <c r="V1445" s="262"/>
      <c r="W1445" s="262"/>
      <c r="X1445" s="262"/>
      <c r="Y1445" s="262"/>
      <c r="Z1445" s="262"/>
      <c r="AA1445" s="262"/>
      <c r="AB1445" s="262"/>
      <c r="AC1445" s="262"/>
      <c r="AD1445" s="262"/>
      <c r="AE1445" s="262"/>
      <c r="AF1445" s="147"/>
      <c r="AG1445" s="147"/>
      <c r="AH1445" s="147"/>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row>
    <row r="1446" spans="1:59" ht="15.75" customHeight="1" x14ac:dyDescent="0.2">
      <c r="A1446" s="162"/>
      <c r="B1446" s="162"/>
      <c r="C1446" s="206"/>
      <c r="D1446" s="262"/>
      <c r="E1446" s="262"/>
      <c r="F1446" s="262"/>
      <c r="G1446" s="262"/>
      <c r="H1446" s="262"/>
      <c r="I1446" s="262"/>
      <c r="J1446" s="262"/>
      <c r="K1446" s="262"/>
      <c r="L1446" s="262"/>
      <c r="M1446" s="262"/>
      <c r="N1446" s="262"/>
      <c r="O1446" s="262"/>
      <c r="P1446" s="262"/>
      <c r="Q1446" s="262"/>
      <c r="R1446" s="262"/>
      <c r="S1446" s="262"/>
      <c r="T1446" s="262"/>
      <c r="U1446" s="262"/>
      <c r="V1446" s="262"/>
      <c r="W1446" s="262"/>
      <c r="X1446" s="262"/>
      <c r="Y1446" s="262"/>
      <c r="Z1446" s="262"/>
      <c r="AA1446" s="262"/>
      <c r="AB1446" s="262"/>
      <c r="AC1446" s="262"/>
      <c r="AD1446" s="262"/>
      <c r="AE1446" s="262"/>
      <c r="AF1446" s="147"/>
      <c r="AG1446" s="147"/>
      <c r="AH1446" s="147"/>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row>
    <row r="1447" spans="1:59" ht="15.75" customHeight="1" x14ac:dyDescent="0.2">
      <c r="A1447" s="162"/>
      <c r="B1447" s="162"/>
      <c r="C1447" s="206"/>
      <c r="D1447" s="262"/>
      <c r="E1447" s="262"/>
      <c r="F1447" s="262"/>
      <c r="G1447" s="262"/>
      <c r="H1447" s="262"/>
      <c r="I1447" s="262"/>
      <c r="J1447" s="262"/>
      <c r="K1447" s="262"/>
      <c r="L1447" s="262"/>
      <c r="M1447" s="262"/>
      <c r="N1447" s="262"/>
      <c r="O1447" s="262"/>
      <c r="P1447" s="262"/>
      <c r="Q1447" s="262"/>
      <c r="R1447" s="262"/>
      <c r="S1447" s="262"/>
      <c r="T1447" s="262"/>
      <c r="U1447" s="262"/>
      <c r="V1447" s="262"/>
      <c r="W1447" s="262"/>
      <c r="X1447" s="262"/>
      <c r="Y1447" s="262"/>
      <c r="Z1447" s="262"/>
      <c r="AA1447" s="262"/>
      <c r="AB1447" s="262"/>
      <c r="AC1447" s="262"/>
      <c r="AD1447" s="262"/>
      <c r="AE1447" s="262"/>
      <c r="AF1447" s="147"/>
      <c r="AG1447" s="147"/>
      <c r="AH1447" s="147"/>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row>
    <row r="1448" spans="1:59" ht="15.75" customHeight="1" x14ac:dyDescent="0.2">
      <c r="A1448" s="162"/>
      <c r="B1448" s="162"/>
      <c r="C1448" s="206"/>
      <c r="D1448" s="262"/>
      <c r="E1448" s="262"/>
      <c r="F1448" s="262"/>
      <c r="G1448" s="262"/>
      <c r="H1448" s="262"/>
      <c r="I1448" s="262"/>
      <c r="J1448" s="262"/>
      <c r="K1448" s="262"/>
      <c r="L1448" s="262"/>
      <c r="M1448" s="262"/>
      <c r="N1448" s="262"/>
      <c r="O1448" s="262"/>
      <c r="P1448" s="262"/>
      <c r="Q1448" s="262"/>
      <c r="R1448" s="262"/>
      <c r="S1448" s="262"/>
      <c r="T1448" s="262"/>
      <c r="U1448" s="262"/>
      <c r="V1448" s="262"/>
      <c r="W1448" s="262"/>
      <c r="X1448" s="262"/>
      <c r="Y1448" s="262"/>
      <c r="Z1448" s="262"/>
      <c r="AA1448" s="262"/>
      <c r="AB1448" s="262"/>
      <c r="AC1448" s="262"/>
      <c r="AD1448" s="262"/>
      <c r="AE1448" s="262"/>
      <c r="AF1448" s="147"/>
      <c r="AG1448" s="147"/>
      <c r="AH1448" s="147"/>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row>
    <row r="1449" spans="1:59" ht="15.75" customHeight="1" x14ac:dyDescent="0.2">
      <c r="A1449" s="162"/>
      <c r="B1449" s="162"/>
      <c r="C1449" s="206"/>
      <c r="D1449" s="262"/>
      <c r="E1449" s="262"/>
      <c r="F1449" s="262"/>
      <c r="G1449" s="262"/>
      <c r="H1449" s="262"/>
      <c r="I1449" s="262"/>
      <c r="J1449" s="262"/>
      <c r="K1449" s="262"/>
      <c r="L1449" s="262"/>
      <c r="M1449" s="262"/>
      <c r="N1449" s="262"/>
      <c r="O1449" s="262"/>
      <c r="P1449" s="262"/>
      <c r="Q1449" s="262"/>
      <c r="R1449" s="262"/>
      <c r="S1449" s="262"/>
      <c r="T1449" s="262"/>
      <c r="U1449" s="262"/>
      <c r="V1449" s="262"/>
      <c r="W1449" s="262"/>
      <c r="X1449" s="262"/>
      <c r="Y1449" s="262"/>
      <c r="Z1449" s="262"/>
      <c r="AA1449" s="262"/>
      <c r="AB1449" s="262"/>
      <c r="AC1449" s="262"/>
      <c r="AD1449" s="262"/>
      <c r="AE1449" s="262"/>
      <c r="AF1449" s="147"/>
      <c r="AG1449" s="147"/>
      <c r="AH1449" s="147"/>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row>
    <row r="1450" spans="1:59" ht="15.75" customHeight="1" x14ac:dyDescent="0.2">
      <c r="A1450" s="162"/>
      <c r="B1450" s="162"/>
      <c r="C1450" s="206"/>
      <c r="D1450" s="262"/>
      <c r="E1450" s="262"/>
      <c r="F1450" s="262"/>
      <c r="G1450" s="262"/>
      <c r="H1450" s="262"/>
      <c r="I1450" s="262"/>
      <c r="J1450" s="262"/>
      <c r="K1450" s="262"/>
      <c r="L1450" s="262"/>
      <c r="M1450" s="262"/>
      <c r="N1450" s="262"/>
      <c r="O1450" s="262"/>
      <c r="P1450" s="262"/>
      <c r="Q1450" s="262"/>
      <c r="R1450" s="262"/>
      <c r="S1450" s="262"/>
      <c r="T1450" s="262"/>
      <c r="U1450" s="262"/>
      <c r="V1450" s="262"/>
      <c r="W1450" s="262"/>
      <c r="X1450" s="262"/>
      <c r="Y1450" s="262"/>
      <c r="Z1450" s="262"/>
      <c r="AA1450" s="262"/>
      <c r="AB1450" s="262"/>
      <c r="AC1450" s="262"/>
      <c r="AD1450" s="262"/>
      <c r="AE1450" s="262"/>
      <c r="AF1450" s="147"/>
      <c r="AG1450" s="147"/>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row>
    <row r="1451" spans="1:59" ht="15.75" customHeight="1" x14ac:dyDescent="0.2">
      <c r="A1451" s="162"/>
      <c r="B1451" s="162"/>
      <c r="C1451" s="206"/>
      <c r="D1451" s="262"/>
      <c r="E1451" s="262"/>
      <c r="F1451" s="262"/>
      <c r="G1451" s="262"/>
      <c r="H1451" s="262"/>
      <c r="I1451" s="262"/>
      <c r="J1451" s="262"/>
      <c r="K1451" s="262"/>
      <c r="L1451" s="262"/>
      <c r="M1451" s="262"/>
      <c r="N1451" s="262"/>
      <c r="O1451" s="262"/>
      <c r="P1451" s="262"/>
      <c r="Q1451" s="262"/>
      <c r="R1451" s="262"/>
      <c r="S1451" s="262"/>
      <c r="T1451" s="262"/>
      <c r="U1451" s="262"/>
      <c r="V1451" s="262"/>
      <c r="W1451" s="262"/>
      <c r="X1451" s="262"/>
      <c r="Y1451" s="262"/>
      <c r="Z1451" s="262"/>
      <c r="AA1451" s="262"/>
      <c r="AB1451" s="262"/>
      <c r="AC1451" s="262"/>
      <c r="AD1451" s="262"/>
      <c r="AE1451" s="262"/>
      <c r="AF1451" s="147"/>
      <c r="AG1451" s="147"/>
      <c r="AH1451" s="147"/>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row>
    <row r="1452" spans="1:59" ht="15.75" customHeight="1" x14ac:dyDescent="0.2">
      <c r="A1452" s="162"/>
      <c r="B1452" s="162"/>
      <c r="C1452" s="206"/>
      <c r="D1452" s="262"/>
      <c r="E1452" s="262"/>
      <c r="F1452" s="262"/>
      <c r="G1452" s="262"/>
      <c r="H1452" s="262"/>
      <c r="I1452" s="262"/>
      <c r="J1452" s="262"/>
      <c r="K1452" s="262"/>
      <c r="L1452" s="262"/>
      <c r="M1452" s="262"/>
      <c r="N1452" s="262"/>
      <c r="O1452" s="262"/>
      <c r="P1452" s="262"/>
      <c r="Q1452" s="262"/>
      <c r="R1452" s="262"/>
      <c r="S1452" s="262"/>
      <c r="T1452" s="262"/>
      <c r="U1452" s="262"/>
      <c r="V1452" s="262"/>
      <c r="W1452" s="262"/>
      <c r="X1452" s="262"/>
      <c r="Y1452" s="262"/>
      <c r="Z1452" s="262"/>
      <c r="AA1452" s="262"/>
      <c r="AB1452" s="262"/>
      <c r="AC1452" s="262"/>
      <c r="AD1452" s="262"/>
      <c r="AE1452" s="262"/>
      <c r="AF1452" s="147"/>
      <c r="AG1452" s="147"/>
      <c r="AH1452" s="147"/>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row>
    <row r="1453" spans="1:59" ht="15.75" customHeight="1" x14ac:dyDescent="0.2">
      <c r="A1453" s="162"/>
      <c r="B1453" s="162"/>
      <c r="C1453" s="206"/>
      <c r="D1453" s="262"/>
      <c r="E1453" s="262"/>
      <c r="F1453" s="262"/>
      <c r="G1453" s="262"/>
      <c r="H1453" s="262"/>
      <c r="I1453" s="262"/>
      <c r="J1453" s="262"/>
      <c r="K1453" s="262"/>
      <c r="L1453" s="262"/>
      <c r="M1453" s="262"/>
      <c r="N1453" s="262"/>
      <c r="O1453" s="262"/>
      <c r="P1453" s="262"/>
      <c r="Q1453" s="262"/>
      <c r="R1453" s="262"/>
      <c r="S1453" s="262"/>
      <c r="T1453" s="262"/>
      <c r="U1453" s="262"/>
      <c r="V1453" s="262"/>
      <c r="W1453" s="262"/>
      <c r="X1453" s="262"/>
      <c r="Y1453" s="262"/>
      <c r="Z1453" s="262"/>
      <c r="AA1453" s="262"/>
      <c r="AB1453" s="262"/>
      <c r="AC1453" s="262"/>
      <c r="AD1453" s="262"/>
      <c r="AE1453" s="262"/>
      <c r="AF1453" s="147"/>
      <c r="AG1453" s="147"/>
      <c r="AH1453" s="147"/>
      <c r="AI1453" s="147"/>
      <c r="AJ1453" s="195"/>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row>
    <row r="1454" spans="1:59" ht="15.75" customHeight="1" x14ac:dyDescent="0.2">
      <c r="A1454" s="162"/>
      <c r="B1454" s="162"/>
      <c r="C1454" s="206"/>
      <c r="D1454" s="262"/>
      <c r="E1454" s="262"/>
      <c r="F1454" s="262"/>
      <c r="G1454" s="262"/>
      <c r="H1454" s="262"/>
      <c r="I1454" s="262"/>
      <c r="J1454" s="262"/>
      <c r="K1454" s="262"/>
      <c r="L1454" s="262"/>
      <c r="M1454" s="262"/>
      <c r="N1454" s="262"/>
      <c r="O1454" s="262"/>
      <c r="P1454" s="262"/>
      <c r="Q1454" s="262"/>
      <c r="R1454" s="262"/>
      <c r="S1454" s="262"/>
      <c r="T1454" s="262"/>
      <c r="U1454" s="262"/>
      <c r="V1454" s="262"/>
      <c r="W1454" s="262"/>
      <c r="X1454" s="262"/>
      <c r="Y1454" s="262"/>
      <c r="Z1454" s="262"/>
      <c r="AA1454" s="262"/>
      <c r="AB1454" s="262"/>
      <c r="AC1454" s="262"/>
      <c r="AD1454" s="262"/>
      <c r="AE1454" s="262"/>
      <c r="AF1454" s="147"/>
      <c r="AG1454" s="147"/>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row>
    <row r="1455" spans="1:59" ht="15.75" customHeight="1" x14ac:dyDescent="0.2">
      <c r="A1455" s="162"/>
      <c r="B1455" s="162"/>
      <c r="C1455" s="206"/>
      <c r="D1455" s="262"/>
      <c r="E1455" s="262"/>
      <c r="F1455" s="262"/>
      <c r="G1455" s="262"/>
      <c r="H1455" s="262"/>
      <c r="I1455" s="262"/>
      <c r="J1455" s="262"/>
      <c r="K1455" s="262"/>
      <c r="L1455" s="262"/>
      <c r="M1455" s="262"/>
      <c r="N1455" s="262"/>
      <c r="O1455" s="262"/>
      <c r="P1455" s="262"/>
      <c r="Q1455" s="262"/>
      <c r="R1455" s="262"/>
      <c r="S1455" s="262"/>
      <c r="T1455" s="262"/>
      <c r="U1455" s="262"/>
      <c r="V1455" s="262"/>
      <c r="W1455" s="262"/>
      <c r="X1455" s="262"/>
      <c r="Y1455" s="262"/>
      <c r="Z1455" s="262"/>
      <c r="AA1455" s="262"/>
      <c r="AB1455" s="262"/>
      <c r="AC1455" s="262"/>
      <c r="AD1455" s="262"/>
      <c r="AE1455" s="262"/>
      <c r="AF1455" s="147"/>
      <c r="AG1455" s="147"/>
      <c r="AH1455" s="147"/>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row>
    <row r="1456" spans="1:59" ht="15.75" customHeight="1" x14ac:dyDescent="0.2">
      <c r="A1456" s="162"/>
      <c r="B1456" s="162"/>
      <c r="C1456" s="206"/>
      <c r="D1456" s="262"/>
      <c r="E1456" s="262"/>
      <c r="F1456" s="262"/>
      <c r="G1456" s="262"/>
      <c r="H1456" s="262"/>
      <c r="I1456" s="262"/>
      <c r="J1456" s="262"/>
      <c r="K1456" s="262"/>
      <c r="L1456" s="262"/>
      <c r="M1456" s="262"/>
      <c r="N1456" s="262"/>
      <c r="O1456" s="262"/>
      <c r="P1456" s="262"/>
      <c r="Q1456" s="262"/>
      <c r="R1456" s="262"/>
      <c r="S1456" s="262"/>
      <c r="T1456" s="262"/>
      <c r="U1456" s="262"/>
      <c r="V1456" s="262"/>
      <c r="W1456" s="262"/>
      <c r="X1456" s="262"/>
      <c r="Y1456" s="262"/>
      <c r="Z1456" s="262"/>
      <c r="AA1456" s="262"/>
      <c r="AB1456" s="262"/>
      <c r="AC1456" s="262"/>
      <c r="AD1456" s="262"/>
      <c r="AE1456" s="262"/>
      <c r="AF1456" s="147"/>
      <c r="AG1456" s="147"/>
      <c r="AH1456" s="147"/>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row>
    <row r="1457" spans="1:59" ht="15.75" customHeight="1" x14ac:dyDescent="0.2">
      <c r="A1457" s="162"/>
      <c r="B1457" s="162"/>
      <c r="C1457" s="206"/>
      <c r="D1457" s="262"/>
      <c r="E1457" s="262"/>
      <c r="F1457" s="262"/>
      <c r="G1457" s="262"/>
      <c r="H1457" s="262"/>
      <c r="I1457" s="262"/>
      <c r="J1457" s="262"/>
      <c r="K1457" s="262"/>
      <c r="L1457" s="262"/>
      <c r="M1457" s="262"/>
      <c r="N1457" s="262"/>
      <c r="O1457" s="262"/>
      <c r="P1457" s="262"/>
      <c r="Q1457" s="262"/>
      <c r="R1457" s="262"/>
      <c r="S1457" s="262"/>
      <c r="T1457" s="262"/>
      <c r="U1457" s="262"/>
      <c r="V1457" s="262"/>
      <c r="W1457" s="262"/>
      <c r="X1457" s="262"/>
      <c r="Y1457" s="262"/>
      <c r="Z1457" s="262"/>
      <c r="AA1457" s="262"/>
      <c r="AB1457" s="262"/>
      <c r="AC1457" s="262"/>
      <c r="AD1457" s="262"/>
      <c r="AE1457" s="262"/>
      <c r="AF1457" s="147"/>
      <c r="AG1457" s="147"/>
      <c r="AH1457" s="147"/>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row>
    <row r="1458" spans="1:59" ht="15.75" customHeight="1" x14ac:dyDescent="0.2">
      <c r="A1458" s="162"/>
      <c r="B1458" s="162"/>
      <c r="C1458" s="206"/>
      <c r="D1458" s="262"/>
      <c r="E1458" s="262"/>
      <c r="F1458" s="262"/>
      <c r="G1458" s="262"/>
      <c r="H1458" s="262"/>
      <c r="I1458" s="262"/>
      <c r="J1458" s="262"/>
      <c r="K1458" s="262"/>
      <c r="L1458" s="262"/>
      <c r="M1458" s="262"/>
      <c r="N1458" s="262"/>
      <c r="O1458" s="262"/>
      <c r="P1458" s="262"/>
      <c r="Q1458" s="262"/>
      <c r="R1458" s="262"/>
      <c r="S1458" s="262"/>
      <c r="T1458" s="262"/>
      <c r="U1458" s="262"/>
      <c r="V1458" s="262"/>
      <c r="W1458" s="262"/>
      <c r="X1458" s="262"/>
      <c r="Y1458" s="262"/>
      <c r="Z1458" s="262"/>
      <c r="AA1458" s="262"/>
      <c r="AB1458" s="262"/>
      <c r="AC1458" s="262"/>
      <c r="AD1458" s="262"/>
      <c r="AE1458" s="262"/>
      <c r="AF1458" s="147"/>
      <c r="AG1458" s="147"/>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row>
    <row r="1459" spans="1:59" ht="15.75" customHeight="1" x14ac:dyDescent="0.2">
      <c r="A1459" s="162"/>
      <c r="B1459" s="162"/>
      <c r="C1459" s="206"/>
      <c r="D1459" s="262"/>
      <c r="E1459" s="262"/>
      <c r="F1459" s="262"/>
      <c r="G1459" s="262"/>
      <c r="H1459" s="262"/>
      <c r="I1459" s="262"/>
      <c r="J1459" s="262"/>
      <c r="K1459" s="262"/>
      <c r="L1459" s="262"/>
      <c r="M1459" s="262"/>
      <c r="N1459" s="262"/>
      <c r="O1459" s="262"/>
      <c r="P1459" s="262"/>
      <c r="Q1459" s="262"/>
      <c r="R1459" s="262"/>
      <c r="S1459" s="262"/>
      <c r="T1459" s="262"/>
      <c r="U1459" s="262"/>
      <c r="V1459" s="262"/>
      <c r="W1459" s="262"/>
      <c r="X1459" s="262"/>
      <c r="Y1459" s="262"/>
      <c r="Z1459" s="262"/>
      <c r="AA1459" s="262"/>
      <c r="AB1459" s="262"/>
      <c r="AC1459" s="262"/>
      <c r="AD1459" s="262"/>
      <c r="AE1459" s="262"/>
      <c r="AF1459" s="147"/>
      <c r="AG1459" s="147"/>
      <c r="AH1459" s="147"/>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row>
    <row r="1460" spans="1:59" ht="15.75" customHeight="1" x14ac:dyDescent="0.2">
      <c r="A1460" s="162"/>
      <c r="B1460" s="162"/>
      <c r="C1460" s="206"/>
      <c r="D1460" s="262"/>
      <c r="E1460" s="262"/>
      <c r="F1460" s="262"/>
      <c r="G1460" s="262"/>
      <c r="H1460" s="262"/>
      <c r="I1460" s="262"/>
      <c r="J1460" s="262"/>
      <c r="K1460" s="262"/>
      <c r="L1460" s="262"/>
      <c r="M1460" s="262"/>
      <c r="N1460" s="262"/>
      <c r="O1460" s="262"/>
      <c r="P1460" s="262"/>
      <c r="Q1460" s="262"/>
      <c r="R1460" s="262"/>
      <c r="S1460" s="262"/>
      <c r="T1460" s="262"/>
      <c r="U1460" s="262"/>
      <c r="V1460" s="262"/>
      <c r="W1460" s="262"/>
      <c r="X1460" s="262"/>
      <c r="Y1460" s="262"/>
      <c r="Z1460" s="262"/>
      <c r="AA1460" s="262"/>
      <c r="AB1460" s="262"/>
      <c r="AC1460" s="262"/>
      <c r="AD1460" s="262"/>
      <c r="AE1460" s="262"/>
      <c r="AF1460" s="147"/>
      <c r="AG1460" s="147"/>
      <c r="AH1460" s="147"/>
      <c r="AI1460" s="147"/>
      <c r="AJ1460" s="209"/>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row>
    <row r="1461" spans="1:59" ht="15.75" customHeight="1" x14ac:dyDescent="0.2">
      <c r="A1461" s="162"/>
      <c r="B1461" s="162"/>
      <c r="C1461" s="206"/>
      <c r="D1461" s="262"/>
      <c r="E1461" s="262"/>
      <c r="F1461" s="262"/>
      <c r="G1461" s="262"/>
      <c r="H1461" s="262"/>
      <c r="I1461" s="262"/>
      <c r="J1461" s="262"/>
      <c r="K1461" s="262"/>
      <c r="L1461" s="262"/>
      <c r="M1461" s="262"/>
      <c r="N1461" s="262"/>
      <c r="O1461" s="262"/>
      <c r="P1461" s="262"/>
      <c r="Q1461" s="262"/>
      <c r="R1461" s="262"/>
      <c r="S1461" s="262"/>
      <c r="T1461" s="262"/>
      <c r="U1461" s="262"/>
      <c r="V1461" s="262"/>
      <c r="W1461" s="262"/>
      <c r="X1461" s="262"/>
      <c r="Y1461" s="262"/>
      <c r="Z1461" s="262"/>
      <c r="AA1461" s="262"/>
      <c r="AB1461" s="262"/>
      <c r="AC1461" s="262"/>
      <c r="AD1461" s="262"/>
      <c r="AE1461" s="262"/>
      <c r="AF1461" s="147"/>
      <c r="AG1461" s="147"/>
      <c r="AH1461" s="147"/>
      <c r="AI1461" s="147"/>
      <c r="AJ1461" s="84"/>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row>
    <row r="1462" spans="1:59" ht="15.75" customHeight="1" x14ac:dyDescent="0.2">
      <c r="A1462" s="162"/>
      <c r="B1462" s="162"/>
      <c r="C1462" s="206"/>
      <c r="D1462" s="262"/>
      <c r="E1462" s="262"/>
      <c r="F1462" s="262"/>
      <c r="G1462" s="262"/>
      <c r="H1462" s="262"/>
      <c r="I1462" s="262"/>
      <c r="J1462" s="262"/>
      <c r="K1462" s="262"/>
      <c r="L1462" s="262"/>
      <c r="M1462" s="262"/>
      <c r="N1462" s="262"/>
      <c r="O1462" s="262"/>
      <c r="P1462" s="262"/>
      <c r="Q1462" s="262"/>
      <c r="R1462" s="262"/>
      <c r="S1462" s="262"/>
      <c r="T1462" s="262"/>
      <c r="U1462" s="262"/>
      <c r="V1462" s="262"/>
      <c r="W1462" s="262"/>
      <c r="X1462" s="262"/>
      <c r="Y1462" s="262"/>
      <c r="Z1462" s="262"/>
      <c r="AA1462" s="262"/>
      <c r="AB1462" s="262"/>
      <c r="AC1462" s="262"/>
      <c r="AD1462" s="262"/>
      <c r="AE1462" s="262"/>
      <c r="AF1462" s="147"/>
      <c r="AG1462" s="147"/>
      <c r="AH1462" s="147"/>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row>
    <row r="1463" spans="1:59" ht="15.75" customHeight="1" x14ac:dyDescent="0.2">
      <c r="A1463" s="162"/>
      <c r="B1463" s="162"/>
      <c r="C1463" s="206"/>
      <c r="D1463" s="262"/>
      <c r="E1463" s="262"/>
      <c r="F1463" s="262"/>
      <c r="G1463" s="262"/>
      <c r="H1463" s="262"/>
      <c r="I1463" s="262"/>
      <c r="J1463" s="262"/>
      <c r="K1463" s="262"/>
      <c r="L1463" s="262"/>
      <c r="M1463" s="262"/>
      <c r="N1463" s="262"/>
      <c r="O1463" s="262"/>
      <c r="P1463" s="262"/>
      <c r="Q1463" s="262"/>
      <c r="R1463" s="262"/>
      <c r="S1463" s="262"/>
      <c r="T1463" s="262"/>
      <c r="U1463" s="262"/>
      <c r="V1463" s="262"/>
      <c r="W1463" s="262"/>
      <c r="X1463" s="262"/>
      <c r="Y1463" s="262"/>
      <c r="Z1463" s="262"/>
      <c r="AA1463" s="262"/>
      <c r="AB1463" s="262"/>
      <c r="AC1463" s="262"/>
      <c r="AD1463" s="262"/>
      <c r="AE1463" s="262"/>
      <c r="AF1463" s="147"/>
      <c r="AG1463" s="147"/>
      <c r="AH1463" s="147"/>
      <c r="AI1463" s="147"/>
      <c r="AJ1463" s="189"/>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row>
    <row r="1464" spans="1:59" ht="15.75" customHeight="1" x14ac:dyDescent="0.2">
      <c r="A1464" s="162"/>
      <c r="B1464" s="162"/>
      <c r="C1464" s="206"/>
      <c r="D1464" s="262"/>
      <c r="E1464" s="262"/>
      <c r="F1464" s="262"/>
      <c r="G1464" s="262"/>
      <c r="H1464" s="262"/>
      <c r="I1464" s="262"/>
      <c r="J1464" s="262"/>
      <c r="K1464" s="262"/>
      <c r="L1464" s="262"/>
      <c r="M1464" s="262"/>
      <c r="N1464" s="262"/>
      <c r="O1464" s="262"/>
      <c r="P1464" s="262"/>
      <c r="Q1464" s="262"/>
      <c r="R1464" s="262"/>
      <c r="S1464" s="262"/>
      <c r="T1464" s="262"/>
      <c r="U1464" s="262"/>
      <c r="V1464" s="262"/>
      <c r="W1464" s="262"/>
      <c r="X1464" s="262"/>
      <c r="Y1464" s="262"/>
      <c r="Z1464" s="262"/>
      <c r="AA1464" s="262"/>
      <c r="AB1464" s="262"/>
      <c r="AC1464" s="262"/>
      <c r="AD1464" s="262"/>
      <c r="AE1464" s="262"/>
      <c r="AF1464" s="147"/>
      <c r="AG1464" s="147"/>
      <c r="AH1464" s="147"/>
      <c r="AI1464" s="147"/>
      <c r="AJ1464" s="189"/>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row>
    <row r="1465" spans="1:59" ht="15.75" customHeight="1" x14ac:dyDescent="0.2">
      <c r="A1465" s="162"/>
      <c r="B1465" s="162"/>
      <c r="C1465" s="206"/>
      <c r="D1465" s="262"/>
      <c r="E1465" s="262"/>
      <c r="F1465" s="262"/>
      <c r="G1465" s="262"/>
      <c r="H1465" s="262"/>
      <c r="I1465" s="262"/>
      <c r="J1465" s="262"/>
      <c r="K1465" s="262"/>
      <c r="L1465" s="262"/>
      <c r="M1465" s="262"/>
      <c r="N1465" s="262"/>
      <c r="O1465" s="262"/>
      <c r="P1465" s="262"/>
      <c r="Q1465" s="262"/>
      <c r="R1465" s="262"/>
      <c r="S1465" s="262"/>
      <c r="T1465" s="262"/>
      <c r="U1465" s="262"/>
      <c r="V1465" s="262"/>
      <c r="W1465" s="262"/>
      <c r="X1465" s="262"/>
      <c r="Y1465" s="262"/>
      <c r="Z1465" s="262"/>
      <c r="AA1465" s="262"/>
      <c r="AB1465" s="262"/>
      <c r="AC1465" s="262"/>
      <c r="AD1465" s="262"/>
      <c r="AE1465" s="262"/>
      <c r="AF1465" s="147"/>
      <c r="AG1465" s="147"/>
      <c r="AH1465" s="147"/>
      <c r="AI1465" s="147"/>
      <c r="AJ1465" s="189"/>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row>
    <row r="1466" spans="1:59" ht="15.75" customHeight="1" x14ac:dyDescent="0.2">
      <c r="A1466" s="162"/>
      <c r="B1466" s="162"/>
      <c r="C1466" s="206"/>
      <c r="D1466" s="262"/>
      <c r="E1466" s="262"/>
      <c r="F1466" s="262"/>
      <c r="G1466" s="262"/>
      <c r="H1466" s="262"/>
      <c r="I1466" s="262"/>
      <c r="J1466" s="262"/>
      <c r="K1466" s="262"/>
      <c r="L1466" s="262"/>
      <c r="M1466" s="262"/>
      <c r="N1466" s="262"/>
      <c r="O1466" s="262"/>
      <c r="P1466" s="262"/>
      <c r="Q1466" s="262"/>
      <c r="R1466" s="262"/>
      <c r="S1466" s="262"/>
      <c r="T1466" s="262"/>
      <c r="U1466" s="262"/>
      <c r="V1466" s="262"/>
      <c r="W1466" s="262"/>
      <c r="X1466" s="262"/>
      <c r="Y1466" s="262"/>
      <c r="Z1466" s="262"/>
      <c r="AA1466" s="262"/>
      <c r="AB1466" s="262"/>
      <c r="AC1466" s="262"/>
      <c r="AD1466" s="262"/>
      <c r="AE1466" s="262"/>
      <c r="AF1466" s="147"/>
      <c r="AG1466" s="147"/>
      <c r="AH1466" s="147"/>
      <c r="AI1466" s="147"/>
      <c r="AJ1466" s="189"/>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row>
    <row r="1467" spans="1:59" ht="15.75" customHeight="1" x14ac:dyDescent="0.2">
      <c r="A1467" s="162"/>
      <c r="B1467" s="162"/>
      <c r="C1467" s="206"/>
      <c r="D1467" s="262"/>
      <c r="E1467" s="262"/>
      <c r="F1467" s="262"/>
      <c r="G1467" s="262"/>
      <c r="H1467" s="262"/>
      <c r="I1467" s="262"/>
      <c r="J1467" s="262"/>
      <c r="K1467" s="262"/>
      <c r="L1467" s="262"/>
      <c r="M1467" s="262"/>
      <c r="N1467" s="262"/>
      <c r="O1467" s="262"/>
      <c r="P1467" s="262"/>
      <c r="Q1467" s="262"/>
      <c r="R1467" s="262"/>
      <c r="S1467" s="262"/>
      <c r="T1467" s="262"/>
      <c r="U1467" s="262"/>
      <c r="V1467" s="262"/>
      <c r="W1467" s="262"/>
      <c r="X1467" s="262"/>
      <c r="Y1467" s="262"/>
      <c r="Z1467" s="262"/>
      <c r="AA1467" s="262"/>
      <c r="AB1467" s="262"/>
      <c r="AC1467" s="262"/>
      <c r="AD1467" s="262"/>
      <c r="AE1467" s="262"/>
      <c r="AF1467" s="147"/>
      <c r="AG1467" s="147"/>
      <c r="AH1467" s="147"/>
      <c r="AI1467" s="147"/>
      <c r="AJ1467" s="189"/>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row>
    <row r="1468" spans="1:59" ht="15.75" customHeight="1" x14ac:dyDescent="0.2">
      <c r="A1468" s="162"/>
      <c r="B1468" s="162"/>
      <c r="C1468" s="206"/>
      <c r="D1468" s="262"/>
      <c r="E1468" s="262"/>
      <c r="F1468" s="262"/>
      <c r="G1468" s="262"/>
      <c r="H1468" s="262"/>
      <c r="I1468" s="262"/>
      <c r="J1468" s="262"/>
      <c r="K1468" s="262"/>
      <c r="L1468" s="262"/>
      <c r="M1468" s="262"/>
      <c r="N1468" s="262"/>
      <c r="O1468" s="262"/>
      <c r="P1468" s="262"/>
      <c r="Q1468" s="262"/>
      <c r="R1468" s="262"/>
      <c r="S1468" s="262"/>
      <c r="T1468" s="262"/>
      <c r="U1468" s="262"/>
      <c r="V1468" s="262"/>
      <c r="W1468" s="262"/>
      <c r="X1468" s="262"/>
      <c r="Y1468" s="262"/>
      <c r="Z1468" s="262"/>
      <c r="AA1468" s="262"/>
      <c r="AB1468" s="262"/>
      <c r="AC1468" s="262"/>
      <c r="AD1468" s="262"/>
      <c r="AE1468" s="262"/>
      <c r="AF1468" s="147"/>
      <c r="AG1468" s="147"/>
      <c r="AH1468" s="147"/>
      <c r="AI1468" s="147"/>
      <c r="AJ1468" s="189"/>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row>
    <row r="1469" spans="1:59" ht="15.75" customHeight="1" x14ac:dyDescent="0.2">
      <c r="A1469" s="162"/>
      <c r="B1469" s="162"/>
      <c r="C1469" s="206"/>
      <c r="D1469" s="262"/>
      <c r="E1469" s="262"/>
      <c r="F1469" s="262"/>
      <c r="G1469" s="262"/>
      <c r="H1469" s="262"/>
      <c r="I1469" s="262"/>
      <c r="J1469" s="262"/>
      <c r="K1469" s="262"/>
      <c r="L1469" s="262"/>
      <c r="M1469" s="262"/>
      <c r="N1469" s="262"/>
      <c r="O1469" s="262"/>
      <c r="P1469" s="262"/>
      <c r="Q1469" s="262"/>
      <c r="R1469" s="262"/>
      <c r="S1469" s="262"/>
      <c r="T1469" s="262"/>
      <c r="U1469" s="262"/>
      <c r="V1469" s="262"/>
      <c r="W1469" s="262"/>
      <c r="X1469" s="262"/>
      <c r="Y1469" s="262"/>
      <c r="Z1469" s="262"/>
      <c r="AA1469" s="262"/>
      <c r="AB1469" s="262"/>
      <c r="AC1469" s="262"/>
      <c r="AD1469" s="262"/>
      <c r="AE1469" s="262"/>
      <c r="AF1469" s="147"/>
      <c r="AG1469" s="147"/>
      <c r="AH1469" s="147"/>
      <c r="AI1469" s="147"/>
      <c r="AJ1469" s="189"/>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row>
    <row r="1470" spans="1:59" ht="15.75" customHeight="1" x14ac:dyDescent="0.2">
      <c r="A1470" s="162"/>
      <c r="B1470" s="162"/>
      <c r="C1470" s="206"/>
      <c r="D1470" s="262"/>
      <c r="E1470" s="262"/>
      <c r="F1470" s="262"/>
      <c r="G1470" s="262"/>
      <c r="H1470" s="262"/>
      <c r="I1470" s="262"/>
      <c r="J1470" s="262"/>
      <c r="K1470" s="262"/>
      <c r="L1470" s="262"/>
      <c r="M1470" s="262"/>
      <c r="N1470" s="262"/>
      <c r="O1470" s="262"/>
      <c r="P1470" s="262"/>
      <c r="Q1470" s="262"/>
      <c r="R1470" s="262"/>
      <c r="S1470" s="262"/>
      <c r="T1470" s="262"/>
      <c r="U1470" s="262"/>
      <c r="V1470" s="262"/>
      <c r="W1470" s="262"/>
      <c r="X1470" s="262"/>
      <c r="Y1470" s="262"/>
      <c r="Z1470" s="262"/>
      <c r="AA1470" s="262"/>
      <c r="AB1470" s="262"/>
      <c r="AC1470" s="262"/>
      <c r="AD1470" s="262"/>
      <c r="AE1470" s="262"/>
      <c r="AF1470" s="147"/>
      <c r="AG1470" s="147"/>
      <c r="AH1470" s="147"/>
      <c r="AI1470" s="147"/>
      <c r="AJ1470" s="162"/>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row>
    <row r="1471" spans="1:59" ht="15.75" customHeight="1" x14ac:dyDescent="0.2">
      <c r="A1471" s="162"/>
      <c r="B1471" s="162"/>
      <c r="C1471" s="206"/>
      <c r="D1471" s="262"/>
      <c r="E1471" s="262"/>
      <c r="F1471" s="262"/>
      <c r="G1471" s="262"/>
      <c r="H1471" s="262"/>
      <c r="I1471" s="262"/>
      <c r="J1471" s="262"/>
      <c r="K1471" s="262"/>
      <c r="L1471" s="262"/>
      <c r="M1471" s="262"/>
      <c r="N1471" s="262"/>
      <c r="O1471" s="262"/>
      <c r="P1471" s="262"/>
      <c r="Q1471" s="262"/>
      <c r="R1471" s="262"/>
      <c r="S1471" s="262"/>
      <c r="T1471" s="262"/>
      <c r="U1471" s="262"/>
      <c r="V1471" s="262"/>
      <c r="W1471" s="262"/>
      <c r="X1471" s="262"/>
      <c r="Y1471" s="262"/>
      <c r="Z1471" s="262"/>
      <c r="AA1471" s="262"/>
      <c r="AB1471" s="262"/>
      <c r="AC1471" s="262"/>
      <c r="AD1471" s="262"/>
      <c r="AE1471" s="262"/>
      <c r="AF1471" s="147"/>
      <c r="AG1471" s="147"/>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row>
    <row r="1472" spans="1:59" ht="15.75" customHeight="1" x14ac:dyDescent="0.2">
      <c r="A1472" s="162"/>
      <c r="B1472" s="162"/>
      <c r="C1472" s="206"/>
      <c r="D1472" s="262"/>
      <c r="E1472" s="262"/>
      <c r="F1472" s="262"/>
      <c r="G1472" s="262"/>
      <c r="H1472" s="262"/>
      <c r="I1472" s="262"/>
      <c r="J1472" s="262"/>
      <c r="K1472" s="262"/>
      <c r="L1472" s="262"/>
      <c r="M1472" s="262"/>
      <c r="N1472" s="262"/>
      <c r="O1472" s="262"/>
      <c r="P1472" s="262"/>
      <c r="Q1472" s="262"/>
      <c r="R1472" s="262"/>
      <c r="S1472" s="262"/>
      <c r="T1472" s="262"/>
      <c r="U1472" s="262"/>
      <c r="V1472" s="262"/>
      <c r="W1472" s="262"/>
      <c r="X1472" s="262"/>
      <c r="Y1472" s="262"/>
      <c r="Z1472" s="262"/>
      <c r="AA1472" s="262"/>
      <c r="AB1472" s="262"/>
      <c r="AC1472" s="262"/>
      <c r="AD1472" s="262"/>
      <c r="AE1472" s="262"/>
      <c r="AF1472" s="147"/>
      <c r="AG1472" s="147"/>
      <c r="AH1472" s="147"/>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row>
    <row r="1473" spans="1:59" ht="15.75" customHeight="1" x14ac:dyDescent="0.2">
      <c r="A1473" s="162"/>
      <c r="B1473" s="162"/>
      <c r="C1473" s="206"/>
      <c r="D1473" s="262"/>
      <c r="E1473" s="262"/>
      <c r="F1473" s="262"/>
      <c r="G1473" s="262"/>
      <c r="H1473" s="262"/>
      <c r="I1473" s="262"/>
      <c r="J1473" s="262"/>
      <c r="K1473" s="262"/>
      <c r="L1473" s="262"/>
      <c r="M1473" s="262"/>
      <c r="N1473" s="262"/>
      <c r="O1473" s="262"/>
      <c r="P1473" s="262"/>
      <c r="Q1473" s="262"/>
      <c r="R1473" s="262"/>
      <c r="S1473" s="262"/>
      <c r="T1473" s="262"/>
      <c r="U1473" s="262"/>
      <c r="V1473" s="262"/>
      <c r="W1473" s="262"/>
      <c r="X1473" s="262"/>
      <c r="Y1473" s="262"/>
      <c r="Z1473" s="262"/>
      <c r="AA1473" s="262"/>
      <c r="AB1473" s="262"/>
      <c r="AC1473" s="262"/>
      <c r="AD1473" s="262"/>
      <c r="AE1473" s="262"/>
      <c r="AF1473" s="147"/>
      <c r="AG1473" s="147"/>
      <c r="AH1473" s="147"/>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row>
    <row r="1474" spans="1:59" ht="15.75" customHeight="1" x14ac:dyDescent="0.2">
      <c r="A1474" s="162"/>
      <c r="B1474" s="162"/>
      <c r="C1474" s="206"/>
      <c r="D1474" s="262"/>
      <c r="E1474" s="262"/>
      <c r="F1474" s="262"/>
      <c r="G1474" s="262"/>
      <c r="H1474" s="262"/>
      <c r="I1474" s="262"/>
      <c r="J1474" s="262"/>
      <c r="K1474" s="262"/>
      <c r="L1474" s="262"/>
      <c r="M1474" s="262"/>
      <c r="N1474" s="262"/>
      <c r="O1474" s="262"/>
      <c r="P1474" s="262"/>
      <c r="Q1474" s="262"/>
      <c r="R1474" s="262"/>
      <c r="S1474" s="262"/>
      <c r="T1474" s="262"/>
      <c r="U1474" s="262"/>
      <c r="V1474" s="262"/>
      <c r="W1474" s="262"/>
      <c r="X1474" s="262"/>
      <c r="Y1474" s="262"/>
      <c r="Z1474" s="262"/>
      <c r="AA1474" s="262"/>
      <c r="AB1474" s="262"/>
      <c r="AC1474" s="262"/>
      <c r="AD1474" s="262"/>
      <c r="AE1474" s="262"/>
      <c r="AF1474" s="147"/>
      <c r="AG1474" s="147"/>
      <c r="AH1474" s="147"/>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row>
    <row r="1475" spans="1:59" ht="15.75" customHeight="1" x14ac:dyDescent="0.2">
      <c r="A1475" s="162"/>
      <c r="B1475" s="162"/>
      <c r="C1475" s="206"/>
      <c r="D1475" s="262"/>
      <c r="E1475" s="262"/>
      <c r="F1475" s="262"/>
      <c r="G1475" s="262"/>
      <c r="H1475" s="262"/>
      <c r="I1475" s="262"/>
      <c r="J1475" s="262"/>
      <c r="K1475" s="262"/>
      <c r="L1475" s="262"/>
      <c r="M1475" s="262"/>
      <c r="N1475" s="262"/>
      <c r="O1475" s="262"/>
      <c r="P1475" s="262"/>
      <c r="Q1475" s="262"/>
      <c r="R1475" s="262"/>
      <c r="S1475" s="262"/>
      <c r="T1475" s="262"/>
      <c r="U1475" s="262"/>
      <c r="V1475" s="262"/>
      <c r="W1475" s="262"/>
      <c r="X1475" s="262"/>
      <c r="Y1475" s="262"/>
      <c r="Z1475" s="262"/>
      <c r="AA1475" s="262"/>
      <c r="AB1475" s="262"/>
      <c r="AC1475" s="262"/>
      <c r="AD1475" s="262"/>
      <c r="AE1475" s="262"/>
      <c r="AF1475" s="147"/>
      <c r="AG1475" s="147"/>
      <c r="AH1475" s="147"/>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row>
    <row r="1476" spans="1:59" ht="15.75" customHeight="1" x14ac:dyDescent="0.2">
      <c r="A1476" s="162"/>
      <c r="B1476" s="162"/>
      <c r="C1476" s="206"/>
      <c r="D1476" s="262"/>
      <c r="E1476" s="262"/>
      <c r="F1476" s="262"/>
      <c r="G1476" s="262"/>
      <c r="H1476" s="262"/>
      <c r="I1476" s="262"/>
      <c r="J1476" s="262"/>
      <c r="K1476" s="262"/>
      <c r="L1476" s="262"/>
      <c r="M1476" s="262"/>
      <c r="N1476" s="262"/>
      <c r="O1476" s="262"/>
      <c r="P1476" s="262"/>
      <c r="Q1476" s="262"/>
      <c r="R1476" s="262"/>
      <c r="S1476" s="262"/>
      <c r="T1476" s="262"/>
      <c r="U1476" s="262"/>
      <c r="V1476" s="262"/>
      <c r="W1476" s="262"/>
      <c r="X1476" s="262"/>
      <c r="Y1476" s="262"/>
      <c r="Z1476" s="262"/>
      <c r="AA1476" s="262"/>
      <c r="AB1476" s="262"/>
      <c r="AC1476" s="262"/>
      <c r="AD1476" s="262"/>
      <c r="AE1476" s="262"/>
      <c r="AF1476" s="147"/>
      <c r="AG1476" s="147"/>
      <c r="AH1476" s="147"/>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row>
    <row r="1477" spans="1:59" ht="15.75" customHeight="1" x14ac:dyDescent="0.2">
      <c r="A1477" s="162"/>
      <c r="B1477" s="162"/>
      <c r="C1477" s="206"/>
      <c r="D1477" s="262"/>
      <c r="E1477" s="262"/>
      <c r="F1477" s="262"/>
      <c r="G1477" s="262"/>
      <c r="H1477" s="262"/>
      <c r="I1477" s="262"/>
      <c r="J1477" s="262"/>
      <c r="K1477" s="262"/>
      <c r="L1477" s="262"/>
      <c r="M1477" s="262"/>
      <c r="N1477" s="262"/>
      <c r="O1477" s="262"/>
      <c r="P1477" s="262"/>
      <c r="Q1477" s="262"/>
      <c r="R1477" s="262"/>
      <c r="S1477" s="262"/>
      <c r="T1477" s="262"/>
      <c r="U1477" s="262"/>
      <c r="V1477" s="262"/>
      <c r="W1477" s="262"/>
      <c r="X1477" s="262"/>
      <c r="Y1477" s="262"/>
      <c r="Z1477" s="262"/>
      <c r="AA1477" s="262"/>
      <c r="AB1477" s="262"/>
      <c r="AC1477" s="262"/>
      <c r="AD1477" s="262"/>
      <c r="AE1477" s="262"/>
      <c r="AF1477" s="147"/>
      <c r="AG1477" s="147"/>
      <c r="AH1477" s="147"/>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row>
    <row r="1478" spans="1:59" ht="15.75" customHeight="1" x14ac:dyDescent="0.2">
      <c r="A1478" s="162"/>
      <c r="B1478" s="162"/>
      <c r="C1478" s="206"/>
      <c r="D1478" s="262"/>
      <c r="E1478" s="262"/>
      <c r="F1478" s="262"/>
      <c r="G1478" s="262"/>
      <c r="H1478" s="262"/>
      <c r="I1478" s="262"/>
      <c r="J1478" s="262"/>
      <c r="K1478" s="262"/>
      <c r="L1478" s="262"/>
      <c r="M1478" s="262"/>
      <c r="N1478" s="262"/>
      <c r="O1478" s="262"/>
      <c r="P1478" s="262"/>
      <c r="Q1478" s="262"/>
      <c r="R1478" s="262"/>
      <c r="S1478" s="262"/>
      <c r="T1478" s="262"/>
      <c r="U1478" s="262"/>
      <c r="V1478" s="262"/>
      <c r="W1478" s="262"/>
      <c r="X1478" s="262"/>
      <c r="Y1478" s="262"/>
      <c r="Z1478" s="262"/>
      <c r="AA1478" s="262"/>
      <c r="AB1478" s="262"/>
      <c r="AC1478" s="262"/>
      <c r="AD1478" s="262"/>
      <c r="AE1478" s="262"/>
      <c r="AF1478" s="147"/>
      <c r="AG1478" s="147"/>
      <c r="AH1478" s="147"/>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row>
    <row r="1479" spans="1:59" ht="15.75" customHeight="1" x14ac:dyDescent="0.2">
      <c r="A1479" s="162"/>
      <c r="B1479" s="162"/>
      <c r="C1479" s="206"/>
      <c r="D1479" s="262"/>
      <c r="E1479" s="262"/>
      <c r="F1479" s="262"/>
      <c r="G1479" s="262"/>
      <c r="H1479" s="262"/>
      <c r="I1479" s="262"/>
      <c r="J1479" s="262"/>
      <c r="K1479" s="262"/>
      <c r="L1479" s="262"/>
      <c r="M1479" s="262"/>
      <c r="N1479" s="262"/>
      <c r="O1479" s="262"/>
      <c r="P1479" s="262"/>
      <c r="Q1479" s="262"/>
      <c r="R1479" s="262"/>
      <c r="S1479" s="262"/>
      <c r="T1479" s="262"/>
      <c r="U1479" s="262"/>
      <c r="V1479" s="262"/>
      <c r="W1479" s="262"/>
      <c r="X1479" s="262"/>
      <c r="Y1479" s="262"/>
      <c r="Z1479" s="262"/>
      <c r="AA1479" s="262"/>
      <c r="AB1479" s="262"/>
      <c r="AC1479" s="262"/>
      <c r="AD1479" s="262"/>
      <c r="AE1479" s="262"/>
      <c r="AF1479" s="147"/>
      <c r="AG1479" s="147"/>
      <c r="AH1479" s="147"/>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row>
    <row r="1480" spans="1:59" ht="15.75" customHeight="1" x14ac:dyDescent="0.2">
      <c r="A1480" s="162"/>
      <c r="B1480" s="162"/>
      <c r="C1480" s="206"/>
      <c r="D1480" s="262"/>
      <c r="E1480" s="262"/>
      <c r="F1480" s="262"/>
      <c r="G1480" s="262"/>
      <c r="H1480" s="262"/>
      <c r="I1480" s="262"/>
      <c r="J1480" s="262"/>
      <c r="K1480" s="262"/>
      <c r="L1480" s="262"/>
      <c r="M1480" s="262"/>
      <c r="N1480" s="262"/>
      <c r="O1480" s="262"/>
      <c r="P1480" s="262"/>
      <c r="Q1480" s="262"/>
      <c r="R1480" s="262"/>
      <c r="S1480" s="262"/>
      <c r="T1480" s="262"/>
      <c r="U1480" s="262"/>
      <c r="V1480" s="262"/>
      <c r="W1480" s="262"/>
      <c r="X1480" s="262"/>
      <c r="Y1480" s="262"/>
      <c r="Z1480" s="262"/>
      <c r="AA1480" s="262"/>
      <c r="AB1480" s="262"/>
      <c r="AC1480" s="262"/>
      <c r="AD1480" s="262"/>
      <c r="AE1480" s="262"/>
      <c r="AF1480" s="147"/>
      <c r="AG1480" s="147"/>
      <c r="AH1480" s="147"/>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row>
    <row r="1481" spans="1:59" ht="15.75" customHeight="1" x14ac:dyDescent="0.2">
      <c r="A1481" s="162"/>
      <c r="B1481" s="162"/>
      <c r="C1481" s="206"/>
      <c r="D1481" s="262"/>
      <c r="E1481" s="262"/>
      <c r="F1481" s="262"/>
      <c r="G1481" s="262"/>
      <c r="H1481" s="262"/>
      <c r="I1481" s="262"/>
      <c r="J1481" s="262"/>
      <c r="K1481" s="262"/>
      <c r="L1481" s="262"/>
      <c r="M1481" s="262"/>
      <c r="N1481" s="262"/>
      <c r="O1481" s="262"/>
      <c r="P1481" s="262"/>
      <c r="Q1481" s="262"/>
      <c r="R1481" s="262"/>
      <c r="S1481" s="262"/>
      <c r="T1481" s="262"/>
      <c r="U1481" s="262"/>
      <c r="V1481" s="262"/>
      <c r="W1481" s="262"/>
      <c r="X1481" s="262"/>
      <c r="Y1481" s="262"/>
      <c r="Z1481" s="262"/>
      <c r="AA1481" s="262"/>
      <c r="AB1481" s="262"/>
      <c r="AC1481" s="262"/>
      <c r="AD1481" s="262"/>
      <c r="AE1481" s="262"/>
      <c r="AF1481" s="147"/>
      <c r="AG1481" s="147"/>
      <c r="AH1481" s="147"/>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row>
    <row r="1482" spans="1:59" ht="15.75" customHeight="1" x14ac:dyDescent="0.2">
      <c r="A1482" s="162"/>
      <c r="B1482" s="162"/>
      <c r="C1482" s="206"/>
      <c r="D1482" s="262"/>
      <c r="E1482" s="262"/>
      <c r="F1482" s="262"/>
      <c r="G1482" s="262"/>
      <c r="H1482" s="262"/>
      <c r="I1482" s="262"/>
      <c r="J1482" s="262"/>
      <c r="K1482" s="262"/>
      <c r="L1482" s="262"/>
      <c r="M1482" s="262"/>
      <c r="N1482" s="262"/>
      <c r="O1482" s="262"/>
      <c r="P1482" s="262"/>
      <c r="Q1482" s="262"/>
      <c r="R1482" s="262"/>
      <c r="S1482" s="262"/>
      <c r="T1482" s="262"/>
      <c r="U1482" s="262"/>
      <c r="V1482" s="262"/>
      <c r="W1482" s="262"/>
      <c r="X1482" s="262"/>
      <c r="Y1482" s="262"/>
      <c r="Z1482" s="262"/>
      <c r="AA1482" s="262"/>
      <c r="AB1482" s="262"/>
      <c r="AC1482" s="262"/>
      <c r="AD1482" s="262"/>
      <c r="AE1482" s="262"/>
      <c r="AF1482" s="147"/>
      <c r="AG1482" s="147"/>
      <c r="AH1482" s="147"/>
      <c r="AI1482" s="147"/>
      <c r="AJ1482" s="241"/>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row>
    <row r="1483" spans="1:59" ht="15.75" customHeight="1" x14ac:dyDescent="0.2">
      <c r="A1483" s="162"/>
      <c r="B1483" s="162"/>
      <c r="C1483" s="206"/>
      <c r="D1483" s="262"/>
      <c r="E1483" s="262"/>
      <c r="F1483" s="262"/>
      <c r="G1483" s="262"/>
      <c r="H1483" s="262"/>
      <c r="I1483" s="262"/>
      <c r="J1483" s="262"/>
      <c r="K1483" s="262"/>
      <c r="L1483" s="262"/>
      <c r="M1483" s="262"/>
      <c r="N1483" s="262"/>
      <c r="O1483" s="262"/>
      <c r="P1483" s="262"/>
      <c r="Q1483" s="262"/>
      <c r="R1483" s="262"/>
      <c r="S1483" s="262"/>
      <c r="T1483" s="262"/>
      <c r="U1483" s="262"/>
      <c r="V1483" s="262"/>
      <c r="W1483" s="262"/>
      <c r="X1483" s="262"/>
      <c r="Y1483" s="262"/>
      <c r="Z1483" s="262"/>
      <c r="AA1483" s="262"/>
      <c r="AB1483" s="262"/>
      <c r="AC1483" s="262"/>
      <c r="AD1483" s="262"/>
      <c r="AE1483" s="262"/>
      <c r="AF1483" s="147"/>
      <c r="AG1483" s="147"/>
      <c r="AH1483" s="147"/>
      <c r="AI1483" s="147"/>
      <c r="AJ1483" s="241"/>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row>
    <row r="1484" spans="1:59" ht="15.75" customHeight="1" x14ac:dyDescent="0.2">
      <c r="A1484" s="162"/>
      <c r="B1484" s="162"/>
      <c r="C1484" s="206"/>
      <c r="D1484" s="262"/>
      <c r="E1484" s="262"/>
      <c r="F1484" s="262"/>
      <c r="G1484" s="262"/>
      <c r="H1484" s="262"/>
      <c r="I1484" s="262"/>
      <c r="J1484" s="262"/>
      <c r="K1484" s="262"/>
      <c r="L1484" s="262"/>
      <c r="M1484" s="262"/>
      <c r="N1484" s="262"/>
      <c r="O1484" s="262"/>
      <c r="P1484" s="262"/>
      <c r="Q1484" s="262"/>
      <c r="R1484" s="262"/>
      <c r="S1484" s="262"/>
      <c r="T1484" s="262"/>
      <c r="U1484" s="262"/>
      <c r="V1484" s="262"/>
      <c r="W1484" s="262"/>
      <c r="X1484" s="262"/>
      <c r="Y1484" s="262"/>
      <c r="Z1484" s="262"/>
      <c r="AA1484" s="262"/>
      <c r="AB1484" s="262"/>
      <c r="AC1484" s="262"/>
      <c r="AD1484" s="262"/>
      <c r="AE1484" s="262"/>
      <c r="AF1484" s="147"/>
      <c r="AG1484" s="147"/>
      <c r="AH1484" s="147"/>
      <c r="AI1484" s="147"/>
      <c r="AJ1484" s="241"/>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row>
    <row r="1485" spans="1:59" ht="15.75" customHeight="1" x14ac:dyDescent="0.2">
      <c r="A1485" s="162"/>
      <c r="B1485" s="162"/>
      <c r="C1485" s="206"/>
      <c r="D1485" s="262"/>
      <c r="E1485" s="262"/>
      <c r="F1485" s="262"/>
      <c r="G1485" s="262"/>
      <c r="H1485" s="262"/>
      <c r="I1485" s="262"/>
      <c r="J1485" s="262"/>
      <c r="K1485" s="262"/>
      <c r="L1485" s="262"/>
      <c r="M1485" s="262"/>
      <c r="N1485" s="262"/>
      <c r="O1485" s="262"/>
      <c r="P1485" s="262"/>
      <c r="Q1485" s="262"/>
      <c r="R1485" s="262"/>
      <c r="S1485" s="262"/>
      <c r="T1485" s="262"/>
      <c r="U1485" s="262"/>
      <c r="V1485" s="262"/>
      <c r="W1485" s="262"/>
      <c r="X1485" s="262"/>
      <c r="Y1485" s="262"/>
      <c r="Z1485" s="262"/>
      <c r="AA1485" s="262"/>
      <c r="AB1485" s="262"/>
      <c r="AC1485" s="262"/>
      <c r="AD1485" s="262"/>
      <c r="AE1485" s="262"/>
      <c r="AF1485" s="147"/>
      <c r="AG1485" s="147"/>
      <c r="AH1485" s="147"/>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row>
    <row r="1486" spans="1:59" ht="15.75" customHeight="1" x14ac:dyDescent="0.2">
      <c r="A1486" s="162"/>
      <c r="B1486" s="162"/>
      <c r="C1486" s="206"/>
      <c r="D1486" s="262"/>
      <c r="E1486" s="262"/>
      <c r="F1486" s="262"/>
      <c r="G1486" s="262"/>
      <c r="H1486" s="262"/>
      <c r="I1486" s="262"/>
      <c r="J1486" s="262"/>
      <c r="K1486" s="262"/>
      <c r="L1486" s="262"/>
      <c r="M1486" s="262"/>
      <c r="N1486" s="262"/>
      <c r="O1486" s="262"/>
      <c r="P1486" s="262"/>
      <c r="Q1486" s="262"/>
      <c r="R1486" s="262"/>
      <c r="S1486" s="262"/>
      <c r="T1486" s="262"/>
      <c r="U1486" s="262"/>
      <c r="V1486" s="262"/>
      <c r="W1486" s="262"/>
      <c r="X1486" s="262"/>
      <c r="Y1486" s="262"/>
      <c r="Z1486" s="262"/>
      <c r="AA1486" s="262"/>
      <c r="AB1486" s="262"/>
      <c r="AC1486" s="262"/>
      <c r="AD1486" s="262"/>
      <c r="AE1486" s="262"/>
      <c r="AF1486" s="147"/>
      <c r="AG1486" s="147"/>
      <c r="AH1486" s="147"/>
      <c r="AI1486" s="147"/>
      <c r="AJ1486" s="241"/>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row>
    <row r="1487" spans="1:59" ht="15.75" customHeight="1" x14ac:dyDescent="0.2">
      <c r="A1487" s="162"/>
      <c r="B1487" s="162"/>
      <c r="C1487" s="206"/>
      <c r="D1487" s="262"/>
      <c r="E1487" s="262"/>
      <c r="F1487" s="262"/>
      <c r="G1487" s="262"/>
      <c r="H1487" s="262"/>
      <c r="I1487" s="262"/>
      <c r="J1487" s="262"/>
      <c r="K1487" s="262"/>
      <c r="L1487" s="262"/>
      <c r="M1487" s="262"/>
      <c r="N1487" s="262"/>
      <c r="O1487" s="262"/>
      <c r="P1487" s="262"/>
      <c r="Q1487" s="262"/>
      <c r="R1487" s="262"/>
      <c r="S1487" s="262"/>
      <c r="T1487" s="262"/>
      <c r="U1487" s="262"/>
      <c r="V1487" s="262"/>
      <c r="W1487" s="262"/>
      <c r="X1487" s="262"/>
      <c r="Y1487" s="262"/>
      <c r="Z1487" s="262"/>
      <c r="AA1487" s="262"/>
      <c r="AB1487" s="262"/>
      <c r="AC1487" s="262"/>
      <c r="AD1487" s="262"/>
      <c r="AE1487" s="262"/>
      <c r="AF1487" s="147"/>
      <c r="AG1487" s="147"/>
      <c r="AH1487" s="147"/>
      <c r="AI1487" s="147"/>
      <c r="AJ1487" s="241"/>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row>
    <row r="1488" spans="1:59" ht="15.75" customHeight="1" x14ac:dyDescent="0.2">
      <c r="A1488" s="162"/>
      <c r="B1488" s="162"/>
      <c r="C1488" s="206"/>
      <c r="D1488" s="262"/>
      <c r="E1488" s="262"/>
      <c r="F1488" s="262"/>
      <c r="G1488" s="262"/>
      <c r="H1488" s="262"/>
      <c r="I1488" s="262"/>
      <c r="J1488" s="262"/>
      <c r="K1488" s="262"/>
      <c r="L1488" s="262"/>
      <c r="M1488" s="262"/>
      <c r="N1488" s="262"/>
      <c r="O1488" s="262"/>
      <c r="P1488" s="262"/>
      <c r="Q1488" s="262"/>
      <c r="R1488" s="262"/>
      <c r="S1488" s="262"/>
      <c r="T1488" s="262"/>
      <c r="U1488" s="262"/>
      <c r="V1488" s="262"/>
      <c r="W1488" s="262"/>
      <c r="X1488" s="262"/>
      <c r="Y1488" s="262"/>
      <c r="Z1488" s="262"/>
      <c r="AA1488" s="262"/>
      <c r="AB1488" s="262"/>
      <c r="AC1488" s="262"/>
      <c r="AD1488" s="262"/>
      <c r="AE1488" s="262"/>
      <c r="AF1488" s="147"/>
      <c r="AG1488" s="147"/>
      <c r="AH1488" s="147"/>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row>
    <row r="1489" spans="1:59" ht="15.75" customHeight="1" x14ac:dyDescent="0.2">
      <c r="A1489" s="162"/>
      <c r="B1489" s="162"/>
      <c r="C1489" s="206"/>
      <c r="D1489" s="262"/>
      <c r="E1489" s="262"/>
      <c r="F1489" s="262"/>
      <c r="G1489" s="262"/>
      <c r="H1489" s="262"/>
      <c r="I1489" s="262"/>
      <c r="J1489" s="262"/>
      <c r="K1489" s="262"/>
      <c r="L1489" s="262"/>
      <c r="M1489" s="262"/>
      <c r="N1489" s="262"/>
      <c r="O1489" s="262"/>
      <c r="P1489" s="262"/>
      <c r="Q1489" s="262"/>
      <c r="R1489" s="262"/>
      <c r="S1489" s="262"/>
      <c r="T1489" s="262"/>
      <c r="U1489" s="262"/>
      <c r="V1489" s="262"/>
      <c r="W1489" s="262"/>
      <c r="X1489" s="262"/>
      <c r="Y1489" s="262"/>
      <c r="Z1489" s="262"/>
      <c r="AA1489" s="262"/>
      <c r="AB1489" s="262"/>
      <c r="AC1489" s="262"/>
      <c r="AD1489" s="262"/>
      <c r="AE1489" s="262"/>
      <c r="AF1489" s="147"/>
      <c r="AG1489" s="147"/>
      <c r="AH1489" s="147"/>
      <c r="AI1489" s="147"/>
      <c r="AJ1489" s="241"/>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row>
    <row r="1490" spans="1:59" ht="15.75" customHeight="1" x14ac:dyDescent="0.2">
      <c r="A1490" s="162"/>
      <c r="B1490" s="162"/>
      <c r="C1490" s="206"/>
      <c r="D1490" s="262"/>
      <c r="E1490" s="262"/>
      <c r="F1490" s="262"/>
      <c r="G1490" s="262"/>
      <c r="H1490" s="262"/>
      <c r="I1490" s="262"/>
      <c r="J1490" s="262"/>
      <c r="K1490" s="262"/>
      <c r="L1490" s="262"/>
      <c r="M1490" s="262"/>
      <c r="N1490" s="262"/>
      <c r="O1490" s="262"/>
      <c r="P1490" s="262"/>
      <c r="Q1490" s="262"/>
      <c r="R1490" s="262"/>
      <c r="S1490" s="262"/>
      <c r="T1490" s="262"/>
      <c r="U1490" s="262"/>
      <c r="V1490" s="262"/>
      <c r="W1490" s="262"/>
      <c r="X1490" s="262"/>
      <c r="Y1490" s="262"/>
      <c r="Z1490" s="262"/>
      <c r="AA1490" s="262"/>
      <c r="AB1490" s="262"/>
      <c r="AC1490" s="262"/>
      <c r="AD1490" s="262"/>
      <c r="AE1490" s="262"/>
      <c r="AF1490" s="147"/>
      <c r="AG1490" s="147"/>
      <c r="AH1490" s="147"/>
      <c r="AI1490" s="147"/>
      <c r="AJ1490" s="241"/>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row>
    <row r="1491" spans="1:59" ht="15.75" customHeight="1" x14ac:dyDescent="0.2">
      <c r="A1491" s="162"/>
      <c r="B1491" s="162"/>
      <c r="C1491" s="206"/>
      <c r="D1491" s="262"/>
      <c r="E1491" s="262"/>
      <c r="F1491" s="262"/>
      <c r="G1491" s="262"/>
      <c r="H1491" s="262"/>
      <c r="I1491" s="262"/>
      <c r="J1491" s="262"/>
      <c r="K1491" s="262"/>
      <c r="L1491" s="262"/>
      <c r="M1491" s="262"/>
      <c r="N1491" s="262"/>
      <c r="O1491" s="262"/>
      <c r="P1491" s="262"/>
      <c r="Q1491" s="262"/>
      <c r="R1491" s="262"/>
      <c r="S1491" s="262"/>
      <c r="T1491" s="262"/>
      <c r="U1491" s="262"/>
      <c r="V1491" s="262"/>
      <c r="W1491" s="262"/>
      <c r="X1491" s="262"/>
      <c r="Y1491" s="262"/>
      <c r="Z1491" s="262"/>
      <c r="AA1491" s="262"/>
      <c r="AB1491" s="262"/>
      <c r="AC1491" s="262"/>
      <c r="AD1491" s="262"/>
      <c r="AE1491" s="262"/>
      <c r="AF1491" s="147"/>
      <c r="AG1491" s="147"/>
      <c r="AH1491" s="147"/>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row>
    <row r="1492" spans="1:59" ht="15.75" customHeight="1" x14ac:dyDescent="0.2">
      <c r="A1492" s="162"/>
      <c r="B1492" s="162"/>
      <c r="C1492" s="206"/>
      <c r="D1492" s="262"/>
      <c r="E1492" s="262"/>
      <c r="F1492" s="262"/>
      <c r="G1492" s="262"/>
      <c r="H1492" s="262"/>
      <c r="I1492" s="262"/>
      <c r="J1492" s="262"/>
      <c r="K1492" s="262"/>
      <c r="L1492" s="262"/>
      <c r="M1492" s="262"/>
      <c r="N1492" s="262"/>
      <c r="O1492" s="262"/>
      <c r="P1492" s="262"/>
      <c r="Q1492" s="262"/>
      <c r="R1492" s="262"/>
      <c r="S1492" s="262"/>
      <c r="T1492" s="262"/>
      <c r="U1492" s="262"/>
      <c r="V1492" s="262"/>
      <c r="W1492" s="262"/>
      <c r="X1492" s="262"/>
      <c r="Y1492" s="262"/>
      <c r="Z1492" s="262"/>
      <c r="AA1492" s="262"/>
      <c r="AB1492" s="262"/>
      <c r="AC1492" s="262"/>
      <c r="AD1492" s="262"/>
      <c r="AE1492" s="262"/>
      <c r="AF1492" s="147"/>
      <c r="AG1492" s="147"/>
      <c r="AH1492" s="147"/>
      <c r="AI1492" s="147"/>
      <c r="AJ1492" s="241"/>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row>
    <row r="1493" spans="1:59" ht="15.75" customHeight="1" x14ac:dyDescent="0.2">
      <c r="A1493" s="162"/>
      <c r="B1493" s="162"/>
      <c r="C1493" s="206"/>
      <c r="D1493" s="262"/>
      <c r="E1493" s="262"/>
      <c r="F1493" s="262"/>
      <c r="G1493" s="262"/>
      <c r="H1493" s="262"/>
      <c r="I1493" s="262"/>
      <c r="J1493" s="262"/>
      <c r="K1493" s="262"/>
      <c r="L1493" s="262"/>
      <c r="M1493" s="262"/>
      <c r="N1493" s="262"/>
      <c r="O1493" s="262"/>
      <c r="P1493" s="262"/>
      <c r="Q1493" s="262"/>
      <c r="R1493" s="262"/>
      <c r="S1493" s="262"/>
      <c r="T1493" s="262"/>
      <c r="U1493" s="262"/>
      <c r="V1493" s="262"/>
      <c r="W1493" s="262"/>
      <c r="X1493" s="262"/>
      <c r="Y1493" s="262"/>
      <c r="Z1493" s="262"/>
      <c r="AA1493" s="262"/>
      <c r="AB1493" s="262"/>
      <c r="AC1493" s="262"/>
      <c r="AD1493" s="262"/>
      <c r="AE1493" s="262"/>
      <c r="AF1493" s="147"/>
      <c r="AG1493" s="147"/>
      <c r="AH1493" s="147"/>
      <c r="AI1493" s="147"/>
      <c r="AJ1493" s="241"/>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row>
    <row r="1494" spans="1:59" ht="15.75" customHeight="1" x14ac:dyDescent="0.2">
      <c r="A1494" s="162"/>
      <c r="B1494" s="162"/>
      <c r="C1494" s="206"/>
      <c r="D1494" s="262"/>
      <c r="E1494" s="262"/>
      <c r="F1494" s="262"/>
      <c r="G1494" s="262"/>
      <c r="H1494" s="262"/>
      <c r="I1494" s="262"/>
      <c r="J1494" s="262"/>
      <c r="K1494" s="262"/>
      <c r="L1494" s="262"/>
      <c r="M1494" s="262"/>
      <c r="N1494" s="262"/>
      <c r="O1494" s="262"/>
      <c r="P1494" s="262"/>
      <c r="Q1494" s="262"/>
      <c r="R1494" s="262"/>
      <c r="S1494" s="262"/>
      <c r="T1494" s="262"/>
      <c r="U1494" s="262"/>
      <c r="V1494" s="262"/>
      <c r="W1494" s="262"/>
      <c r="X1494" s="262"/>
      <c r="Y1494" s="262"/>
      <c r="Z1494" s="262"/>
      <c r="AA1494" s="262"/>
      <c r="AB1494" s="262"/>
      <c r="AC1494" s="262"/>
      <c r="AD1494" s="262"/>
      <c r="AE1494" s="262"/>
      <c r="AF1494" s="147"/>
      <c r="AG1494" s="147"/>
      <c r="AH1494" s="147"/>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row>
    <row r="1495" spans="1:59" ht="15.75" customHeight="1" x14ac:dyDescent="0.2">
      <c r="A1495" s="162"/>
      <c r="B1495" s="162"/>
      <c r="C1495" s="206"/>
      <c r="D1495" s="262"/>
      <c r="E1495" s="262"/>
      <c r="F1495" s="262"/>
      <c r="G1495" s="262"/>
      <c r="H1495" s="262"/>
      <c r="I1495" s="262"/>
      <c r="J1495" s="262"/>
      <c r="K1495" s="262"/>
      <c r="L1495" s="262"/>
      <c r="M1495" s="262"/>
      <c r="N1495" s="262"/>
      <c r="O1495" s="262"/>
      <c r="P1495" s="262"/>
      <c r="Q1495" s="262"/>
      <c r="R1495" s="262"/>
      <c r="S1495" s="262"/>
      <c r="T1495" s="262"/>
      <c r="U1495" s="262"/>
      <c r="V1495" s="262"/>
      <c r="W1495" s="262"/>
      <c r="X1495" s="262"/>
      <c r="Y1495" s="262"/>
      <c r="Z1495" s="262"/>
      <c r="AA1495" s="262"/>
      <c r="AB1495" s="262"/>
      <c r="AC1495" s="262"/>
      <c r="AD1495" s="262"/>
      <c r="AE1495" s="262"/>
      <c r="AF1495" s="147"/>
      <c r="AG1495" s="147"/>
      <c r="AH1495" s="147"/>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row>
    <row r="1496" spans="1:59" ht="15.75" customHeight="1" x14ac:dyDescent="0.2">
      <c r="A1496" s="162"/>
      <c r="B1496" s="162"/>
      <c r="C1496" s="206"/>
      <c r="D1496" s="262"/>
      <c r="E1496" s="262"/>
      <c r="F1496" s="262"/>
      <c r="G1496" s="262"/>
      <c r="H1496" s="262"/>
      <c r="I1496" s="262"/>
      <c r="J1496" s="262"/>
      <c r="K1496" s="262"/>
      <c r="L1496" s="262"/>
      <c r="M1496" s="262"/>
      <c r="N1496" s="262"/>
      <c r="O1496" s="262"/>
      <c r="P1496" s="262"/>
      <c r="Q1496" s="262"/>
      <c r="R1496" s="262"/>
      <c r="S1496" s="262"/>
      <c r="T1496" s="262"/>
      <c r="U1496" s="262"/>
      <c r="V1496" s="262"/>
      <c r="W1496" s="262"/>
      <c r="X1496" s="262"/>
      <c r="Y1496" s="262"/>
      <c r="Z1496" s="262"/>
      <c r="AA1496" s="262"/>
      <c r="AB1496" s="262"/>
      <c r="AC1496" s="262"/>
      <c r="AD1496" s="262"/>
      <c r="AE1496" s="262"/>
      <c r="AF1496" s="147"/>
      <c r="AG1496" s="147"/>
      <c r="AH1496" s="147"/>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row>
    <row r="1497" spans="1:59" ht="15.75" customHeight="1" x14ac:dyDescent="0.2">
      <c r="A1497" s="162"/>
      <c r="B1497" s="162"/>
      <c r="C1497" s="206"/>
      <c r="D1497" s="262"/>
      <c r="E1497" s="262"/>
      <c r="F1497" s="262"/>
      <c r="G1497" s="262"/>
      <c r="H1497" s="262"/>
      <c r="I1497" s="262"/>
      <c r="J1497" s="262"/>
      <c r="K1497" s="262"/>
      <c r="L1497" s="262"/>
      <c r="M1497" s="262"/>
      <c r="N1497" s="262"/>
      <c r="O1497" s="262"/>
      <c r="P1497" s="262"/>
      <c r="Q1497" s="262"/>
      <c r="R1497" s="262"/>
      <c r="S1497" s="262"/>
      <c r="T1497" s="262"/>
      <c r="U1497" s="262"/>
      <c r="V1497" s="262"/>
      <c r="W1497" s="262"/>
      <c r="X1497" s="262"/>
      <c r="Y1497" s="262"/>
      <c r="Z1497" s="262"/>
      <c r="AA1497" s="262"/>
      <c r="AB1497" s="262"/>
      <c r="AC1497" s="262"/>
      <c r="AD1497" s="262"/>
      <c r="AE1497" s="262"/>
      <c r="AF1497" s="147"/>
      <c r="AG1497" s="147"/>
      <c r="AH1497" s="147"/>
      <c r="AI1497" s="147"/>
      <c r="AJ1497" s="241"/>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row>
    <row r="1498" spans="1:59" ht="15.75" customHeight="1" x14ac:dyDescent="0.2">
      <c r="A1498" s="162"/>
      <c r="B1498" s="162"/>
      <c r="C1498" s="206"/>
      <c r="D1498" s="262"/>
      <c r="E1498" s="262"/>
      <c r="F1498" s="262"/>
      <c r="G1498" s="262"/>
      <c r="H1498" s="262"/>
      <c r="I1498" s="262"/>
      <c r="J1498" s="262"/>
      <c r="K1498" s="262"/>
      <c r="L1498" s="262"/>
      <c r="M1498" s="262"/>
      <c r="N1498" s="262"/>
      <c r="O1498" s="262"/>
      <c r="P1498" s="262"/>
      <c r="Q1498" s="262"/>
      <c r="R1498" s="262"/>
      <c r="S1498" s="262"/>
      <c r="T1498" s="262"/>
      <c r="U1498" s="262"/>
      <c r="V1498" s="262"/>
      <c r="W1498" s="262"/>
      <c r="X1498" s="262"/>
      <c r="Y1498" s="262"/>
      <c r="Z1498" s="262"/>
      <c r="AA1498" s="262"/>
      <c r="AB1498" s="262"/>
      <c r="AC1498" s="262"/>
      <c r="AD1498" s="262"/>
      <c r="AE1498" s="262"/>
      <c r="AF1498" s="147"/>
      <c r="AG1498" s="147"/>
      <c r="AH1498" s="147"/>
      <c r="AI1498" s="147"/>
      <c r="AJ1498" s="241"/>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row>
    <row r="1499" spans="1:59" ht="15.75" customHeight="1" x14ac:dyDescent="0.2">
      <c r="A1499" s="162"/>
      <c r="B1499" s="162"/>
      <c r="C1499" s="206"/>
      <c r="D1499" s="262"/>
      <c r="E1499" s="262"/>
      <c r="F1499" s="262"/>
      <c r="G1499" s="262"/>
      <c r="H1499" s="262"/>
      <c r="I1499" s="262"/>
      <c r="J1499" s="262"/>
      <c r="K1499" s="262"/>
      <c r="L1499" s="262"/>
      <c r="M1499" s="262"/>
      <c r="N1499" s="262"/>
      <c r="O1499" s="262"/>
      <c r="P1499" s="262"/>
      <c r="Q1499" s="262"/>
      <c r="R1499" s="262"/>
      <c r="S1499" s="262"/>
      <c r="T1499" s="262"/>
      <c r="U1499" s="262"/>
      <c r="V1499" s="262"/>
      <c r="W1499" s="262"/>
      <c r="X1499" s="262"/>
      <c r="Y1499" s="262"/>
      <c r="Z1499" s="262"/>
      <c r="AA1499" s="262"/>
      <c r="AB1499" s="262"/>
      <c r="AC1499" s="262"/>
      <c r="AD1499" s="262"/>
      <c r="AE1499" s="262"/>
      <c r="AF1499" s="147"/>
      <c r="AG1499" s="147"/>
      <c r="AH1499" s="147"/>
      <c r="AI1499" s="147"/>
      <c r="AJ1499" s="161"/>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row>
    <row r="1500" spans="1:59" ht="15.75" customHeight="1" x14ac:dyDescent="0.2">
      <c r="A1500" s="162"/>
      <c r="B1500" s="162"/>
      <c r="C1500" s="206"/>
      <c r="D1500" s="262"/>
      <c r="E1500" s="262"/>
      <c r="F1500" s="262"/>
      <c r="G1500" s="262"/>
      <c r="H1500" s="262"/>
      <c r="I1500" s="262"/>
      <c r="J1500" s="262"/>
      <c r="K1500" s="262"/>
      <c r="L1500" s="262"/>
      <c r="M1500" s="262"/>
      <c r="N1500" s="262"/>
      <c r="O1500" s="262"/>
      <c r="P1500" s="262"/>
      <c r="Q1500" s="262"/>
      <c r="R1500" s="262"/>
      <c r="S1500" s="262"/>
      <c r="T1500" s="262"/>
      <c r="U1500" s="262"/>
      <c r="V1500" s="262"/>
      <c r="W1500" s="262"/>
      <c r="X1500" s="262"/>
      <c r="Y1500" s="262"/>
      <c r="Z1500" s="262"/>
      <c r="AA1500" s="262"/>
      <c r="AB1500" s="262"/>
      <c r="AC1500" s="262"/>
      <c r="AD1500" s="262"/>
      <c r="AE1500" s="262"/>
      <c r="AF1500" s="147"/>
      <c r="AG1500" s="147"/>
      <c r="AH1500" s="147"/>
      <c r="AI1500" s="147"/>
      <c r="AJ1500" s="172"/>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row>
    <row r="1501" spans="1:59" ht="15.75" customHeight="1" x14ac:dyDescent="0.2">
      <c r="A1501" s="162"/>
      <c r="B1501" s="162"/>
      <c r="C1501" s="206"/>
      <c r="D1501" s="262"/>
      <c r="E1501" s="262"/>
      <c r="F1501" s="262"/>
      <c r="G1501" s="262"/>
      <c r="H1501" s="262"/>
      <c r="I1501" s="262"/>
      <c r="J1501" s="262"/>
      <c r="K1501" s="262"/>
      <c r="L1501" s="262"/>
      <c r="M1501" s="262"/>
      <c r="N1501" s="262"/>
      <c r="O1501" s="262"/>
      <c r="P1501" s="262"/>
      <c r="Q1501" s="262"/>
      <c r="R1501" s="262"/>
      <c r="S1501" s="262"/>
      <c r="T1501" s="262"/>
      <c r="U1501" s="262"/>
      <c r="V1501" s="262"/>
      <c r="W1501" s="262"/>
      <c r="X1501" s="262"/>
      <c r="Y1501" s="262"/>
      <c r="Z1501" s="262"/>
      <c r="AA1501" s="262"/>
      <c r="AB1501" s="262"/>
      <c r="AC1501" s="262"/>
      <c r="AD1501" s="262"/>
      <c r="AE1501" s="262"/>
      <c r="AF1501" s="147"/>
      <c r="AG1501" s="147"/>
      <c r="AH1501" s="147"/>
      <c r="AI1501" s="147"/>
      <c r="AJ1501" s="161"/>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row>
    <row r="1502" spans="1:59" ht="15.75" customHeight="1" x14ac:dyDescent="0.2">
      <c r="A1502" s="162"/>
      <c r="B1502" s="162"/>
      <c r="C1502" s="206"/>
      <c r="D1502" s="262"/>
      <c r="E1502" s="262"/>
      <c r="F1502" s="262"/>
      <c r="G1502" s="262"/>
      <c r="H1502" s="262"/>
      <c r="I1502" s="262"/>
      <c r="J1502" s="262"/>
      <c r="K1502" s="262"/>
      <c r="L1502" s="262"/>
      <c r="M1502" s="262"/>
      <c r="N1502" s="262"/>
      <c r="O1502" s="262"/>
      <c r="P1502" s="262"/>
      <c r="Q1502" s="262"/>
      <c r="R1502" s="262"/>
      <c r="S1502" s="262"/>
      <c r="T1502" s="262"/>
      <c r="U1502" s="262"/>
      <c r="V1502" s="262"/>
      <c r="W1502" s="262"/>
      <c r="X1502" s="262"/>
      <c r="Y1502" s="262"/>
      <c r="Z1502" s="262"/>
      <c r="AA1502" s="262"/>
      <c r="AB1502" s="262"/>
      <c r="AC1502" s="262"/>
      <c r="AD1502" s="262"/>
      <c r="AE1502" s="262"/>
      <c r="AF1502" s="147"/>
      <c r="AG1502" s="147"/>
      <c r="AH1502" s="147"/>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row>
    <row r="1503" spans="1:59" ht="15.75" customHeight="1" x14ac:dyDescent="0.2">
      <c r="A1503" s="162"/>
      <c r="B1503" s="162"/>
      <c r="C1503" s="206"/>
      <c r="D1503" s="262"/>
      <c r="E1503" s="262"/>
      <c r="F1503" s="262"/>
      <c r="G1503" s="262"/>
      <c r="H1503" s="262"/>
      <c r="I1503" s="262"/>
      <c r="J1503" s="262"/>
      <c r="K1503" s="262"/>
      <c r="L1503" s="262"/>
      <c r="M1503" s="262"/>
      <c r="N1503" s="262"/>
      <c r="O1503" s="262"/>
      <c r="P1503" s="262"/>
      <c r="Q1503" s="262"/>
      <c r="R1503" s="262"/>
      <c r="S1503" s="262"/>
      <c r="T1503" s="262"/>
      <c r="U1503" s="262"/>
      <c r="V1503" s="262"/>
      <c r="W1503" s="262"/>
      <c r="X1503" s="262"/>
      <c r="Y1503" s="262"/>
      <c r="Z1503" s="262"/>
      <c r="AA1503" s="262"/>
      <c r="AB1503" s="262"/>
      <c r="AC1503" s="262"/>
      <c r="AD1503" s="262"/>
      <c r="AE1503" s="262"/>
      <c r="AF1503" s="147"/>
      <c r="AG1503" s="147"/>
      <c r="AH1503" s="147"/>
      <c r="AI1503" s="147"/>
      <c r="AJ1503" s="161"/>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row>
    <row r="1504" spans="1:59" ht="15.75" customHeight="1" x14ac:dyDescent="0.2">
      <c r="A1504" s="162"/>
      <c r="B1504" s="162"/>
      <c r="C1504" s="206"/>
      <c r="D1504" s="262"/>
      <c r="E1504" s="262"/>
      <c r="F1504" s="262"/>
      <c r="G1504" s="262"/>
      <c r="H1504" s="262"/>
      <c r="I1504" s="262"/>
      <c r="J1504" s="262"/>
      <c r="K1504" s="262"/>
      <c r="L1504" s="262"/>
      <c r="M1504" s="262"/>
      <c r="N1504" s="262"/>
      <c r="O1504" s="262"/>
      <c r="P1504" s="262"/>
      <c r="Q1504" s="262"/>
      <c r="R1504" s="262"/>
      <c r="S1504" s="262"/>
      <c r="T1504" s="262"/>
      <c r="U1504" s="262"/>
      <c r="V1504" s="262"/>
      <c r="W1504" s="262"/>
      <c r="X1504" s="262"/>
      <c r="Y1504" s="262"/>
      <c r="Z1504" s="262"/>
      <c r="AA1504" s="262"/>
      <c r="AB1504" s="262"/>
      <c r="AC1504" s="262"/>
      <c r="AD1504" s="262"/>
      <c r="AE1504" s="262"/>
      <c r="AF1504" s="147"/>
      <c r="AG1504" s="147"/>
      <c r="AH1504" s="147"/>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row>
    <row r="1505" spans="1:59" ht="15.75" customHeight="1" x14ac:dyDescent="0.2">
      <c r="A1505" s="162"/>
      <c r="B1505" s="162"/>
      <c r="C1505" s="206"/>
      <c r="D1505" s="262"/>
      <c r="E1505" s="262"/>
      <c r="F1505" s="262"/>
      <c r="G1505" s="262"/>
      <c r="H1505" s="262"/>
      <c r="I1505" s="262"/>
      <c r="J1505" s="262"/>
      <c r="K1505" s="262"/>
      <c r="L1505" s="262"/>
      <c r="M1505" s="262"/>
      <c r="N1505" s="262"/>
      <c r="O1505" s="262"/>
      <c r="P1505" s="262"/>
      <c r="Q1505" s="262"/>
      <c r="R1505" s="262"/>
      <c r="S1505" s="262"/>
      <c r="T1505" s="262"/>
      <c r="U1505" s="262"/>
      <c r="V1505" s="262"/>
      <c r="W1505" s="262"/>
      <c r="X1505" s="262"/>
      <c r="Y1505" s="262"/>
      <c r="Z1505" s="262"/>
      <c r="AA1505" s="262"/>
      <c r="AB1505" s="262"/>
      <c r="AC1505" s="262"/>
      <c r="AD1505" s="262"/>
      <c r="AE1505" s="262"/>
      <c r="AF1505" s="147"/>
      <c r="AG1505" s="147"/>
      <c r="AH1505" s="147"/>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row>
    <row r="1506" spans="1:59" ht="15.75" customHeight="1" x14ac:dyDescent="0.2">
      <c r="A1506" s="162"/>
      <c r="B1506" s="162"/>
      <c r="C1506" s="206"/>
      <c r="D1506" s="262"/>
      <c r="E1506" s="262"/>
      <c r="F1506" s="262"/>
      <c r="G1506" s="262"/>
      <c r="H1506" s="262"/>
      <c r="I1506" s="262"/>
      <c r="J1506" s="262"/>
      <c r="K1506" s="262"/>
      <c r="L1506" s="262"/>
      <c r="M1506" s="262"/>
      <c r="N1506" s="262"/>
      <c r="O1506" s="262"/>
      <c r="P1506" s="262"/>
      <c r="Q1506" s="262"/>
      <c r="R1506" s="262"/>
      <c r="S1506" s="262"/>
      <c r="T1506" s="262"/>
      <c r="U1506" s="262"/>
      <c r="V1506" s="262"/>
      <c r="W1506" s="262"/>
      <c r="X1506" s="262"/>
      <c r="Y1506" s="262"/>
      <c r="Z1506" s="262"/>
      <c r="AA1506" s="262"/>
      <c r="AB1506" s="262"/>
      <c r="AC1506" s="262"/>
      <c r="AD1506" s="262"/>
      <c r="AE1506" s="262"/>
      <c r="AF1506" s="147"/>
      <c r="AG1506" s="147"/>
      <c r="AH1506" s="147"/>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row>
    <row r="1507" spans="1:59" ht="15.75" customHeight="1" x14ac:dyDescent="0.2">
      <c r="A1507" s="162"/>
      <c r="B1507" s="162"/>
      <c r="C1507" s="206"/>
      <c r="D1507" s="262"/>
      <c r="E1507" s="262"/>
      <c r="F1507" s="262"/>
      <c r="G1507" s="262"/>
      <c r="H1507" s="262"/>
      <c r="I1507" s="262"/>
      <c r="J1507" s="262"/>
      <c r="K1507" s="262"/>
      <c r="L1507" s="262"/>
      <c r="M1507" s="262"/>
      <c r="N1507" s="262"/>
      <c r="O1507" s="262"/>
      <c r="P1507" s="262"/>
      <c r="Q1507" s="262"/>
      <c r="R1507" s="262"/>
      <c r="S1507" s="262"/>
      <c r="T1507" s="262"/>
      <c r="U1507" s="262"/>
      <c r="V1507" s="262"/>
      <c r="W1507" s="262"/>
      <c r="X1507" s="262"/>
      <c r="Y1507" s="262"/>
      <c r="Z1507" s="262"/>
      <c r="AA1507" s="262"/>
      <c r="AB1507" s="262"/>
      <c r="AC1507" s="262"/>
      <c r="AD1507" s="262"/>
      <c r="AE1507" s="262"/>
      <c r="AF1507" s="147"/>
      <c r="AG1507" s="147"/>
      <c r="AH1507" s="147"/>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row>
    <row r="1508" spans="1:59" ht="15.75" customHeight="1" x14ac:dyDescent="0.2">
      <c r="A1508" s="162"/>
      <c r="B1508" s="162"/>
      <c r="C1508" s="206"/>
      <c r="D1508" s="262"/>
      <c r="E1508" s="262"/>
      <c r="F1508" s="262"/>
      <c r="G1508" s="262"/>
      <c r="H1508" s="262"/>
      <c r="I1508" s="262"/>
      <c r="J1508" s="262"/>
      <c r="K1508" s="262"/>
      <c r="L1508" s="262"/>
      <c r="M1508" s="262"/>
      <c r="N1508" s="262"/>
      <c r="O1508" s="262"/>
      <c r="P1508" s="262"/>
      <c r="Q1508" s="262"/>
      <c r="R1508" s="262"/>
      <c r="S1508" s="262"/>
      <c r="T1508" s="262"/>
      <c r="U1508" s="262"/>
      <c r="V1508" s="262"/>
      <c r="W1508" s="262"/>
      <c r="X1508" s="262"/>
      <c r="Y1508" s="262"/>
      <c r="Z1508" s="262"/>
      <c r="AA1508" s="262"/>
      <c r="AB1508" s="262"/>
      <c r="AC1508" s="262"/>
      <c r="AD1508" s="262"/>
      <c r="AE1508" s="262"/>
      <c r="AF1508" s="147"/>
      <c r="AG1508" s="147"/>
      <c r="AH1508" s="147"/>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row>
    <row r="1509" spans="1:59" ht="15.75" customHeight="1" x14ac:dyDescent="0.2">
      <c r="A1509" s="162"/>
      <c r="B1509" s="162"/>
      <c r="C1509" s="206"/>
      <c r="D1509" s="262"/>
      <c r="E1509" s="262"/>
      <c r="F1509" s="262"/>
      <c r="G1509" s="262"/>
      <c r="H1509" s="262"/>
      <c r="I1509" s="262"/>
      <c r="J1509" s="262"/>
      <c r="K1509" s="262"/>
      <c r="L1509" s="262"/>
      <c r="M1509" s="262"/>
      <c r="N1509" s="262"/>
      <c r="O1509" s="262"/>
      <c r="P1509" s="262"/>
      <c r="Q1509" s="262"/>
      <c r="R1509" s="262"/>
      <c r="S1509" s="262"/>
      <c r="T1509" s="262"/>
      <c r="U1509" s="262"/>
      <c r="V1509" s="262"/>
      <c r="W1509" s="262"/>
      <c r="X1509" s="262"/>
      <c r="Y1509" s="262"/>
      <c r="Z1509" s="262"/>
      <c r="AA1509" s="262"/>
      <c r="AB1509" s="262"/>
      <c r="AC1509" s="262"/>
      <c r="AD1509" s="262"/>
      <c r="AE1509" s="262"/>
      <c r="AF1509" s="147"/>
      <c r="AG1509" s="147"/>
      <c r="AH1509" s="147"/>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row>
    <row r="1510" spans="1:59" ht="15.75" customHeight="1" x14ac:dyDescent="0.2">
      <c r="A1510" s="162"/>
      <c r="B1510" s="162"/>
      <c r="C1510" s="206"/>
      <c r="D1510" s="262"/>
      <c r="E1510" s="262"/>
      <c r="F1510" s="262"/>
      <c r="G1510" s="262"/>
      <c r="H1510" s="262"/>
      <c r="I1510" s="262"/>
      <c r="J1510" s="262"/>
      <c r="K1510" s="262"/>
      <c r="L1510" s="262"/>
      <c r="M1510" s="262"/>
      <c r="N1510" s="262"/>
      <c r="O1510" s="262"/>
      <c r="P1510" s="262"/>
      <c r="Q1510" s="262"/>
      <c r="R1510" s="262"/>
      <c r="S1510" s="262"/>
      <c r="T1510" s="262"/>
      <c r="U1510" s="262"/>
      <c r="V1510" s="262"/>
      <c r="W1510" s="262"/>
      <c r="X1510" s="262"/>
      <c r="Y1510" s="262"/>
      <c r="Z1510" s="262"/>
      <c r="AA1510" s="262"/>
      <c r="AB1510" s="262"/>
      <c r="AC1510" s="262"/>
      <c r="AD1510" s="262"/>
      <c r="AE1510" s="262"/>
      <c r="AF1510" s="147"/>
      <c r="AG1510" s="147"/>
      <c r="AH1510" s="147"/>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row>
    <row r="1511" spans="1:59" ht="15.75" customHeight="1" x14ac:dyDescent="0.2">
      <c r="A1511" s="162"/>
      <c r="B1511" s="162"/>
      <c r="C1511" s="206"/>
      <c r="D1511" s="262"/>
      <c r="E1511" s="262"/>
      <c r="F1511" s="262"/>
      <c r="G1511" s="262"/>
      <c r="H1511" s="262"/>
      <c r="I1511" s="262"/>
      <c r="J1511" s="262"/>
      <c r="K1511" s="262"/>
      <c r="L1511" s="262"/>
      <c r="M1511" s="262"/>
      <c r="N1511" s="262"/>
      <c r="O1511" s="262"/>
      <c r="P1511" s="262"/>
      <c r="Q1511" s="262"/>
      <c r="R1511" s="262"/>
      <c r="S1511" s="262"/>
      <c r="T1511" s="262"/>
      <c r="U1511" s="262"/>
      <c r="V1511" s="262"/>
      <c r="W1511" s="262"/>
      <c r="X1511" s="262"/>
      <c r="Y1511" s="262"/>
      <c r="Z1511" s="262"/>
      <c r="AA1511" s="262"/>
      <c r="AB1511" s="262"/>
      <c r="AC1511" s="262"/>
      <c r="AD1511" s="262"/>
      <c r="AE1511" s="262"/>
      <c r="AF1511" s="147"/>
      <c r="AG1511" s="147"/>
      <c r="AH1511" s="147"/>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row>
    <row r="1512" spans="1:59" ht="15.75" customHeight="1" x14ac:dyDescent="0.2">
      <c r="A1512" s="162"/>
      <c r="B1512" s="162"/>
      <c r="C1512" s="206"/>
      <c r="D1512" s="262"/>
      <c r="E1512" s="262"/>
      <c r="F1512" s="262"/>
      <c r="G1512" s="262"/>
      <c r="H1512" s="262"/>
      <c r="I1512" s="262"/>
      <c r="J1512" s="262"/>
      <c r="K1512" s="262"/>
      <c r="L1512" s="262"/>
      <c r="M1512" s="262"/>
      <c r="N1512" s="262"/>
      <c r="O1512" s="262"/>
      <c r="P1512" s="262"/>
      <c r="Q1512" s="262"/>
      <c r="R1512" s="262"/>
      <c r="S1512" s="262"/>
      <c r="T1512" s="262"/>
      <c r="U1512" s="262"/>
      <c r="V1512" s="262"/>
      <c r="W1512" s="262"/>
      <c r="X1512" s="262"/>
      <c r="Y1512" s="262"/>
      <c r="Z1512" s="262"/>
      <c r="AA1512" s="262"/>
      <c r="AB1512" s="262"/>
      <c r="AC1512" s="262"/>
      <c r="AD1512" s="262"/>
      <c r="AE1512" s="262"/>
      <c r="AF1512" s="147"/>
      <c r="AG1512" s="147"/>
      <c r="AH1512" s="147"/>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row>
    <row r="1513" spans="1:59" ht="15.75" customHeight="1" x14ac:dyDescent="0.2">
      <c r="A1513" s="162"/>
      <c r="B1513" s="162"/>
      <c r="C1513" s="206"/>
      <c r="D1513" s="262"/>
      <c r="E1513" s="262"/>
      <c r="F1513" s="262"/>
      <c r="G1513" s="262"/>
      <c r="H1513" s="262"/>
      <c r="I1513" s="262"/>
      <c r="J1513" s="262"/>
      <c r="K1513" s="262"/>
      <c r="L1513" s="262"/>
      <c r="M1513" s="262"/>
      <c r="N1513" s="262"/>
      <c r="O1513" s="262"/>
      <c r="P1513" s="262"/>
      <c r="Q1513" s="262"/>
      <c r="R1513" s="262"/>
      <c r="S1513" s="262"/>
      <c r="T1513" s="262"/>
      <c r="U1513" s="262"/>
      <c r="V1513" s="262"/>
      <c r="W1513" s="262"/>
      <c r="X1513" s="262"/>
      <c r="Y1513" s="262"/>
      <c r="Z1513" s="262"/>
      <c r="AA1513" s="262"/>
      <c r="AB1513" s="262"/>
      <c r="AC1513" s="262"/>
      <c r="AD1513" s="262"/>
      <c r="AE1513" s="262"/>
      <c r="AF1513" s="147"/>
      <c r="AG1513" s="147"/>
      <c r="AH1513" s="147"/>
      <c r="AI1513" s="147"/>
      <c r="AJ1513" s="84"/>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row>
    <row r="1514" spans="1:59" ht="15.75" customHeight="1" x14ac:dyDescent="0.2">
      <c r="A1514" s="162"/>
      <c r="B1514" s="162"/>
      <c r="C1514" s="206"/>
      <c r="D1514" s="262"/>
      <c r="E1514" s="262"/>
      <c r="F1514" s="262"/>
      <c r="G1514" s="262"/>
      <c r="H1514" s="262"/>
      <c r="I1514" s="262"/>
      <c r="J1514" s="262"/>
      <c r="K1514" s="262"/>
      <c r="L1514" s="262"/>
      <c r="M1514" s="262"/>
      <c r="N1514" s="262"/>
      <c r="O1514" s="262"/>
      <c r="P1514" s="262"/>
      <c r="Q1514" s="262"/>
      <c r="R1514" s="262"/>
      <c r="S1514" s="262"/>
      <c r="T1514" s="262"/>
      <c r="U1514" s="262"/>
      <c r="V1514" s="262"/>
      <c r="W1514" s="262"/>
      <c r="X1514" s="262"/>
      <c r="Y1514" s="262"/>
      <c r="Z1514" s="262"/>
      <c r="AA1514" s="262"/>
      <c r="AB1514" s="262"/>
      <c r="AC1514" s="262"/>
      <c r="AD1514" s="262"/>
      <c r="AE1514" s="262"/>
      <c r="AF1514" s="147"/>
      <c r="AG1514" s="147"/>
      <c r="AH1514" s="147"/>
      <c r="AI1514" s="147"/>
      <c r="AJ1514" s="84"/>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row>
    <row r="1515" spans="1:59" ht="15.75" customHeight="1" x14ac:dyDescent="0.2">
      <c r="A1515" s="162"/>
      <c r="B1515" s="162"/>
      <c r="C1515" s="206"/>
      <c r="D1515" s="262"/>
      <c r="E1515" s="262"/>
      <c r="F1515" s="262"/>
      <c r="G1515" s="262"/>
      <c r="H1515" s="262"/>
      <c r="I1515" s="262"/>
      <c r="J1515" s="262"/>
      <c r="K1515" s="262"/>
      <c r="L1515" s="262"/>
      <c r="M1515" s="262"/>
      <c r="N1515" s="262"/>
      <c r="O1515" s="262"/>
      <c r="P1515" s="262"/>
      <c r="Q1515" s="262"/>
      <c r="R1515" s="262"/>
      <c r="S1515" s="262"/>
      <c r="T1515" s="262"/>
      <c r="U1515" s="262"/>
      <c r="V1515" s="262"/>
      <c r="W1515" s="262"/>
      <c r="X1515" s="262"/>
      <c r="Y1515" s="262"/>
      <c r="Z1515" s="262"/>
      <c r="AA1515" s="262"/>
      <c r="AB1515" s="262"/>
      <c r="AC1515" s="262"/>
      <c r="AD1515" s="262"/>
      <c r="AE1515" s="262"/>
      <c r="AF1515" s="147"/>
      <c r="AG1515" s="147"/>
      <c r="AH1515" s="147"/>
      <c r="AI1515" s="147"/>
      <c r="AJ1515" s="84"/>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row>
    <row r="1516" spans="1:59" ht="15.75" customHeight="1" x14ac:dyDescent="0.2">
      <c r="A1516" s="162"/>
      <c r="B1516" s="162"/>
      <c r="C1516" s="206"/>
      <c r="D1516" s="262"/>
      <c r="E1516" s="262"/>
      <c r="F1516" s="262"/>
      <c r="G1516" s="262"/>
      <c r="H1516" s="262"/>
      <c r="I1516" s="262"/>
      <c r="J1516" s="262"/>
      <c r="K1516" s="262"/>
      <c r="L1516" s="262"/>
      <c r="M1516" s="262"/>
      <c r="N1516" s="262"/>
      <c r="O1516" s="262"/>
      <c r="P1516" s="262"/>
      <c r="Q1516" s="262"/>
      <c r="R1516" s="262"/>
      <c r="S1516" s="262"/>
      <c r="T1516" s="262"/>
      <c r="U1516" s="262"/>
      <c r="V1516" s="262"/>
      <c r="W1516" s="262"/>
      <c r="X1516" s="262"/>
      <c r="Y1516" s="262"/>
      <c r="Z1516" s="262"/>
      <c r="AA1516" s="262"/>
      <c r="AB1516" s="262"/>
      <c r="AC1516" s="262"/>
      <c r="AD1516" s="262"/>
      <c r="AE1516" s="262"/>
      <c r="AF1516" s="147"/>
      <c r="AG1516" s="147"/>
      <c r="AH1516" s="147"/>
      <c r="AI1516" s="147"/>
      <c r="AJ1516" s="84"/>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row>
    <row r="1517" spans="1:59" ht="15.75" customHeight="1" x14ac:dyDescent="0.2">
      <c r="A1517" s="162"/>
      <c r="B1517" s="162"/>
      <c r="C1517" s="206"/>
      <c r="D1517" s="262"/>
      <c r="E1517" s="262"/>
      <c r="F1517" s="262"/>
      <c r="G1517" s="262"/>
      <c r="H1517" s="262"/>
      <c r="I1517" s="262"/>
      <c r="J1517" s="262"/>
      <c r="K1517" s="262"/>
      <c r="L1517" s="262"/>
      <c r="M1517" s="262"/>
      <c r="N1517" s="262"/>
      <c r="O1517" s="262"/>
      <c r="P1517" s="262"/>
      <c r="Q1517" s="262"/>
      <c r="R1517" s="262"/>
      <c r="S1517" s="262"/>
      <c r="T1517" s="262"/>
      <c r="U1517" s="262"/>
      <c r="V1517" s="262"/>
      <c r="W1517" s="262"/>
      <c r="X1517" s="262"/>
      <c r="Y1517" s="262"/>
      <c r="Z1517" s="262"/>
      <c r="AA1517" s="262"/>
      <c r="AB1517" s="262"/>
      <c r="AC1517" s="262"/>
      <c r="AD1517" s="262"/>
      <c r="AE1517" s="262"/>
      <c r="AF1517" s="147"/>
      <c r="AG1517" s="147"/>
      <c r="AH1517" s="147"/>
      <c r="AI1517" s="147"/>
      <c r="AJ1517" s="84"/>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row>
    <row r="1518" spans="1:59" ht="15.75" customHeight="1" x14ac:dyDescent="0.2">
      <c r="A1518" s="162"/>
      <c r="B1518" s="162"/>
      <c r="C1518" s="206"/>
      <c r="D1518" s="262"/>
      <c r="E1518" s="262"/>
      <c r="F1518" s="262"/>
      <c r="G1518" s="262"/>
      <c r="H1518" s="262"/>
      <c r="I1518" s="262"/>
      <c r="J1518" s="262"/>
      <c r="K1518" s="262"/>
      <c r="L1518" s="262"/>
      <c r="M1518" s="262"/>
      <c r="N1518" s="262"/>
      <c r="O1518" s="262"/>
      <c r="P1518" s="262"/>
      <c r="Q1518" s="262"/>
      <c r="R1518" s="262"/>
      <c r="S1518" s="262"/>
      <c r="T1518" s="262"/>
      <c r="U1518" s="262"/>
      <c r="V1518" s="262"/>
      <c r="W1518" s="262"/>
      <c r="X1518" s="262"/>
      <c r="Y1518" s="262"/>
      <c r="Z1518" s="262"/>
      <c r="AA1518" s="262"/>
      <c r="AB1518" s="262"/>
      <c r="AC1518" s="262"/>
      <c r="AD1518" s="262"/>
      <c r="AE1518" s="262"/>
      <c r="AF1518" s="147"/>
      <c r="AG1518" s="147"/>
      <c r="AH1518" s="147"/>
      <c r="AI1518" s="147"/>
      <c r="AJ1518" s="84"/>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row>
    <row r="1519" spans="1:59" ht="15.75" customHeight="1" x14ac:dyDescent="0.2">
      <c r="A1519" s="162"/>
      <c r="B1519" s="162"/>
      <c r="C1519" s="206"/>
      <c r="D1519" s="262"/>
      <c r="E1519" s="262"/>
      <c r="F1519" s="262"/>
      <c r="G1519" s="262"/>
      <c r="H1519" s="262"/>
      <c r="I1519" s="262"/>
      <c r="J1519" s="262"/>
      <c r="K1519" s="262"/>
      <c r="L1519" s="262"/>
      <c r="M1519" s="262"/>
      <c r="N1519" s="262"/>
      <c r="O1519" s="262"/>
      <c r="P1519" s="262"/>
      <c r="Q1519" s="262"/>
      <c r="R1519" s="262"/>
      <c r="S1519" s="262"/>
      <c r="T1519" s="262"/>
      <c r="U1519" s="262"/>
      <c r="V1519" s="262"/>
      <c r="W1519" s="262"/>
      <c r="X1519" s="262"/>
      <c r="Y1519" s="262"/>
      <c r="Z1519" s="262"/>
      <c r="AA1519" s="262"/>
      <c r="AB1519" s="262"/>
      <c r="AC1519" s="262"/>
      <c r="AD1519" s="262"/>
      <c r="AE1519" s="262"/>
      <c r="AF1519" s="147"/>
      <c r="AG1519" s="147"/>
      <c r="AH1519" s="147"/>
      <c r="AI1519" s="147"/>
      <c r="AJ1519" s="84"/>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row>
    <row r="1520" spans="1:59" ht="15.75" customHeight="1" x14ac:dyDescent="0.2">
      <c r="A1520" s="162"/>
      <c r="B1520" s="162"/>
      <c r="C1520" s="206"/>
      <c r="D1520" s="262"/>
      <c r="E1520" s="262"/>
      <c r="F1520" s="262"/>
      <c r="G1520" s="262"/>
      <c r="H1520" s="262"/>
      <c r="I1520" s="262"/>
      <c r="J1520" s="262"/>
      <c r="K1520" s="262"/>
      <c r="L1520" s="262"/>
      <c r="M1520" s="262"/>
      <c r="N1520" s="262"/>
      <c r="O1520" s="262"/>
      <c r="P1520" s="262"/>
      <c r="Q1520" s="262"/>
      <c r="R1520" s="262"/>
      <c r="S1520" s="262"/>
      <c r="T1520" s="262"/>
      <c r="U1520" s="262"/>
      <c r="V1520" s="262"/>
      <c r="W1520" s="262"/>
      <c r="X1520" s="262"/>
      <c r="Y1520" s="262"/>
      <c r="Z1520" s="262"/>
      <c r="AA1520" s="262"/>
      <c r="AB1520" s="262"/>
      <c r="AC1520" s="262"/>
      <c r="AD1520" s="262"/>
      <c r="AE1520" s="262"/>
      <c r="AF1520" s="147"/>
      <c r="AG1520" s="147"/>
      <c r="AH1520" s="147"/>
      <c r="AI1520" s="147"/>
      <c r="AJ1520" s="84"/>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row>
    <row r="1521" spans="1:59" ht="15.75" customHeight="1" x14ac:dyDescent="0.2">
      <c r="A1521" s="162"/>
      <c r="B1521" s="162"/>
      <c r="C1521" s="206"/>
      <c r="D1521" s="262"/>
      <c r="E1521" s="262"/>
      <c r="F1521" s="262"/>
      <c r="G1521" s="262"/>
      <c r="H1521" s="262"/>
      <c r="I1521" s="262"/>
      <c r="J1521" s="262"/>
      <c r="K1521" s="262"/>
      <c r="L1521" s="262"/>
      <c r="M1521" s="262"/>
      <c r="N1521" s="262"/>
      <c r="O1521" s="262"/>
      <c r="P1521" s="262"/>
      <c r="Q1521" s="262"/>
      <c r="R1521" s="262"/>
      <c r="S1521" s="262"/>
      <c r="T1521" s="262"/>
      <c r="U1521" s="262"/>
      <c r="V1521" s="262"/>
      <c r="W1521" s="262"/>
      <c r="X1521" s="262"/>
      <c r="Y1521" s="262"/>
      <c r="Z1521" s="262"/>
      <c r="AA1521" s="262"/>
      <c r="AB1521" s="262"/>
      <c r="AC1521" s="262"/>
      <c r="AD1521" s="262"/>
      <c r="AE1521" s="262"/>
      <c r="AF1521" s="147"/>
      <c r="AG1521" s="147"/>
      <c r="AH1521" s="147"/>
      <c r="AI1521" s="147"/>
      <c r="AJ1521" s="84"/>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row>
    <row r="1522" spans="1:59" ht="15.75" customHeight="1" x14ac:dyDescent="0.2">
      <c r="A1522" s="162"/>
      <c r="B1522" s="162"/>
      <c r="C1522" s="206"/>
      <c r="D1522" s="262"/>
      <c r="E1522" s="262"/>
      <c r="F1522" s="262"/>
      <c r="G1522" s="262"/>
      <c r="H1522" s="262"/>
      <c r="I1522" s="262"/>
      <c r="J1522" s="262"/>
      <c r="K1522" s="262"/>
      <c r="L1522" s="262"/>
      <c r="M1522" s="262"/>
      <c r="N1522" s="262"/>
      <c r="O1522" s="262"/>
      <c r="P1522" s="262"/>
      <c r="Q1522" s="262"/>
      <c r="R1522" s="262"/>
      <c r="S1522" s="262"/>
      <c r="T1522" s="262"/>
      <c r="U1522" s="262"/>
      <c r="V1522" s="262"/>
      <c r="W1522" s="262"/>
      <c r="X1522" s="262"/>
      <c r="Y1522" s="262"/>
      <c r="Z1522" s="262"/>
      <c r="AA1522" s="262"/>
      <c r="AB1522" s="262"/>
      <c r="AC1522" s="262"/>
      <c r="AD1522" s="262"/>
      <c r="AE1522" s="262"/>
      <c r="AF1522" s="147"/>
      <c r="AG1522" s="147"/>
      <c r="AH1522" s="147"/>
      <c r="AI1522" s="147"/>
      <c r="AJ1522" s="84"/>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row>
    <row r="1523" spans="1:59" ht="15.75" customHeight="1" x14ac:dyDescent="0.2">
      <c r="A1523" s="162"/>
      <c r="B1523" s="162"/>
      <c r="C1523" s="206"/>
      <c r="D1523" s="262"/>
      <c r="E1523" s="262"/>
      <c r="F1523" s="262"/>
      <c r="G1523" s="262"/>
      <c r="H1523" s="262"/>
      <c r="I1523" s="262"/>
      <c r="J1523" s="262"/>
      <c r="K1523" s="262"/>
      <c r="L1523" s="262"/>
      <c r="M1523" s="262"/>
      <c r="N1523" s="262"/>
      <c r="O1523" s="262"/>
      <c r="P1523" s="262"/>
      <c r="Q1523" s="262"/>
      <c r="R1523" s="262"/>
      <c r="S1523" s="262"/>
      <c r="T1523" s="262"/>
      <c r="U1523" s="262"/>
      <c r="V1523" s="262"/>
      <c r="W1523" s="262"/>
      <c r="X1523" s="262"/>
      <c r="Y1523" s="262"/>
      <c r="Z1523" s="262"/>
      <c r="AA1523" s="262"/>
      <c r="AB1523" s="262"/>
      <c r="AC1523" s="262"/>
      <c r="AD1523" s="262"/>
      <c r="AE1523" s="262"/>
      <c r="AF1523" s="147"/>
      <c r="AG1523" s="147"/>
      <c r="AH1523" s="147"/>
      <c r="AI1523" s="147"/>
      <c r="AJ1523" s="84"/>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row>
    <row r="1524" spans="1:59" ht="15.75" customHeight="1" x14ac:dyDescent="0.2">
      <c r="A1524" s="162"/>
      <c r="B1524" s="162"/>
      <c r="C1524" s="206"/>
      <c r="D1524" s="262"/>
      <c r="E1524" s="262"/>
      <c r="F1524" s="262"/>
      <c r="G1524" s="262"/>
      <c r="H1524" s="262"/>
      <c r="I1524" s="262"/>
      <c r="J1524" s="262"/>
      <c r="K1524" s="262"/>
      <c r="L1524" s="262"/>
      <c r="M1524" s="262"/>
      <c r="N1524" s="262"/>
      <c r="O1524" s="262"/>
      <c r="P1524" s="262"/>
      <c r="Q1524" s="262"/>
      <c r="R1524" s="262"/>
      <c r="S1524" s="262"/>
      <c r="T1524" s="262"/>
      <c r="U1524" s="262"/>
      <c r="V1524" s="262"/>
      <c r="W1524" s="262"/>
      <c r="X1524" s="262"/>
      <c r="Y1524" s="262"/>
      <c r="Z1524" s="262"/>
      <c r="AA1524" s="262"/>
      <c r="AB1524" s="262"/>
      <c r="AC1524" s="262"/>
      <c r="AD1524" s="262"/>
      <c r="AE1524" s="262"/>
      <c r="AF1524" s="147"/>
      <c r="AG1524" s="147"/>
      <c r="AH1524" s="147"/>
      <c r="AI1524" s="147"/>
      <c r="AJ1524" s="84"/>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row>
    <row r="1525" spans="1:59" ht="15.75" customHeight="1" x14ac:dyDescent="0.2">
      <c r="A1525" s="162"/>
      <c r="B1525" s="162"/>
      <c r="C1525" s="206"/>
      <c r="D1525" s="262"/>
      <c r="E1525" s="262"/>
      <c r="F1525" s="262"/>
      <c r="G1525" s="262"/>
      <c r="H1525" s="262"/>
      <c r="I1525" s="262"/>
      <c r="J1525" s="262"/>
      <c r="K1525" s="262"/>
      <c r="L1525" s="262"/>
      <c r="M1525" s="262"/>
      <c r="N1525" s="262"/>
      <c r="O1525" s="262"/>
      <c r="P1525" s="262"/>
      <c r="Q1525" s="262"/>
      <c r="R1525" s="262"/>
      <c r="S1525" s="262"/>
      <c r="T1525" s="262"/>
      <c r="U1525" s="262"/>
      <c r="V1525" s="262"/>
      <c r="W1525" s="262"/>
      <c r="X1525" s="262"/>
      <c r="Y1525" s="262"/>
      <c r="Z1525" s="262"/>
      <c r="AA1525" s="262"/>
      <c r="AB1525" s="262"/>
      <c r="AC1525" s="262"/>
      <c r="AD1525" s="262"/>
      <c r="AE1525" s="262"/>
      <c r="AF1525" s="147"/>
      <c r="AG1525" s="147"/>
      <c r="AH1525" s="147"/>
      <c r="AI1525" s="147"/>
      <c r="AJ1525" s="84"/>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row>
    <row r="1526" spans="1:59" ht="15.75" customHeight="1" x14ac:dyDescent="0.2">
      <c r="A1526" s="162"/>
      <c r="B1526" s="162"/>
      <c r="C1526" s="206"/>
      <c r="D1526" s="262"/>
      <c r="E1526" s="262"/>
      <c r="F1526" s="262"/>
      <c r="G1526" s="262"/>
      <c r="H1526" s="262"/>
      <c r="I1526" s="262"/>
      <c r="J1526" s="262"/>
      <c r="K1526" s="262"/>
      <c r="L1526" s="262"/>
      <c r="M1526" s="262"/>
      <c r="N1526" s="262"/>
      <c r="O1526" s="262"/>
      <c r="P1526" s="262"/>
      <c r="Q1526" s="262"/>
      <c r="R1526" s="262"/>
      <c r="S1526" s="262"/>
      <c r="T1526" s="262"/>
      <c r="U1526" s="262"/>
      <c r="V1526" s="262"/>
      <c r="W1526" s="262"/>
      <c r="X1526" s="262"/>
      <c r="Y1526" s="262"/>
      <c r="Z1526" s="262"/>
      <c r="AA1526" s="262"/>
      <c r="AB1526" s="262"/>
      <c r="AC1526" s="262"/>
      <c r="AD1526" s="262"/>
      <c r="AE1526" s="262"/>
      <c r="AF1526" s="147"/>
      <c r="AG1526" s="147"/>
      <c r="AH1526" s="147"/>
      <c r="AI1526" s="147"/>
      <c r="AJ1526" s="84"/>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row>
    <row r="1527" spans="1:59" ht="15.75" customHeight="1" x14ac:dyDescent="0.2">
      <c r="A1527" s="162"/>
      <c r="B1527" s="162"/>
      <c r="C1527" s="206"/>
      <c r="D1527" s="262"/>
      <c r="E1527" s="262"/>
      <c r="F1527" s="262"/>
      <c r="G1527" s="262"/>
      <c r="H1527" s="262"/>
      <c r="I1527" s="262"/>
      <c r="J1527" s="262"/>
      <c r="K1527" s="262"/>
      <c r="L1527" s="262"/>
      <c r="M1527" s="262"/>
      <c r="N1527" s="262"/>
      <c r="O1527" s="262"/>
      <c r="P1527" s="262"/>
      <c r="Q1527" s="262"/>
      <c r="R1527" s="262"/>
      <c r="S1527" s="262"/>
      <c r="T1527" s="262"/>
      <c r="U1527" s="262"/>
      <c r="V1527" s="262"/>
      <c r="W1527" s="262"/>
      <c r="X1527" s="262"/>
      <c r="Y1527" s="262"/>
      <c r="Z1527" s="262"/>
      <c r="AA1527" s="262"/>
      <c r="AB1527" s="262"/>
      <c r="AC1527" s="262"/>
      <c r="AD1527" s="262"/>
      <c r="AE1527" s="262"/>
      <c r="AF1527" s="147"/>
      <c r="AG1527" s="147"/>
      <c r="AH1527" s="147"/>
      <c r="AI1527" s="147"/>
      <c r="AJ1527" s="84"/>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row>
    <row r="1528" spans="1:59" ht="15.75" customHeight="1" x14ac:dyDescent="0.2">
      <c r="A1528" s="162"/>
      <c r="B1528" s="162"/>
      <c r="C1528" s="206"/>
      <c r="D1528" s="262"/>
      <c r="E1528" s="262"/>
      <c r="F1528" s="262"/>
      <c r="G1528" s="262"/>
      <c r="H1528" s="262"/>
      <c r="I1528" s="262"/>
      <c r="J1528" s="262"/>
      <c r="K1528" s="262"/>
      <c r="L1528" s="262"/>
      <c r="M1528" s="262"/>
      <c r="N1528" s="262"/>
      <c r="O1528" s="262"/>
      <c r="P1528" s="262"/>
      <c r="Q1528" s="262"/>
      <c r="R1528" s="262"/>
      <c r="S1528" s="262"/>
      <c r="T1528" s="262"/>
      <c r="U1528" s="262"/>
      <c r="V1528" s="262"/>
      <c r="W1528" s="262"/>
      <c r="X1528" s="262"/>
      <c r="Y1528" s="262"/>
      <c r="Z1528" s="262"/>
      <c r="AA1528" s="262"/>
      <c r="AB1528" s="262"/>
      <c r="AC1528" s="262"/>
      <c r="AD1528" s="262"/>
      <c r="AE1528" s="262"/>
      <c r="AF1528" s="147"/>
      <c r="AG1528" s="147"/>
      <c r="AH1528" s="147"/>
      <c r="AI1528" s="147"/>
      <c r="AJ1528" s="84"/>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row>
    <row r="1529" spans="1:59" ht="15.75" customHeight="1" x14ac:dyDescent="0.2">
      <c r="A1529" s="162"/>
      <c r="B1529" s="162"/>
      <c r="C1529" s="206"/>
      <c r="D1529" s="262"/>
      <c r="E1529" s="262"/>
      <c r="F1529" s="262"/>
      <c r="G1529" s="262"/>
      <c r="H1529" s="262"/>
      <c r="I1529" s="262"/>
      <c r="J1529" s="262"/>
      <c r="K1529" s="262"/>
      <c r="L1529" s="262"/>
      <c r="M1529" s="262"/>
      <c r="N1529" s="262"/>
      <c r="O1529" s="262"/>
      <c r="P1529" s="262"/>
      <c r="Q1529" s="262"/>
      <c r="R1529" s="262"/>
      <c r="S1529" s="262"/>
      <c r="T1529" s="262"/>
      <c r="U1529" s="262"/>
      <c r="V1529" s="262"/>
      <c r="W1529" s="262"/>
      <c r="X1529" s="262"/>
      <c r="Y1529" s="262"/>
      <c r="Z1529" s="262"/>
      <c r="AA1529" s="262"/>
      <c r="AB1529" s="262"/>
      <c r="AC1529" s="262"/>
      <c r="AD1529" s="262"/>
      <c r="AE1529" s="262"/>
      <c r="AF1529" s="147"/>
      <c r="AG1529" s="147"/>
      <c r="AH1529" s="147"/>
      <c r="AI1529" s="147"/>
      <c r="AJ1529" s="84"/>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row>
    <row r="1530" spans="1:59" ht="15.75" customHeight="1" x14ac:dyDescent="0.2">
      <c r="A1530" s="162"/>
      <c r="B1530" s="162"/>
      <c r="C1530" s="206"/>
      <c r="D1530" s="262"/>
      <c r="E1530" s="262"/>
      <c r="F1530" s="262"/>
      <c r="G1530" s="262"/>
      <c r="H1530" s="262"/>
      <c r="I1530" s="262"/>
      <c r="J1530" s="262"/>
      <c r="K1530" s="262"/>
      <c r="L1530" s="262"/>
      <c r="M1530" s="262"/>
      <c r="N1530" s="262"/>
      <c r="O1530" s="262"/>
      <c r="P1530" s="262"/>
      <c r="Q1530" s="262"/>
      <c r="R1530" s="262"/>
      <c r="S1530" s="262"/>
      <c r="T1530" s="262"/>
      <c r="U1530" s="262"/>
      <c r="V1530" s="262"/>
      <c r="W1530" s="262"/>
      <c r="X1530" s="262"/>
      <c r="Y1530" s="262"/>
      <c r="Z1530" s="262"/>
      <c r="AA1530" s="262"/>
      <c r="AB1530" s="262"/>
      <c r="AC1530" s="262"/>
      <c r="AD1530" s="262"/>
      <c r="AE1530" s="262"/>
      <c r="AF1530" s="147"/>
      <c r="AG1530" s="147"/>
      <c r="AH1530" s="147"/>
      <c r="AI1530" s="147"/>
      <c r="AJ1530" s="84"/>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row>
    <row r="1531" spans="1:59" ht="15.75" customHeight="1" x14ac:dyDescent="0.2">
      <c r="A1531" s="162"/>
      <c r="B1531" s="162"/>
      <c r="C1531" s="206"/>
      <c r="D1531" s="262"/>
      <c r="E1531" s="262"/>
      <c r="F1531" s="262"/>
      <c r="G1531" s="262"/>
      <c r="H1531" s="262"/>
      <c r="I1531" s="262"/>
      <c r="J1531" s="262"/>
      <c r="K1531" s="262"/>
      <c r="L1531" s="262"/>
      <c r="M1531" s="262"/>
      <c r="N1531" s="262"/>
      <c r="O1531" s="262"/>
      <c r="P1531" s="262"/>
      <c r="Q1531" s="262"/>
      <c r="R1531" s="262"/>
      <c r="S1531" s="262"/>
      <c r="T1531" s="262"/>
      <c r="U1531" s="262"/>
      <c r="V1531" s="262"/>
      <c r="W1531" s="262"/>
      <c r="X1531" s="262"/>
      <c r="Y1531" s="262"/>
      <c r="Z1531" s="262"/>
      <c r="AA1531" s="262"/>
      <c r="AB1531" s="262"/>
      <c r="AC1531" s="262"/>
      <c r="AD1531" s="262"/>
      <c r="AE1531" s="262"/>
      <c r="AF1531" s="147"/>
      <c r="AG1531" s="147"/>
      <c r="AH1531" s="147"/>
      <c r="AI1531" s="147"/>
      <c r="AJ1531" s="84"/>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row>
    <row r="1532" spans="1:59" ht="15.75" customHeight="1" x14ac:dyDescent="0.2">
      <c r="A1532" s="162"/>
      <c r="B1532" s="162"/>
      <c r="C1532" s="206"/>
      <c r="D1532" s="262"/>
      <c r="E1532" s="262"/>
      <c r="F1532" s="262"/>
      <c r="G1532" s="262"/>
      <c r="H1532" s="262"/>
      <c r="I1532" s="262"/>
      <c r="J1532" s="262"/>
      <c r="K1532" s="262"/>
      <c r="L1532" s="262"/>
      <c r="M1532" s="262"/>
      <c r="N1532" s="262"/>
      <c r="O1532" s="262"/>
      <c r="P1532" s="262"/>
      <c r="Q1532" s="262"/>
      <c r="R1532" s="262"/>
      <c r="S1532" s="262"/>
      <c r="T1532" s="262"/>
      <c r="U1532" s="262"/>
      <c r="V1532" s="262"/>
      <c r="W1532" s="262"/>
      <c r="X1532" s="262"/>
      <c r="Y1532" s="262"/>
      <c r="Z1532" s="262"/>
      <c r="AA1532" s="262"/>
      <c r="AB1532" s="262"/>
      <c r="AC1532" s="262"/>
      <c r="AD1532" s="262"/>
      <c r="AE1532" s="262"/>
      <c r="AF1532" s="147"/>
      <c r="AG1532" s="147"/>
      <c r="AH1532" s="147"/>
      <c r="AI1532" s="147"/>
      <c r="AJ1532" s="84"/>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row>
    <row r="1533" spans="1:59" ht="15.75" customHeight="1" x14ac:dyDescent="0.2">
      <c r="A1533" s="162"/>
      <c r="B1533" s="162"/>
      <c r="C1533" s="206"/>
      <c r="D1533" s="262"/>
      <c r="E1533" s="262"/>
      <c r="F1533" s="262"/>
      <c r="G1533" s="262"/>
      <c r="H1533" s="262"/>
      <c r="I1533" s="262"/>
      <c r="J1533" s="262"/>
      <c r="K1533" s="262"/>
      <c r="L1533" s="262"/>
      <c r="M1533" s="262"/>
      <c r="N1533" s="262"/>
      <c r="O1533" s="262"/>
      <c r="P1533" s="262"/>
      <c r="Q1533" s="262"/>
      <c r="R1533" s="262"/>
      <c r="S1533" s="262"/>
      <c r="T1533" s="262"/>
      <c r="U1533" s="262"/>
      <c r="V1533" s="262"/>
      <c r="W1533" s="262"/>
      <c r="X1533" s="262"/>
      <c r="Y1533" s="262"/>
      <c r="Z1533" s="262"/>
      <c r="AA1533" s="262"/>
      <c r="AB1533" s="262"/>
      <c r="AC1533" s="262"/>
      <c r="AD1533" s="262"/>
      <c r="AE1533" s="262"/>
      <c r="AF1533" s="147"/>
      <c r="AG1533" s="147"/>
      <c r="AH1533" s="147"/>
      <c r="AI1533" s="147"/>
      <c r="AJ1533" s="84"/>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row>
    <row r="1534" spans="1:59" ht="15.75" customHeight="1" x14ac:dyDescent="0.2">
      <c r="A1534" s="162"/>
      <c r="B1534" s="162"/>
      <c r="C1534" s="206"/>
      <c r="D1534" s="262"/>
      <c r="E1534" s="262"/>
      <c r="F1534" s="262"/>
      <c r="G1534" s="262"/>
      <c r="H1534" s="262"/>
      <c r="I1534" s="262"/>
      <c r="J1534" s="262"/>
      <c r="K1534" s="262"/>
      <c r="L1534" s="262"/>
      <c r="M1534" s="262"/>
      <c r="N1534" s="262"/>
      <c r="O1534" s="262"/>
      <c r="P1534" s="262"/>
      <c r="Q1534" s="262"/>
      <c r="R1534" s="262"/>
      <c r="S1534" s="262"/>
      <c r="T1534" s="262"/>
      <c r="U1534" s="262"/>
      <c r="V1534" s="262"/>
      <c r="W1534" s="262"/>
      <c r="X1534" s="262"/>
      <c r="Y1534" s="262"/>
      <c r="Z1534" s="262"/>
      <c r="AA1534" s="262"/>
      <c r="AB1534" s="262"/>
      <c r="AC1534" s="262"/>
      <c r="AD1534" s="262"/>
      <c r="AE1534" s="262"/>
      <c r="AF1534" s="147"/>
      <c r="AG1534" s="147"/>
      <c r="AH1534" s="147"/>
      <c r="AI1534" s="147"/>
      <c r="AJ1534" s="84"/>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row>
    <row r="1535" spans="1:59" ht="15.75" customHeight="1" x14ac:dyDescent="0.2">
      <c r="A1535" s="162"/>
      <c r="B1535" s="162"/>
      <c r="C1535" s="206"/>
      <c r="D1535" s="262"/>
      <c r="E1535" s="262"/>
      <c r="F1535" s="262"/>
      <c r="G1535" s="262"/>
      <c r="H1535" s="262"/>
      <c r="I1535" s="262"/>
      <c r="J1535" s="262"/>
      <c r="K1535" s="262"/>
      <c r="L1535" s="262"/>
      <c r="M1535" s="262"/>
      <c r="N1535" s="262"/>
      <c r="O1535" s="262"/>
      <c r="P1535" s="262"/>
      <c r="Q1535" s="262"/>
      <c r="R1535" s="262"/>
      <c r="S1535" s="262"/>
      <c r="T1535" s="262"/>
      <c r="U1535" s="262"/>
      <c r="V1535" s="262"/>
      <c r="W1535" s="262"/>
      <c r="X1535" s="262"/>
      <c r="Y1535" s="262"/>
      <c r="Z1535" s="262"/>
      <c r="AA1535" s="262"/>
      <c r="AB1535" s="262"/>
      <c r="AC1535" s="262"/>
      <c r="AD1535" s="262"/>
      <c r="AE1535" s="262"/>
      <c r="AF1535" s="147"/>
      <c r="AG1535" s="147"/>
      <c r="AH1535" s="147"/>
      <c r="AI1535" s="147"/>
      <c r="AJ1535" s="84"/>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row>
    <row r="1536" spans="1:59" ht="15.75" customHeight="1" x14ac:dyDescent="0.2">
      <c r="A1536" s="162"/>
      <c r="B1536" s="162"/>
      <c r="C1536" s="206"/>
      <c r="D1536" s="262"/>
      <c r="E1536" s="262"/>
      <c r="F1536" s="262"/>
      <c r="G1536" s="262"/>
      <c r="H1536" s="262"/>
      <c r="I1536" s="262"/>
      <c r="J1536" s="262"/>
      <c r="K1536" s="262"/>
      <c r="L1536" s="262"/>
      <c r="M1536" s="262"/>
      <c r="N1536" s="262"/>
      <c r="O1536" s="262"/>
      <c r="P1536" s="262"/>
      <c r="Q1536" s="262"/>
      <c r="R1536" s="262"/>
      <c r="S1536" s="262"/>
      <c r="T1536" s="262"/>
      <c r="U1536" s="262"/>
      <c r="V1536" s="262"/>
      <c r="W1536" s="262"/>
      <c r="X1536" s="262"/>
      <c r="Y1536" s="262"/>
      <c r="Z1536" s="262"/>
      <c r="AA1536" s="262"/>
      <c r="AB1536" s="262"/>
      <c r="AC1536" s="262"/>
      <c r="AD1536" s="262"/>
      <c r="AE1536" s="262"/>
      <c r="AF1536" s="147"/>
      <c r="AG1536" s="147"/>
      <c r="AH1536" s="147"/>
      <c r="AI1536" s="147"/>
      <c r="AJ1536" s="84"/>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row>
    <row r="1537" spans="1:59" ht="15.75" customHeight="1" x14ac:dyDescent="0.2">
      <c r="A1537" s="162"/>
      <c r="B1537" s="162"/>
      <c r="C1537" s="206"/>
      <c r="D1537" s="262"/>
      <c r="E1537" s="262"/>
      <c r="F1537" s="262"/>
      <c r="G1537" s="262"/>
      <c r="H1537" s="262"/>
      <c r="I1537" s="262"/>
      <c r="J1537" s="262"/>
      <c r="K1537" s="262"/>
      <c r="L1537" s="262"/>
      <c r="M1537" s="262"/>
      <c r="N1537" s="262"/>
      <c r="O1537" s="262"/>
      <c r="P1537" s="262"/>
      <c r="Q1537" s="262"/>
      <c r="R1537" s="262"/>
      <c r="S1537" s="262"/>
      <c r="T1537" s="262"/>
      <c r="U1537" s="262"/>
      <c r="V1537" s="262"/>
      <c r="W1537" s="262"/>
      <c r="X1537" s="262"/>
      <c r="Y1537" s="262"/>
      <c r="Z1537" s="262"/>
      <c r="AA1537" s="262"/>
      <c r="AB1537" s="262"/>
      <c r="AC1537" s="262"/>
      <c r="AD1537" s="262"/>
      <c r="AE1537" s="262"/>
      <c r="AF1537" s="147"/>
      <c r="AG1537" s="147"/>
      <c r="AH1537" s="147"/>
      <c r="AI1537" s="147"/>
      <c r="AJ1537" s="84"/>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row>
    <row r="1538" spans="1:59" ht="15.75" customHeight="1" x14ac:dyDescent="0.2">
      <c r="A1538" s="162"/>
      <c r="B1538" s="162"/>
      <c r="C1538" s="206"/>
      <c r="D1538" s="262"/>
      <c r="E1538" s="262"/>
      <c r="F1538" s="262"/>
      <c r="G1538" s="262"/>
      <c r="H1538" s="262"/>
      <c r="I1538" s="262"/>
      <c r="J1538" s="262"/>
      <c r="K1538" s="262"/>
      <c r="L1538" s="262"/>
      <c r="M1538" s="262"/>
      <c r="N1538" s="262"/>
      <c r="O1538" s="262"/>
      <c r="P1538" s="262"/>
      <c r="Q1538" s="262"/>
      <c r="R1538" s="262"/>
      <c r="S1538" s="262"/>
      <c r="T1538" s="262"/>
      <c r="U1538" s="262"/>
      <c r="V1538" s="262"/>
      <c r="W1538" s="262"/>
      <c r="X1538" s="262"/>
      <c r="Y1538" s="262"/>
      <c r="Z1538" s="262"/>
      <c r="AA1538" s="262"/>
      <c r="AB1538" s="262"/>
      <c r="AC1538" s="262"/>
      <c r="AD1538" s="262"/>
      <c r="AE1538" s="262"/>
      <c r="AF1538" s="147"/>
      <c r="AG1538" s="147"/>
      <c r="AH1538" s="147"/>
      <c r="AI1538" s="147"/>
      <c r="AJ1538" s="84"/>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row>
    <row r="1539" spans="1:59" ht="15.75" customHeight="1" x14ac:dyDescent="0.2">
      <c r="A1539" s="162"/>
      <c r="B1539" s="162"/>
      <c r="C1539" s="206"/>
      <c r="D1539" s="262"/>
      <c r="E1539" s="262"/>
      <c r="F1539" s="262"/>
      <c r="G1539" s="262"/>
      <c r="H1539" s="262"/>
      <c r="I1539" s="262"/>
      <c r="J1539" s="262"/>
      <c r="K1539" s="262"/>
      <c r="L1539" s="262"/>
      <c r="M1539" s="262"/>
      <c r="N1539" s="262"/>
      <c r="O1539" s="262"/>
      <c r="P1539" s="262"/>
      <c r="Q1539" s="262"/>
      <c r="R1539" s="262"/>
      <c r="S1539" s="262"/>
      <c r="T1539" s="262"/>
      <c r="U1539" s="262"/>
      <c r="V1539" s="262"/>
      <c r="W1539" s="262"/>
      <c r="X1539" s="262"/>
      <c r="Y1539" s="262"/>
      <c r="Z1539" s="262"/>
      <c r="AA1539" s="262"/>
      <c r="AB1539" s="262"/>
      <c r="AC1539" s="262"/>
      <c r="AD1539" s="262"/>
      <c r="AE1539" s="262"/>
      <c r="AF1539" s="147"/>
      <c r="AG1539" s="147"/>
      <c r="AH1539" s="147"/>
      <c r="AI1539" s="147"/>
      <c r="AJ1539" s="84"/>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row>
    <row r="1540" spans="1:59" ht="15.75" customHeight="1" x14ac:dyDescent="0.2">
      <c r="A1540" s="162"/>
      <c r="B1540" s="162"/>
      <c r="C1540" s="206"/>
      <c r="D1540" s="262"/>
      <c r="E1540" s="262"/>
      <c r="F1540" s="262"/>
      <c r="G1540" s="262"/>
      <c r="H1540" s="262"/>
      <c r="I1540" s="262"/>
      <c r="J1540" s="262"/>
      <c r="K1540" s="262"/>
      <c r="L1540" s="262"/>
      <c r="M1540" s="262"/>
      <c r="N1540" s="262"/>
      <c r="O1540" s="262"/>
      <c r="P1540" s="262"/>
      <c r="Q1540" s="262"/>
      <c r="R1540" s="262"/>
      <c r="S1540" s="262"/>
      <c r="T1540" s="262"/>
      <c r="U1540" s="262"/>
      <c r="V1540" s="262"/>
      <c r="W1540" s="262"/>
      <c r="X1540" s="262"/>
      <c r="Y1540" s="262"/>
      <c r="Z1540" s="262"/>
      <c r="AA1540" s="262"/>
      <c r="AB1540" s="262"/>
      <c r="AC1540" s="262"/>
      <c r="AD1540" s="262"/>
      <c r="AE1540" s="262"/>
      <c r="AF1540" s="147"/>
      <c r="AG1540" s="147"/>
      <c r="AH1540" s="147"/>
      <c r="AI1540" s="147"/>
      <c r="AJ1540" s="84"/>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row>
    <row r="1541" spans="1:59" ht="15.75" customHeight="1" x14ac:dyDescent="0.2">
      <c r="A1541" s="162"/>
      <c r="B1541" s="162"/>
      <c r="C1541" s="206"/>
      <c r="D1541" s="262"/>
      <c r="E1541" s="262"/>
      <c r="F1541" s="262"/>
      <c r="G1541" s="262"/>
      <c r="H1541" s="262"/>
      <c r="I1541" s="262"/>
      <c r="J1541" s="262"/>
      <c r="K1541" s="262"/>
      <c r="L1541" s="262"/>
      <c r="M1541" s="262"/>
      <c r="N1541" s="262"/>
      <c r="O1541" s="262"/>
      <c r="P1541" s="262"/>
      <c r="Q1541" s="262"/>
      <c r="R1541" s="262"/>
      <c r="S1541" s="262"/>
      <c r="T1541" s="262"/>
      <c r="U1541" s="262"/>
      <c r="V1541" s="262"/>
      <c r="W1541" s="262"/>
      <c r="X1541" s="262"/>
      <c r="Y1541" s="262"/>
      <c r="Z1541" s="262"/>
      <c r="AA1541" s="262"/>
      <c r="AB1541" s="262"/>
      <c r="AC1541" s="262"/>
      <c r="AD1541" s="262"/>
      <c r="AE1541" s="262"/>
      <c r="AF1541" s="147"/>
      <c r="AG1541" s="147"/>
      <c r="AH1541" s="147"/>
      <c r="AI1541" s="147"/>
      <c r="AJ1541" s="84"/>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row>
    <row r="1542" spans="1:59" ht="15.75" customHeight="1" x14ac:dyDescent="0.2">
      <c r="A1542" s="162"/>
      <c r="B1542" s="162"/>
      <c r="C1542" s="206"/>
      <c r="D1542" s="262"/>
      <c r="E1542" s="262"/>
      <c r="F1542" s="262"/>
      <c r="G1542" s="262"/>
      <c r="H1542" s="262"/>
      <c r="I1542" s="262"/>
      <c r="J1542" s="262"/>
      <c r="K1542" s="262"/>
      <c r="L1542" s="262"/>
      <c r="M1542" s="262"/>
      <c r="N1542" s="262"/>
      <c r="O1542" s="262"/>
      <c r="P1542" s="262"/>
      <c r="Q1542" s="262"/>
      <c r="R1542" s="262"/>
      <c r="S1542" s="262"/>
      <c r="T1542" s="262"/>
      <c r="U1542" s="262"/>
      <c r="V1542" s="262"/>
      <c r="W1542" s="262"/>
      <c r="X1542" s="262"/>
      <c r="Y1542" s="262"/>
      <c r="Z1542" s="262"/>
      <c r="AA1542" s="262"/>
      <c r="AB1542" s="262"/>
      <c r="AC1542" s="262"/>
      <c r="AD1542" s="262"/>
      <c r="AE1542" s="262"/>
      <c r="AF1542" s="147"/>
      <c r="AG1542" s="147"/>
      <c r="AH1542" s="147"/>
      <c r="AI1542" s="147"/>
      <c r="AJ1542" s="84"/>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row>
    <row r="1543" spans="1:59" ht="15.75" customHeight="1" x14ac:dyDescent="0.2">
      <c r="A1543" s="162"/>
      <c r="B1543" s="162"/>
      <c r="C1543" s="206"/>
      <c r="D1543" s="262"/>
      <c r="E1543" s="262"/>
      <c r="F1543" s="262"/>
      <c r="G1543" s="262"/>
      <c r="H1543" s="262"/>
      <c r="I1543" s="262"/>
      <c r="J1543" s="262"/>
      <c r="K1543" s="262"/>
      <c r="L1543" s="262"/>
      <c r="M1543" s="262"/>
      <c r="N1543" s="262"/>
      <c r="O1543" s="262"/>
      <c r="P1543" s="262"/>
      <c r="Q1543" s="262"/>
      <c r="R1543" s="262"/>
      <c r="S1543" s="262"/>
      <c r="T1543" s="262"/>
      <c r="U1543" s="262"/>
      <c r="V1543" s="262"/>
      <c r="W1543" s="262"/>
      <c r="X1543" s="262"/>
      <c r="Y1543" s="262"/>
      <c r="Z1543" s="262"/>
      <c r="AA1543" s="262"/>
      <c r="AB1543" s="262"/>
      <c r="AC1543" s="262"/>
      <c r="AD1543" s="262"/>
      <c r="AE1543" s="262"/>
      <c r="AF1543" s="147"/>
      <c r="AG1543" s="147"/>
      <c r="AH1543" s="147"/>
      <c r="AI1543" s="147"/>
      <c r="AJ1543" s="84"/>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row>
    <row r="1544" spans="1:59" ht="15.75" customHeight="1" x14ac:dyDescent="0.2">
      <c r="A1544" s="162"/>
      <c r="B1544" s="162"/>
      <c r="C1544" s="206"/>
      <c r="D1544" s="262"/>
      <c r="E1544" s="262"/>
      <c r="F1544" s="262"/>
      <c r="G1544" s="262"/>
      <c r="H1544" s="262"/>
      <c r="I1544" s="262"/>
      <c r="J1544" s="262"/>
      <c r="K1544" s="262"/>
      <c r="L1544" s="262"/>
      <c r="M1544" s="262"/>
      <c r="N1544" s="262"/>
      <c r="O1544" s="262"/>
      <c r="P1544" s="262"/>
      <c r="Q1544" s="262"/>
      <c r="R1544" s="262"/>
      <c r="S1544" s="262"/>
      <c r="T1544" s="262"/>
      <c r="U1544" s="262"/>
      <c r="V1544" s="262"/>
      <c r="W1544" s="262"/>
      <c r="X1544" s="262"/>
      <c r="Y1544" s="262"/>
      <c r="Z1544" s="262"/>
      <c r="AA1544" s="262"/>
      <c r="AB1544" s="262"/>
      <c r="AC1544" s="262"/>
      <c r="AD1544" s="262"/>
      <c r="AE1544" s="262"/>
      <c r="AF1544" s="147"/>
      <c r="AG1544" s="147"/>
      <c r="AH1544" s="147"/>
      <c r="AI1544" s="147"/>
      <c r="AJ1544" s="84"/>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row>
    <row r="1545" spans="1:59" ht="15.75" customHeight="1" x14ac:dyDescent="0.2">
      <c r="A1545" s="162"/>
      <c r="B1545" s="162"/>
      <c r="C1545" s="206"/>
      <c r="D1545" s="262"/>
      <c r="E1545" s="262"/>
      <c r="F1545" s="262"/>
      <c r="G1545" s="262"/>
      <c r="H1545" s="262"/>
      <c r="I1545" s="262"/>
      <c r="J1545" s="262"/>
      <c r="K1545" s="262"/>
      <c r="L1545" s="262"/>
      <c r="M1545" s="262"/>
      <c r="N1545" s="262"/>
      <c r="O1545" s="262"/>
      <c r="P1545" s="262"/>
      <c r="Q1545" s="262"/>
      <c r="R1545" s="262"/>
      <c r="S1545" s="262"/>
      <c r="T1545" s="262"/>
      <c r="U1545" s="262"/>
      <c r="V1545" s="262"/>
      <c r="W1545" s="262"/>
      <c r="X1545" s="262"/>
      <c r="Y1545" s="262"/>
      <c r="Z1545" s="262"/>
      <c r="AA1545" s="262"/>
      <c r="AB1545" s="262"/>
      <c r="AC1545" s="262"/>
      <c r="AD1545" s="262"/>
      <c r="AE1545" s="262"/>
      <c r="AF1545" s="147"/>
      <c r="AG1545" s="147"/>
      <c r="AH1545" s="147"/>
      <c r="AI1545" s="147"/>
      <c r="AJ1545" s="84"/>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row>
    <row r="1546" spans="1:59" ht="15.75" customHeight="1" x14ac:dyDescent="0.2">
      <c r="A1546" s="162"/>
      <c r="B1546" s="162"/>
      <c r="C1546" s="206"/>
      <c r="D1546" s="262"/>
      <c r="E1546" s="262"/>
      <c r="F1546" s="262"/>
      <c r="G1546" s="262"/>
      <c r="H1546" s="262"/>
      <c r="I1546" s="262"/>
      <c r="J1546" s="262"/>
      <c r="K1546" s="262"/>
      <c r="L1546" s="262"/>
      <c r="M1546" s="262"/>
      <c r="N1546" s="262"/>
      <c r="O1546" s="262"/>
      <c r="P1546" s="262"/>
      <c r="Q1546" s="262"/>
      <c r="R1546" s="262"/>
      <c r="S1546" s="262"/>
      <c r="T1546" s="262"/>
      <c r="U1546" s="262"/>
      <c r="V1546" s="262"/>
      <c r="W1546" s="262"/>
      <c r="X1546" s="262"/>
      <c r="Y1546" s="262"/>
      <c r="Z1546" s="262"/>
      <c r="AA1546" s="262"/>
      <c r="AB1546" s="262"/>
      <c r="AC1546" s="262"/>
      <c r="AD1546" s="262"/>
      <c r="AE1546" s="262"/>
      <c r="AF1546" s="147"/>
      <c r="AG1546" s="147"/>
      <c r="AH1546" s="147"/>
      <c r="AI1546" s="147"/>
      <c r="AJ1546" s="84"/>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row>
    <row r="1547" spans="1:59" ht="15.75" customHeight="1" x14ac:dyDescent="0.2">
      <c r="A1547" s="162"/>
      <c r="B1547" s="162"/>
      <c r="C1547" s="206"/>
      <c r="D1547" s="262"/>
      <c r="E1547" s="262"/>
      <c r="F1547" s="262"/>
      <c r="G1547" s="262"/>
      <c r="H1547" s="262"/>
      <c r="I1547" s="262"/>
      <c r="J1547" s="262"/>
      <c r="K1547" s="262"/>
      <c r="L1547" s="262"/>
      <c r="M1547" s="262"/>
      <c r="N1547" s="262"/>
      <c r="O1547" s="262"/>
      <c r="P1547" s="262"/>
      <c r="Q1547" s="262"/>
      <c r="R1547" s="262"/>
      <c r="S1547" s="262"/>
      <c r="T1547" s="262"/>
      <c r="U1547" s="262"/>
      <c r="V1547" s="262"/>
      <c r="W1547" s="262"/>
      <c r="X1547" s="262"/>
      <c r="Y1547" s="262"/>
      <c r="Z1547" s="262"/>
      <c r="AA1547" s="262"/>
      <c r="AB1547" s="262"/>
      <c r="AC1547" s="262"/>
      <c r="AD1547" s="262"/>
      <c r="AE1547" s="262"/>
      <c r="AF1547" s="147"/>
      <c r="AG1547" s="147"/>
      <c r="AH1547" s="147"/>
      <c r="AI1547" s="147"/>
      <c r="AJ1547" s="84"/>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row>
    <row r="1548" spans="1:59" ht="15.75" customHeight="1" x14ac:dyDescent="0.2">
      <c r="A1548" s="162"/>
      <c r="B1548" s="162"/>
      <c r="C1548" s="206"/>
      <c r="D1548" s="262"/>
      <c r="E1548" s="262"/>
      <c r="F1548" s="262"/>
      <c r="G1548" s="262"/>
      <c r="H1548" s="262"/>
      <c r="I1548" s="262"/>
      <c r="J1548" s="262"/>
      <c r="K1548" s="262"/>
      <c r="L1548" s="262"/>
      <c r="M1548" s="262"/>
      <c r="N1548" s="262"/>
      <c r="O1548" s="262"/>
      <c r="P1548" s="262"/>
      <c r="Q1548" s="262"/>
      <c r="R1548" s="262"/>
      <c r="S1548" s="262"/>
      <c r="T1548" s="262"/>
      <c r="U1548" s="262"/>
      <c r="V1548" s="262"/>
      <c r="W1548" s="262"/>
      <c r="X1548" s="262"/>
      <c r="Y1548" s="262"/>
      <c r="Z1548" s="262"/>
      <c r="AA1548" s="262"/>
      <c r="AB1548" s="262"/>
      <c r="AC1548" s="262"/>
      <c r="AD1548" s="262"/>
      <c r="AE1548" s="262"/>
      <c r="AF1548" s="147"/>
      <c r="AG1548" s="147"/>
      <c r="AH1548" s="147"/>
      <c r="AI1548" s="147"/>
      <c r="AJ1548" s="84"/>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row>
    <row r="1549" spans="1:59" ht="15.75" customHeight="1" x14ac:dyDescent="0.2">
      <c r="A1549" s="162"/>
      <c r="B1549" s="162"/>
      <c r="C1549" s="206"/>
      <c r="D1549" s="262"/>
      <c r="E1549" s="262"/>
      <c r="F1549" s="262"/>
      <c r="G1549" s="262"/>
      <c r="H1549" s="262"/>
      <c r="I1549" s="262"/>
      <c r="J1549" s="262"/>
      <c r="K1549" s="262"/>
      <c r="L1549" s="262"/>
      <c r="M1549" s="262"/>
      <c r="N1549" s="262"/>
      <c r="O1549" s="262"/>
      <c r="P1549" s="262"/>
      <c r="Q1549" s="262"/>
      <c r="R1549" s="262"/>
      <c r="S1549" s="262"/>
      <c r="T1549" s="262"/>
      <c r="U1549" s="262"/>
      <c r="V1549" s="262"/>
      <c r="W1549" s="262"/>
      <c r="X1549" s="262"/>
      <c r="Y1549" s="262"/>
      <c r="Z1549" s="262"/>
      <c r="AA1549" s="262"/>
      <c r="AB1549" s="262"/>
      <c r="AC1549" s="262"/>
      <c r="AD1549" s="262"/>
      <c r="AE1549" s="262"/>
      <c r="AF1549" s="147"/>
      <c r="AG1549" s="147"/>
      <c r="AH1549" s="147"/>
      <c r="AI1549" s="147"/>
      <c r="AJ1549" s="84"/>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row>
    <row r="1550" spans="1:59" ht="15.75" customHeight="1" x14ac:dyDescent="0.2">
      <c r="A1550" s="162"/>
      <c r="B1550" s="162"/>
      <c r="C1550" s="206"/>
      <c r="D1550" s="262"/>
      <c r="E1550" s="262"/>
      <c r="F1550" s="262"/>
      <c r="G1550" s="262"/>
      <c r="H1550" s="262"/>
      <c r="I1550" s="262"/>
      <c r="J1550" s="262"/>
      <c r="K1550" s="262"/>
      <c r="L1550" s="262"/>
      <c r="M1550" s="262"/>
      <c r="N1550" s="262"/>
      <c r="O1550" s="262"/>
      <c r="P1550" s="262"/>
      <c r="Q1550" s="262"/>
      <c r="R1550" s="262"/>
      <c r="S1550" s="262"/>
      <c r="T1550" s="262"/>
      <c r="U1550" s="262"/>
      <c r="V1550" s="262"/>
      <c r="W1550" s="262"/>
      <c r="X1550" s="262"/>
      <c r="Y1550" s="262"/>
      <c r="Z1550" s="262"/>
      <c r="AA1550" s="262"/>
      <c r="AB1550" s="262"/>
      <c r="AC1550" s="262"/>
      <c r="AD1550" s="262"/>
      <c r="AE1550" s="262"/>
      <c r="AF1550" s="147"/>
      <c r="AG1550" s="147"/>
      <c r="AH1550" s="147"/>
      <c r="AI1550" s="147"/>
      <c r="AJ1550" s="84"/>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row>
    <row r="1551" spans="1:59" ht="15.75" customHeight="1" x14ac:dyDescent="0.2">
      <c r="A1551" s="162"/>
      <c r="B1551" s="162"/>
      <c r="C1551" s="206"/>
      <c r="D1551" s="262"/>
      <c r="E1551" s="262"/>
      <c r="F1551" s="262"/>
      <c r="G1551" s="262"/>
      <c r="H1551" s="262"/>
      <c r="I1551" s="262"/>
      <c r="J1551" s="262"/>
      <c r="K1551" s="262"/>
      <c r="L1551" s="262"/>
      <c r="M1551" s="262"/>
      <c r="N1551" s="262"/>
      <c r="O1551" s="262"/>
      <c r="P1551" s="262"/>
      <c r="Q1551" s="262"/>
      <c r="R1551" s="262"/>
      <c r="S1551" s="262"/>
      <c r="T1551" s="262"/>
      <c r="U1551" s="262"/>
      <c r="V1551" s="262"/>
      <c r="W1551" s="262"/>
      <c r="X1551" s="262"/>
      <c r="Y1551" s="262"/>
      <c r="Z1551" s="262"/>
      <c r="AA1551" s="262"/>
      <c r="AB1551" s="262"/>
      <c r="AC1551" s="262"/>
      <c r="AD1551" s="262"/>
      <c r="AE1551" s="262"/>
      <c r="AF1551" s="147"/>
      <c r="AG1551" s="147"/>
      <c r="AH1551" s="147"/>
      <c r="AI1551" s="147"/>
      <c r="AJ1551" s="84"/>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row>
    <row r="1552" spans="1:59" ht="15.75" customHeight="1" x14ac:dyDescent="0.2">
      <c r="A1552" s="162"/>
      <c r="B1552" s="162"/>
      <c r="C1552" s="206"/>
      <c r="D1552" s="262"/>
      <c r="E1552" s="262"/>
      <c r="F1552" s="262"/>
      <c r="G1552" s="262"/>
      <c r="H1552" s="262"/>
      <c r="I1552" s="262"/>
      <c r="J1552" s="262"/>
      <c r="K1552" s="262"/>
      <c r="L1552" s="262"/>
      <c r="M1552" s="262"/>
      <c r="N1552" s="262"/>
      <c r="O1552" s="262"/>
      <c r="P1552" s="262"/>
      <c r="Q1552" s="262"/>
      <c r="R1552" s="262"/>
      <c r="S1552" s="262"/>
      <c r="T1552" s="262"/>
      <c r="U1552" s="262"/>
      <c r="V1552" s="262"/>
      <c r="W1552" s="262"/>
      <c r="X1552" s="262"/>
      <c r="Y1552" s="262"/>
      <c r="Z1552" s="262"/>
      <c r="AA1552" s="262"/>
      <c r="AB1552" s="262"/>
      <c r="AC1552" s="262"/>
      <c r="AD1552" s="262"/>
      <c r="AE1552" s="262"/>
      <c r="AF1552" s="147"/>
      <c r="AG1552" s="147"/>
      <c r="AH1552" s="147"/>
      <c r="AI1552" s="147"/>
      <c r="AJ1552" s="84"/>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row>
    <row r="1553" spans="1:59" ht="15.75" customHeight="1" x14ac:dyDescent="0.2">
      <c r="A1553" s="162"/>
      <c r="B1553" s="162"/>
      <c r="C1553" s="206"/>
      <c r="D1553" s="262"/>
      <c r="E1553" s="262"/>
      <c r="F1553" s="262"/>
      <c r="G1553" s="262"/>
      <c r="H1553" s="262"/>
      <c r="I1553" s="262"/>
      <c r="J1553" s="262"/>
      <c r="K1553" s="262"/>
      <c r="L1553" s="262"/>
      <c r="M1553" s="262"/>
      <c r="N1553" s="262"/>
      <c r="O1553" s="262"/>
      <c r="P1553" s="262"/>
      <c r="Q1553" s="262"/>
      <c r="R1553" s="262"/>
      <c r="S1553" s="262"/>
      <c r="T1553" s="262"/>
      <c r="U1553" s="262"/>
      <c r="V1553" s="262"/>
      <c r="W1553" s="262"/>
      <c r="X1553" s="262"/>
      <c r="Y1553" s="262"/>
      <c r="Z1553" s="262"/>
      <c r="AA1553" s="262"/>
      <c r="AB1553" s="262"/>
      <c r="AC1553" s="262"/>
      <c r="AD1553" s="262"/>
      <c r="AE1553" s="262"/>
      <c r="AF1553" s="147"/>
      <c r="AG1553" s="147"/>
      <c r="AH1553" s="147"/>
      <c r="AI1553" s="147"/>
      <c r="AJ1553" s="84"/>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row>
    <row r="1554" spans="1:59" ht="15.75" customHeight="1" x14ac:dyDescent="0.2">
      <c r="A1554" s="162"/>
      <c r="B1554" s="162"/>
      <c r="C1554" s="206"/>
      <c r="D1554" s="262"/>
      <c r="E1554" s="262"/>
      <c r="F1554" s="262"/>
      <c r="G1554" s="262"/>
      <c r="H1554" s="262"/>
      <c r="I1554" s="262"/>
      <c r="J1554" s="262"/>
      <c r="K1554" s="262"/>
      <c r="L1554" s="262"/>
      <c r="M1554" s="262"/>
      <c r="N1554" s="262"/>
      <c r="O1554" s="262"/>
      <c r="P1554" s="262"/>
      <c r="Q1554" s="262"/>
      <c r="R1554" s="262"/>
      <c r="S1554" s="262"/>
      <c r="T1554" s="262"/>
      <c r="U1554" s="262"/>
      <c r="V1554" s="262"/>
      <c r="W1554" s="262"/>
      <c r="X1554" s="262"/>
      <c r="Y1554" s="262"/>
      <c r="Z1554" s="262"/>
      <c r="AA1554" s="262"/>
      <c r="AB1554" s="262"/>
      <c r="AC1554" s="262"/>
      <c r="AD1554" s="262"/>
      <c r="AE1554" s="262"/>
      <c r="AF1554" s="147"/>
      <c r="AG1554" s="147"/>
      <c r="AH1554" s="147"/>
      <c r="AI1554" s="147"/>
      <c r="AJ1554" s="84"/>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row>
    <row r="1555" spans="1:59" ht="15.75" customHeight="1" x14ac:dyDescent="0.2">
      <c r="A1555" s="162"/>
      <c r="B1555" s="162"/>
      <c r="C1555" s="206"/>
      <c r="D1555" s="262"/>
      <c r="E1555" s="262"/>
      <c r="F1555" s="262"/>
      <c r="G1555" s="262"/>
      <c r="H1555" s="262"/>
      <c r="I1555" s="262"/>
      <c r="J1555" s="262"/>
      <c r="K1555" s="262"/>
      <c r="L1555" s="262"/>
      <c r="M1555" s="262"/>
      <c r="N1555" s="262"/>
      <c r="O1555" s="262"/>
      <c r="P1555" s="262"/>
      <c r="Q1555" s="262"/>
      <c r="R1555" s="262"/>
      <c r="S1555" s="262"/>
      <c r="T1555" s="262"/>
      <c r="U1555" s="262"/>
      <c r="V1555" s="262"/>
      <c r="W1555" s="262"/>
      <c r="X1555" s="262"/>
      <c r="Y1555" s="262"/>
      <c r="Z1555" s="262"/>
      <c r="AA1555" s="262"/>
      <c r="AB1555" s="262"/>
      <c r="AC1555" s="262"/>
      <c r="AD1555" s="262"/>
      <c r="AE1555" s="262"/>
      <c r="AF1555" s="147"/>
      <c r="AG1555" s="147"/>
      <c r="AH1555" s="147"/>
      <c r="AI1555" s="147"/>
      <c r="AJ1555" s="84"/>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row>
    <row r="1556" spans="1:59" ht="15.75" customHeight="1" x14ac:dyDescent="0.2">
      <c r="A1556" s="162"/>
      <c r="B1556" s="162"/>
      <c r="C1556" s="206"/>
      <c r="D1556" s="262"/>
      <c r="E1556" s="262"/>
      <c r="F1556" s="262"/>
      <c r="G1556" s="262"/>
      <c r="H1556" s="262"/>
      <c r="I1556" s="262"/>
      <c r="J1556" s="262"/>
      <c r="K1556" s="262"/>
      <c r="L1556" s="262"/>
      <c r="M1556" s="262"/>
      <c r="N1556" s="262"/>
      <c r="O1556" s="262"/>
      <c r="P1556" s="262"/>
      <c r="Q1556" s="262"/>
      <c r="R1556" s="262"/>
      <c r="S1556" s="262"/>
      <c r="T1556" s="262"/>
      <c r="U1556" s="262"/>
      <c r="V1556" s="262"/>
      <c r="W1556" s="262"/>
      <c r="X1556" s="262"/>
      <c r="Y1556" s="262"/>
      <c r="Z1556" s="262"/>
      <c r="AA1556" s="262"/>
      <c r="AB1556" s="262"/>
      <c r="AC1556" s="262"/>
      <c r="AD1556" s="262"/>
      <c r="AE1556" s="262"/>
      <c r="AF1556" s="147"/>
      <c r="AG1556" s="147"/>
      <c r="AH1556" s="147"/>
      <c r="AI1556" s="147"/>
      <c r="AJ1556" s="84"/>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row>
    <row r="1557" spans="1:59" ht="15.75" customHeight="1" x14ac:dyDescent="0.2">
      <c r="A1557" s="162"/>
      <c r="B1557" s="162"/>
      <c r="C1557" s="206"/>
      <c r="D1557" s="262"/>
      <c r="E1557" s="262"/>
      <c r="F1557" s="262"/>
      <c r="G1557" s="262"/>
      <c r="H1557" s="262"/>
      <c r="I1557" s="262"/>
      <c r="J1557" s="262"/>
      <c r="K1557" s="262"/>
      <c r="L1557" s="262"/>
      <c r="M1557" s="262"/>
      <c r="N1557" s="262"/>
      <c r="O1557" s="262"/>
      <c r="P1557" s="262"/>
      <c r="Q1557" s="262"/>
      <c r="R1557" s="262"/>
      <c r="S1557" s="262"/>
      <c r="T1557" s="262"/>
      <c r="U1557" s="262"/>
      <c r="V1557" s="262"/>
      <c r="W1557" s="262"/>
      <c r="X1557" s="262"/>
      <c r="Y1557" s="262"/>
      <c r="Z1557" s="262"/>
      <c r="AA1557" s="262"/>
      <c r="AB1557" s="262"/>
      <c r="AC1557" s="262"/>
      <c r="AD1557" s="262"/>
      <c r="AE1557" s="262"/>
      <c r="AF1557" s="147"/>
      <c r="AG1557" s="147"/>
      <c r="AH1557" s="147"/>
      <c r="AI1557" s="147"/>
      <c r="AJ1557" s="84"/>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row>
    <row r="1558" spans="1:59" ht="15.75" customHeight="1" x14ac:dyDescent="0.2">
      <c r="A1558" s="162"/>
      <c r="B1558" s="162"/>
      <c r="C1558" s="206"/>
      <c r="D1558" s="262"/>
      <c r="E1558" s="262"/>
      <c r="F1558" s="262"/>
      <c r="G1558" s="262"/>
      <c r="H1558" s="262"/>
      <c r="I1558" s="262"/>
      <c r="J1558" s="262"/>
      <c r="K1558" s="262"/>
      <c r="L1558" s="262"/>
      <c r="M1558" s="262"/>
      <c r="N1558" s="262"/>
      <c r="O1558" s="262"/>
      <c r="P1558" s="262"/>
      <c r="Q1558" s="262"/>
      <c r="R1558" s="262"/>
      <c r="S1558" s="262"/>
      <c r="T1558" s="262"/>
      <c r="U1558" s="262"/>
      <c r="V1558" s="262"/>
      <c r="W1558" s="262"/>
      <c r="X1558" s="262"/>
      <c r="Y1558" s="262"/>
      <c r="Z1558" s="262"/>
      <c r="AA1558" s="262"/>
      <c r="AB1558" s="262"/>
      <c r="AC1558" s="262"/>
      <c r="AD1558" s="262"/>
      <c r="AE1558" s="262"/>
      <c r="AF1558" s="147"/>
      <c r="AG1558" s="147"/>
      <c r="AH1558" s="147"/>
      <c r="AI1558" s="147"/>
      <c r="AJ1558" s="84"/>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row>
    <row r="1559" spans="1:59" ht="15.75" customHeight="1" x14ac:dyDescent="0.2">
      <c r="A1559" s="162"/>
      <c r="B1559" s="162"/>
      <c r="C1559" s="206"/>
      <c r="D1559" s="262"/>
      <c r="E1559" s="262"/>
      <c r="F1559" s="262"/>
      <c r="G1559" s="262"/>
      <c r="H1559" s="262"/>
      <c r="I1559" s="262"/>
      <c r="J1559" s="262"/>
      <c r="K1559" s="262"/>
      <c r="L1559" s="262"/>
      <c r="M1559" s="262"/>
      <c r="N1559" s="262"/>
      <c r="O1559" s="262"/>
      <c r="P1559" s="262"/>
      <c r="Q1559" s="262"/>
      <c r="R1559" s="262"/>
      <c r="S1559" s="262"/>
      <c r="T1559" s="262"/>
      <c r="U1559" s="262"/>
      <c r="V1559" s="262"/>
      <c r="W1559" s="262"/>
      <c r="X1559" s="262"/>
      <c r="Y1559" s="262"/>
      <c r="Z1559" s="262"/>
      <c r="AA1559" s="262"/>
      <c r="AB1559" s="262"/>
      <c r="AC1559" s="262"/>
      <c r="AD1559" s="262"/>
      <c r="AE1559" s="262"/>
      <c r="AF1559" s="147"/>
      <c r="AG1559" s="147"/>
      <c r="AH1559" s="147"/>
      <c r="AI1559" s="147"/>
      <c r="AJ1559" s="84"/>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row>
    <row r="1560" spans="1:59" ht="15.75" customHeight="1" x14ac:dyDescent="0.2">
      <c r="A1560" s="162"/>
      <c r="B1560" s="162"/>
      <c r="C1560" s="206"/>
      <c r="D1560" s="262"/>
      <c r="E1560" s="262"/>
      <c r="F1560" s="262"/>
      <c r="G1560" s="262"/>
      <c r="H1560" s="262"/>
      <c r="I1560" s="262"/>
      <c r="J1560" s="262"/>
      <c r="K1560" s="262"/>
      <c r="L1560" s="262"/>
      <c r="M1560" s="262"/>
      <c r="N1560" s="262"/>
      <c r="O1560" s="262"/>
      <c r="P1560" s="262"/>
      <c r="Q1560" s="262"/>
      <c r="R1560" s="262"/>
      <c r="S1560" s="262"/>
      <c r="T1560" s="262"/>
      <c r="U1560" s="262"/>
      <c r="V1560" s="262"/>
      <c r="W1560" s="262"/>
      <c r="X1560" s="262"/>
      <c r="Y1560" s="262"/>
      <c r="Z1560" s="262"/>
      <c r="AA1560" s="262"/>
      <c r="AB1560" s="262"/>
      <c r="AC1560" s="262"/>
      <c r="AD1560" s="262"/>
      <c r="AE1560" s="262"/>
      <c r="AF1560" s="147"/>
      <c r="AG1560" s="147"/>
      <c r="AH1560" s="147"/>
      <c r="AI1560" s="147"/>
      <c r="AJ1560" s="84"/>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row>
    <row r="1561" spans="1:59" ht="15.75" customHeight="1" x14ac:dyDescent="0.2">
      <c r="A1561" s="162"/>
      <c r="B1561" s="162"/>
      <c r="C1561" s="206"/>
      <c r="D1561" s="262"/>
      <c r="E1561" s="262"/>
      <c r="F1561" s="262"/>
      <c r="G1561" s="262"/>
      <c r="H1561" s="262"/>
      <c r="I1561" s="262"/>
      <c r="J1561" s="262"/>
      <c r="K1561" s="262"/>
      <c r="L1561" s="262"/>
      <c r="M1561" s="262"/>
      <c r="N1561" s="262"/>
      <c r="O1561" s="262"/>
      <c r="P1561" s="262"/>
      <c r="Q1561" s="262"/>
      <c r="R1561" s="262"/>
      <c r="S1561" s="262"/>
      <c r="T1561" s="262"/>
      <c r="U1561" s="262"/>
      <c r="V1561" s="262"/>
      <c r="W1561" s="262"/>
      <c r="X1561" s="262"/>
      <c r="Y1561" s="262"/>
      <c r="Z1561" s="262"/>
      <c r="AA1561" s="262"/>
      <c r="AB1561" s="262"/>
      <c r="AC1561" s="262"/>
      <c r="AD1561" s="262"/>
      <c r="AE1561" s="262"/>
      <c r="AF1561" s="147"/>
      <c r="AG1561" s="147"/>
      <c r="AH1561" s="147"/>
      <c r="AI1561" s="147"/>
      <c r="AJ1561" s="84"/>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row>
    <row r="1562" spans="1:59" ht="15.75" customHeight="1" x14ac:dyDescent="0.2">
      <c r="A1562" s="162"/>
      <c r="B1562" s="162"/>
      <c r="C1562" s="206"/>
      <c r="D1562" s="262"/>
      <c r="E1562" s="262"/>
      <c r="F1562" s="262"/>
      <c r="G1562" s="262"/>
      <c r="H1562" s="262"/>
      <c r="I1562" s="262"/>
      <c r="J1562" s="262"/>
      <c r="K1562" s="262"/>
      <c r="L1562" s="262"/>
      <c r="M1562" s="262"/>
      <c r="N1562" s="262"/>
      <c r="O1562" s="262"/>
      <c r="P1562" s="262"/>
      <c r="Q1562" s="262"/>
      <c r="R1562" s="262"/>
      <c r="S1562" s="262"/>
      <c r="T1562" s="262"/>
      <c r="U1562" s="262"/>
      <c r="V1562" s="262"/>
      <c r="W1562" s="262"/>
      <c r="X1562" s="262"/>
      <c r="Y1562" s="262"/>
      <c r="Z1562" s="262"/>
      <c r="AA1562" s="262"/>
      <c r="AB1562" s="262"/>
      <c r="AC1562" s="262"/>
      <c r="AD1562" s="262"/>
      <c r="AE1562" s="262"/>
      <c r="AF1562" s="147"/>
      <c r="AG1562" s="147"/>
      <c r="AH1562" s="147"/>
      <c r="AI1562" s="147"/>
      <c r="AJ1562" s="84"/>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row>
    <row r="1563" spans="1:59" ht="15.75" customHeight="1" x14ac:dyDescent="0.2">
      <c r="A1563" s="162"/>
      <c r="B1563" s="162"/>
      <c r="C1563" s="206"/>
      <c r="D1563" s="262"/>
      <c r="E1563" s="262"/>
      <c r="F1563" s="262"/>
      <c r="G1563" s="262"/>
      <c r="H1563" s="262"/>
      <c r="I1563" s="262"/>
      <c r="J1563" s="262"/>
      <c r="K1563" s="262"/>
      <c r="L1563" s="262"/>
      <c r="M1563" s="262"/>
      <c r="N1563" s="262"/>
      <c r="O1563" s="262"/>
      <c r="P1563" s="262"/>
      <c r="Q1563" s="262"/>
      <c r="R1563" s="262"/>
      <c r="S1563" s="262"/>
      <c r="T1563" s="262"/>
      <c r="U1563" s="262"/>
      <c r="V1563" s="262"/>
      <c r="W1563" s="262"/>
      <c r="X1563" s="262"/>
      <c r="Y1563" s="262"/>
      <c r="Z1563" s="262"/>
      <c r="AA1563" s="262"/>
      <c r="AB1563" s="262"/>
      <c r="AC1563" s="262"/>
      <c r="AD1563" s="262"/>
      <c r="AE1563" s="262"/>
      <c r="AF1563" s="147"/>
      <c r="AG1563" s="147"/>
      <c r="AH1563" s="147"/>
      <c r="AI1563" s="147"/>
      <c r="AJ1563" s="84"/>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row>
    <row r="1564" spans="1:59" ht="15.75" customHeight="1" x14ac:dyDescent="0.2">
      <c r="A1564" s="162"/>
      <c r="B1564" s="162"/>
      <c r="C1564" s="206"/>
      <c r="D1564" s="262"/>
      <c r="E1564" s="262"/>
      <c r="F1564" s="262"/>
      <c r="G1564" s="262"/>
      <c r="H1564" s="262"/>
      <c r="I1564" s="262"/>
      <c r="J1564" s="262"/>
      <c r="K1564" s="262"/>
      <c r="L1564" s="262"/>
      <c r="M1564" s="262"/>
      <c r="N1564" s="262"/>
      <c r="O1564" s="262"/>
      <c r="P1564" s="262"/>
      <c r="Q1564" s="262"/>
      <c r="R1564" s="262"/>
      <c r="S1564" s="262"/>
      <c r="T1564" s="262"/>
      <c r="U1564" s="262"/>
      <c r="V1564" s="262"/>
      <c r="W1564" s="262"/>
      <c r="X1564" s="262"/>
      <c r="Y1564" s="262"/>
      <c r="Z1564" s="262"/>
      <c r="AA1564" s="262"/>
      <c r="AB1564" s="262"/>
      <c r="AC1564" s="262"/>
      <c r="AD1564" s="262"/>
      <c r="AE1564" s="262"/>
      <c r="AF1564" s="147"/>
      <c r="AG1564" s="147"/>
      <c r="AH1564" s="147"/>
      <c r="AI1564" s="147"/>
      <c r="AJ1564" s="84"/>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row>
    <row r="1565" spans="1:59" ht="15.75" customHeight="1" x14ac:dyDescent="0.2">
      <c r="A1565" s="162"/>
      <c r="B1565" s="162"/>
      <c r="C1565" s="206"/>
      <c r="D1565" s="262"/>
      <c r="E1565" s="262"/>
      <c r="F1565" s="262"/>
      <c r="G1565" s="262"/>
      <c r="H1565" s="262"/>
      <c r="I1565" s="262"/>
      <c r="J1565" s="262"/>
      <c r="K1565" s="262"/>
      <c r="L1565" s="262"/>
      <c r="M1565" s="262"/>
      <c r="N1565" s="262"/>
      <c r="O1565" s="262"/>
      <c r="P1565" s="262"/>
      <c r="Q1565" s="262"/>
      <c r="R1565" s="262"/>
      <c r="S1565" s="262"/>
      <c r="T1565" s="262"/>
      <c r="U1565" s="262"/>
      <c r="V1565" s="262"/>
      <c r="W1565" s="262"/>
      <c r="X1565" s="262"/>
      <c r="Y1565" s="262"/>
      <c r="Z1565" s="262"/>
      <c r="AA1565" s="262"/>
      <c r="AB1565" s="262"/>
      <c r="AC1565" s="262"/>
      <c r="AD1565" s="262"/>
      <c r="AE1565" s="262"/>
      <c r="AF1565" s="147"/>
      <c r="AG1565" s="147"/>
      <c r="AH1565" s="147"/>
      <c r="AI1565" s="147"/>
      <c r="AJ1565" s="84"/>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row>
    <row r="1566" spans="1:59" ht="15.75" customHeight="1" x14ac:dyDescent="0.2">
      <c r="A1566" s="162"/>
      <c r="B1566" s="162"/>
      <c r="C1566" s="206"/>
      <c r="D1566" s="262"/>
      <c r="E1566" s="262"/>
      <c r="F1566" s="262"/>
      <c r="G1566" s="262"/>
      <c r="H1566" s="262"/>
      <c r="I1566" s="262"/>
      <c r="J1566" s="262"/>
      <c r="K1566" s="262"/>
      <c r="L1566" s="262"/>
      <c r="M1566" s="262"/>
      <c r="N1566" s="262"/>
      <c r="O1566" s="262"/>
      <c r="P1566" s="262"/>
      <c r="Q1566" s="262"/>
      <c r="R1566" s="262"/>
      <c r="S1566" s="262"/>
      <c r="T1566" s="262"/>
      <c r="U1566" s="262"/>
      <c r="V1566" s="262"/>
      <c r="W1566" s="262"/>
      <c r="X1566" s="262"/>
      <c r="Y1566" s="262"/>
      <c r="Z1566" s="262"/>
      <c r="AA1566" s="262"/>
      <c r="AB1566" s="262"/>
      <c r="AC1566" s="262"/>
      <c r="AD1566" s="262"/>
      <c r="AE1566" s="262"/>
      <c r="AF1566" s="147"/>
      <c r="AG1566" s="147"/>
      <c r="AH1566" s="147"/>
      <c r="AI1566" s="147"/>
      <c r="AJ1566" s="84"/>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row>
    <row r="1567" spans="1:59" ht="15.75" customHeight="1" x14ac:dyDescent="0.2">
      <c r="A1567" s="162"/>
      <c r="B1567" s="162"/>
      <c r="C1567" s="206"/>
      <c r="D1567" s="262"/>
      <c r="E1567" s="262"/>
      <c r="F1567" s="262"/>
      <c r="G1567" s="262"/>
      <c r="H1567" s="262"/>
      <c r="I1567" s="262"/>
      <c r="J1567" s="262"/>
      <c r="K1567" s="262"/>
      <c r="L1567" s="262"/>
      <c r="M1567" s="262"/>
      <c r="N1567" s="262"/>
      <c r="O1567" s="262"/>
      <c r="P1567" s="262"/>
      <c r="Q1567" s="262"/>
      <c r="R1567" s="262"/>
      <c r="S1567" s="262"/>
      <c r="T1567" s="262"/>
      <c r="U1567" s="262"/>
      <c r="V1567" s="262"/>
      <c r="W1567" s="262"/>
      <c r="X1567" s="262"/>
      <c r="Y1567" s="262"/>
      <c r="Z1567" s="262"/>
      <c r="AA1567" s="262"/>
      <c r="AB1567" s="262"/>
      <c r="AC1567" s="262"/>
      <c r="AD1567" s="262"/>
      <c r="AE1567" s="262"/>
      <c r="AF1567" s="147"/>
      <c r="AG1567" s="147"/>
      <c r="AH1567" s="147"/>
      <c r="AI1567" s="147"/>
      <c r="AJ1567" s="84"/>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row>
    <row r="1568" spans="1:59" ht="15.75" customHeight="1" x14ac:dyDescent="0.2">
      <c r="A1568" s="162"/>
      <c r="B1568" s="162"/>
      <c r="C1568" s="206"/>
      <c r="D1568" s="262"/>
      <c r="E1568" s="262"/>
      <c r="F1568" s="262"/>
      <c r="G1568" s="262"/>
      <c r="H1568" s="262"/>
      <c r="I1568" s="262"/>
      <c r="J1568" s="262"/>
      <c r="K1568" s="262"/>
      <c r="L1568" s="262"/>
      <c r="M1568" s="262"/>
      <c r="N1568" s="262"/>
      <c r="O1568" s="262"/>
      <c r="P1568" s="262"/>
      <c r="Q1568" s="262"/>
      <c r="R1568" s="262"/>
      <c r="S1568" s="262"/>
      <c r="T1568" s="262"/>
      <c r="U1568" s="262"/>
      <c r="V1568" s="262"/>
      <c r="W1568" s="262"/>
      <c r="X1568" s="262"/>
      <c r="Y1568" s="262"/>
      <c r="Z1568" s="262"/>
      <c r="AA1568" s="262"/>
      <c r="AB1568" s="262"/>
      <c r="AC1568" s="262"/>
      <c r="AD1568" s="262"/>
      <c r="AE1568" s="262"/>
      <c r="AF1568" s="147"/>
      <c r="AG1568" s="147"/>
      <c r="AH1568" s="147"/>
      <c r="AI1568" s="147"/>
      <c r="AJ1568" s="84"/>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row>
    <row r="1569" spans="1:59" ht="15.75" customHeight="1" x14ac:dyDescent="0.2">
      <c r="A1569" s="162"/>
      <c r="B1569" s="162"/>
      <c r="C1569" s="206"/>
      <c r="D1569" s="262"/>
      <c r="E1569" s="262"/>
      <c r="F1569" s="262"/>
      <c r="G1569" s="262"/>
      <c r="H1569" s="262"/>
      <c r="I1569" s="262"/>
      <c r="J1569" s="262"/>
      <c r="K1569" s="262"/>
      <c r="L1569" s="262"/>
      <c r="M1569" s="262"/>
      <c r="N1569" s="262"/>
      <c r="O1569" s="262"/>
      <c r="P1569" s="262"/>
      <c r="Q1569" s="262"/>
      <c r="R1569" s="262"/>
      <c r="S1569" s="262"/>
      <c r="T1569" s="262"/>
      <c r="U1569" s="262"/>
      <c r="V1569" s="262"/>
      <c r="W1569" s="262"/>
      <c r="X1569" s="262"/>
      <c r="Y1569" s="262"/>
      <c r="Z1569" s="262"/>
      <c r="AA1569" s="262"/>
      <c r="AB1569" s="262"/>
      <c r="AC1569" s="262"/>
      <c r="AD1569" s="262"/>
      <c r="AE1569" s="262"/>
      <c r="AF1569" s="147"/>
      <c r="AG1569" s="147"/>
      <c r="AH1569" s="147"/>
      <c r="AI1569" s="147"/>
      <c r="AJ1569" s="84"/>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row>
    <row r="1570" spans="1:59" ht="15.75" customHeight="1" x14ac:dyDescent="0.2">
      <c r="A1570" s="162"/>
      <c r="B1570" s="162"/>
      <c r="C1570" s="206"/>
      <c r="D1570" s="262"/>
      <c r="E1570" s="262"/>
      <c r="F1570" s="262"/>
      <c r="G1570" s="262"/>
      <c r="H1570" s="262"/>
      <c r="I1570" s="262"/>
      <c r="J1570" s="262"/>
      <c r="K1570" s="262"/>
      <c r="L1570" s="262"/>
      <c r="M1570" s="262"/>
      <c r="N1570" s="262"/>
      <c r="O1570" s="262"/>
      <c r="P1570" s="262"/>
      <c r="Q1570" s="262"/>
      <c r="R1570" s="262"/>
      <c r="S1570" s="262"/>
      <c r="T1570" s="262"/>
      <c r="U1570" s="262"/>
      <c r="V1570" s="262"/>
      <c r="W1570" s="262"/>
      <c r="X1570" s="262"/>
      <c r="Y1570" s="262"/>
      <c r="Z1570" s="262"/>
      <c r="AA1570" s="262"/>
      <c r="AB1570" s="262"/>
      <c r="AC1570" s="262"/>
      <c r="AD1570" s="262"/>
      <c r="AE1570" s="262"/>
      <c r="AF1570" s="147"/>
      <c r="AG1570" s="147"/>
      <c r="AH1570" s="147"/>
      <c r="AI1570" s="147"/>
      <c r="AJ1570" s="84"/>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row>
    <row r="1571" spans="1:59" ht="15.75" customHeight="1" x14ac:dyDescent="0.2">
      <c r="A1571" s="162"/>
      <c r="B1571" s="162"/>
      <c r="C1571" s="206"/>
      <c r="D1571" s="262"/>
      <c r="E1571" s="262"/>
      <c r="F1571" s="262"/>
      <c r="G1571" s="262"/>
      <c r="H1571" s="262"/>
      <c r="I1571" s="262"/>
      <c r="J1571" s="262"/>
      <c r="K1571" s="262"/>
      <c r="L1571" s="262"/>
      <c r="M1571" s="262"/>
      <c r="N1571" s="262"/>
      <c r="O1571" s="262"/>
      <c r="P1571" s="262"/>
      <c r="Q1571" s="262"/>
      <c r="R1571" s="262"/>
      <c r="S1571" s="262"/>
      <c r="T1571" s="262"/>
      <c r="U1571" s="262"/>
      <c r="V1571" s="262"/>
      <c r="W1571" s="262"/>
      <c r="X1571" s="262"/>
      <c r="Y1571" s="262"/>
      <c r="Z1571" s="262"/>
      <c r="AA1571" s="262"/>
      <c r="AB1571" s="262"/>
      <c r="AC1571" s="262"/>
      <c r="AD1571" s="262"/>
      <c r="AE1571" s="262"/>
      <c r="AF1571" s="147"/>
      <c r="AG1571" s="147"/>
      <c r="AH1571" s="147"/>
      <c r="AI1571" s="147"/>
      <c r="AJ1571" s="84"/>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row>
    <row r="1572" spans="1:59" ht="15.75" customHeight="1" x14ac:dyDescent="0.2">
      <c r="A1572" s="162"/>
      <c r="B1572" s="162"/>
      <c r="C1572" s="206"/>
      <c r="D1572" s="262"/>
      <c r="E1572" s="262"/>
      <c r="F1572" s="262"/>
      <c r="G1572" s="262"/>
      <c r="H1572" s="262"/>
      <c r="I1572" s="262"/>
      <c r="J1572" s="262"/>
      <c r="K1572" s="262"/>
      <c r="L1572" s="262"/>
      <c r="M1572" s="262"/>
      <c r="N1572" s="262"/>
      <c r="O1572" s="262"/>
      <c r="P1572" s="262"/>
      <c r="Q1572" s="262"/>
      <c r="R1572" s="262"/>
      <c r="S1572" s="262"/>
      <c r="T1572" s="262"/>
      <c r="U1572" s="262"/>
      <c r="V1572" s="262"/>
      <c r="W1572" s="262"/>
      <c r="X1572" s="262"/>
      <c r="Y1572" s="262"/>
      <c r="Z1572" s="262"/>
      <c r="AA1572" s="262"/>
      <c r="AB1572" s="262"/>
      <c r="AC1572" s="262"/>
      <c r="AD1572" s="262"/>
      <c r="AE1572" s="262"/>
      <c r="AF1572" s="147"/>
      <c r="AG1572" s="147"/>
      <c r="AH1572" s="147"/>
      <c r="AI1572" s="147"/>
      <c r="AJ1572" s="84"/>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row>
    <row r="1573" spans="1:59" ht="15.75" customHeight="1" x14ac:dyDescent="0.2">
      <c r="A1573" s="162"/>
      <c r="B1573" s="162"/>
      <c r="C1573" s="206"/>
      <c r="D1573" s="262"/>
      <c r="E1573" s="262"/>
      <c r="F1573" s="262"/>
      <c r="G1573" s="262"/>
      <c r="H1573" s="262"/>
      <c r="I1573" s="262"/>
      <c r="J1573" s="262"/>
      <c r="K1573" s="262"/>
      <c r="L1573" s="262"/>
      <c r="M1573" s="262"/>
      <c r="N1573" s="262"/>
      <c r="O1573" s="262"/>
      <c r="P1573" s="262"/>
      <c r="Q1573" s="262"/>
      <c r="R1573" s="262"/>
      <c r="S1573" s="262"/>
      <c r="T1573" s="262"/>
      <c r="U1573" s="262"/>
      <c r="V1573" s="262"/>
      <c r="W1573" s="262"/>
      <c r="X1573" s="262"/>
      <c r="Y1573" s="262"/>
      <c r="Z1573" s="262"/>
      <c r="AA1573" s="262"/>
      <c r="AB1573" s="262"/>
      <c r="AC1573" s="262"/>
      <c r="AD1573" s="262"/>
      <c r="AE1573" s="262"/>
      <c r="AF1573" s="147"/>
      <c r="AG1573" s="147"/>
      <c r="AH1573" s="147"/>
      <c r="AI1573" s="147"/>
      <c r="AJ1573" s="84"/>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row>
    <row r="1574" spans="1:59" ht="15.75" customHeight="1" x14ac:dyDescent="0.2">
      <c r="A1574" s="162"/>
      <c r="B1574" s="162"/>
      <c r="C1574" s="206"/>
      <c r="D1574" s="262"/>
      <c r="E1574" s="262"/>
      <c r="F1574" s="262"/>
      <c r="G1574" s="262"/>
      <c r="H1574" s="262"/>
      <c r="I1574" s="262"/>
      <c r="J1574" s="262"/>
      <c r="K1574" s="262"/>
      <c r="L1574" s="262"/>
      <c r="M1574" s="262"/>
      <c r="N1574" s="262"/>
      <c r="O1574" s="262"/>
      <c r="P1574" s="262"/>
      <c r="Q1574" s="262"/>
      <c r="R1574" s="262"/>
      <c r="S1574" s="262"/>
      <c r="T1574" s="262"/>
      <c r="U1574" s="262"/>
      <c r="V1574" s="262"/>
      <c r="W1574" s="262"/>
      <c r="X1574" s="262"/>
      <c r="Y1574" s="262"/>
      <c r="Z1574" s="262"/>
      <c r="AA1574" s="262"/>
      <c r="AB1574" s="262"/>
      <c r="AC1574" s="262"/>
      <c r="AD1574" s="262"/>
      <c r="AE1574" s="262"/>
      <c r="AF1574" s="147"/>
      <c r="AG1574" s="147"/>
      <c r="AH1574" s="147"/>
      <c r="AI1574" s="147"/>
      <c r="AJ1574" s="84"/>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row>
    <row r="1575" spans="1:59" ht="15.75" customHeight="1" x14ac:dyDescent="0.2">
      <c r="A1575" s="162"/>
      <c r="B1575" s="162"/>
      <c r="C1575" s="206"/>
      <c r="D1575" s="262"/>
      <c r="E1575" s="262"/>
      <c r="F1575" s="262"/>
      <c r="G1575" s="262"/>
      <c r="H1575" s="262"/>
      <c r="I1575" s="262"/>
      <c r="J1575" s="262"/>
      <c r="K1575" s="262"/>
      <c r="L1575" s="262"/>
      <c r="M1575" s="262"/>
      <c r="N1575" s="262"/>
      <c r="O1575" s="262"/>
      <c r="P1575" s="262"/>
      <c r="Q1575" s="262"/>
      <c r="R1575" s="262"/>
      <c r="S1575" s="262"/>
      <c r="T1575" s="262"/>
      <c r="U1575" s="262"/>
      <c r="V1575" s="262"/>
      <c r="W1575" s="262"/>
      <c r="X1575" s="262"/>
      <c r="Y1575" s="262"/>
      <c r="Z1575" s="262"/>
      <c r="AA1575" s="262"/>
      <c r="AB1575" s="262"/>
      <c r="AC1575" s="262"/>
      <c r="AD1575" s="262"/>
      <c r="AE1575" s="262"/>
      <c r="AF1575" s="147"/>
      <c r="AG1575" s="147"/>
      <c r="AH1575" s="147"/>
      <c r="AI1575" s="147"/>
      <c r="AJ1575" s="84"/>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row>
    <row r="1576" spans="1:59" ht="15.75" customHeight="1" x14ac:dyDescent="0.2">
      <c r="A1576" s="162"/>
      <c r="B1576" s="162"/>
      <c r="C1576" s="206"/>
      <c r="D1576" s="262"/>
      <c r="E1576" s="262"/>
      <c r="F1576" s="262"/>
      <c r="G1576" s="262"/>
      <c r="H1576" s="262"/>
      <c r="I1576" s="262"/>
      <c r="J1576" s="262"/>
      <c r="K1576" s="262"/>
      <c r="L1576" s="262"/>
      <c r="M1576" s="262"/>
      <c r="N1576" s="262"/>
      <c r="O1576" s="262"/>
      <c r="P1576" s="262"/>
      <c r="Q1576" s="262"/>
      <c r="R1576" s="262"/>
      <c r="S1576" s="262"/>
      <c r="T1576" s="262"/>
      <c r="U1576" s="262"/>
      <c r="V1576" s="262"/>
      <c r="W1576" s="262"/>
      <c r="X1576" s="262"/>
      <c r="Y1576" s="262"/>
      <c r="Z1576" s="262"/>
      <c r="AA1576" s="262"/>
      <c r="AB1576" s="262"/>
      <c r="AC1576" s="262"/>
      <c r="AD1576" s="262"/>
      <c r="AE1576" s="262"/>
      <c r="AF1576" s="147"/>
      <c r="AG1576" s="147"/>
      <c r="AH1576" s="147"/>
      <c r="AI1576" s="147"/>
      <c r="AJ1576" s="84"/>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row>
    <row r="1577" spans="1:59" ht="15.75" customHeight="1" x14ac:dyDescent="0.2">
      <c r="A1577" s="162"/>
      <c r="B1577" s="162"/>
      <c r="C1577" s="206"/>
      <c r="D1577" s="262"/>
      <c r="E1577" s="262"/>
      <c r="F1577" s="262"/>
      <c r="G1577" s="262"/>
      <c r="H1577" s="262"/>
      <c r="I1577" s="262"/>
      <c r="J1577" s="262"/>
      <c r="K1577" s="262"/>
      <c r="L1577" s="262"/>
      <c r="M1577" s="262"/>
      <c r="N1577" s="262"/>
      <c r="O1577" s="262"/>
      <c r="P1577" s="262"/>
      <c r="Q1577" s="262"/>
      <c r="R1577" s="262"/>
      <c r="S1577" s="262"/>
      <c r="T1577" s="262"/>
      <c r="U1577" s="262"/>
      <c r="V1577" s="262"/>
      <c r="W1577" s="262"/>
      <c r="X1577" s="262"/>
      <c r="Y1577" s="262"/>
      <c r="Z1577" s="262"/>
      <c r="AA1577" s="262"/>
      <c r="AB1577" s="262"/>
      <c r="AC1577" s="262"/>
      <c r="AD1577" s="262"/>
      <c r="AE1577" s="262"/>
      <c r="AF1577" s="147"/>
      <c r="AG1577" s="147"/>
      <c r="AH1577" s="147"/>
      <c r="AI1577" s="147"/>
      <c r="AJ1577" s="189"/>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row>
    <row r="1578" spans="1:59" ht="15.75" customHeight="1" x14ac:dyDescent="0.2">
      <c r="A1578" s="162"/>
      <c r="B1578" s="162"/>
      <c r="C1578" s="206"/>
      <c r="D1578" s="262"/>
      <c r="E1578" s="262"/>
      <c r="F1578" s="262"/>
      <c r="G1578" s="262"/>
      <c r="H1578" s="262"/>
      <c r="I1578" s="262"/>
      <c r="J1578" s="262"/>
      <c r="K1578" s="262"/>
      <c r="L1578" s="262"/>
      <c r="M1578" s="262"/>
      <c r="N1578" s="262"/>
      <c r="O1578" s="262"/>
      <c r="P1578" s="262"/>
      <c r="Q1578" s="262"/>
      <c r="R1578" s="262"/>
      <c r="S1578" s="262"/>
      <c r="T1578" s="262"/>
      <c r="U1578" s="262"/>
      <c r="V1578" s="262"/>
      <c r="W1578" s="262"/>
      <c r="X1578" s="262"/>
      <c r="Y1578" s="262"/>
      <c r="Z1578" s="262"/>
      <c r="AA1578" s="262"/>
      <c r="AB1578" s="262"/>
      <c r="AC1578" s="262"/>
      <c r="AD1578" s="262"/>
      <c r="AE1578" s="262"/>
      <c r="AF1578" s="147"/>
      <c r="AG1578" s="147"/>
      <c r="AH1578" s="147"/>
      <c r="AI1578" s="147"/>
      <c r="AJ1578" s="189"/>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row>
    <row r="1579" spans="1:59" ht="15.75" customHeight="1" x14ac:dyDescent="0.2">
      <c r="A1579" s="162"/>
      <c r="B1579" s="162"/>
      <c r="C1579" s="206"/>
      <c r="D1579" s="262"/>
      <c r="E1579" s="262"/>
      <c r="F1579" s="262"/>
      <c r="G1579" s="262"/>
      <c r="H1579" s="262"/>
      <c r="I1579" s="262"/>
      <c r="J1579" s="262"/>
      <c r="K1579" s="262"/>
      <c r="L1579" s="262"/>
      <c r="M1579" s="262"/>
      <c r="N1579" s="262"/>
      <c r="O1579" s="262"/>
      <c r="P1579" s="262"/>
      <c r="Q1579" s="262"/>
      <c r="R1579" s="262"/>
      <c r="S1579" s="262"/>
      <c r="T1579" s="262"/>
      <c r="U1579" s="262"/>
      <c r="V1579" s="262"/>
      <c r="W1579" s="262"/>
      <c r="X1579" s="262"/>
      <c r="Y1579" s="262"/>
      <c r="Z1579" s="262"/>
      <c r="AA1579" s="262"/>
      <c r="AB1579" s="262"/>
      <c r="AC1579" s="262"/>
      <c r="AD1579" s="262"/>
      <c r="AE1579" s="262"/>
      <c r="AF1579" s="147"/>
      <c r="AG1579" s="147"/>
      <c r="AH1579" s="147"/>
      <c r="AI1579" s="147"/>
      <c r="AJ1579" s="189"/>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row>
    <row r="1580" spans="1:59" ht="15.75" customHeight="1" x14ac:dyDescent="0.2">
      <c r="A1580" s="162"/>
      <c r="B1580" s="162"/>
      <c r="C1580" s="206"/>
      <c r="D1580" s="262"/>
      <c r="E1580" s="262"/>
      <c r="F1580" s="262"/>
      <c r="G1580" s="262"/>
      <c r="H1580" s="262"/>
      <c r="I1580" s="262"/>
      <c r="J1580" s="262"/>
      <c r="K1580" s="262"/>
      <c r="L1580" s="262"/>
      <c r="M1580" s="262"/>
      <c r="N1580" s="262"/>
      <c r="O1580" s="262"/>
      <c r="P1580" s="262"/>
      <c r="Q1580" s="262"/>
      <c r="R1580" s="262"/>
      <c r="S1580" s="262"/>
      <c r="T1580" s="262"/>
      <c r="U1580" s="262"/>
      <c r="V1580" s="262"/>
      <c r="W1580" s="262"/>
      <c r="X1580" s="262"/>
      <c r="Y1580" s="262"/>
      <c r="Z1580" s="262"/>
      <c r="AA1580" s="262"/>
      <c r="AB1580" s="262"/>
      <c r="AC1580" s="262"/>
      <c r="AD1580" s="262"/>
      <c r="AE1580" s="262"/>
      <c r="AF1580" s="147"/>
      <c r="AG1580" s="147"/>
      <c r="AH1580" s="147"/>
      <c r="AI1580" s="147"/>
      <c r="AJ1580" s="189"/>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row>
    <row r="1581" spans="1:59" ht="15.75" customHeight="1" x14ac:dyDescent="0.2">
      <c r="A1581" s="162"/>
      <c r="B1581" s="162"/>
      <c r="C1581" s="206"/>
      <c r="D1581" s="262"/>
      <c r="E1581" s="262"/>
      <c r="F1581" s="262"/>
      <c r="G1581" s="262"/>
      <c r="H1581" s="262"/>
      <c r="I1581" s="262"/>
      <c r="J1581" s="262"/>
      <c r="K1581" s="262"/>
      <c r="L1581" s="262"/>
      <c r="M1581" s="262"/>
      <c r="N1581" s="262"/>
      <c r="O1581" s="262"/>
      <c r="P1581" s="262"/>
      <c r="Q1581" s="262"/>
      <c r="R1581" s="262"/>
      <c r="S1581" s="262"/>
      <c r="T1581" s="262"/>
      <c r="U1581" s="262"/>
      <c r="V1581" s="262"/>
      <c r="W1581" s="262"/>
      <c r="X1581" s="262"/>
      <c r="Y1581" s="262"/>
      <c r="Z1581" s="262"/>
      <c r="AA1581" s="262"/>
      <c r="AB1581" s="262"/>
      <c r="AC1581" s="262"/>
      <c r="AD1581" s="262"/>
      <c r="AE1581" s="262"/>
      <c r="AF1581" s="147"/>
      <c r="AG1581" s="147"/>
      <c r="AH1581" s="147"/>
      <c r="AI1581" s="147"/>
      <c r="AJ1581" s="195"/>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row>
    <row r="1582" spans="1:59" ht="15.75" customHeight="1" x14ac:dyDescent="0.2">
      <c r="A1582" s="162"/>
      <c r="B1582" s="162"/>
      <c r="C1582" s="206"/>
      <c r="D1582" s="262"/>
      <c r="E1582" s="262"/>
      <c r="F1582" s="262"/>
      <c r="G1582" s="262"/>
      <c r="H1582" s="262"/>
      <c r="I1582" s="262"/>
      <c r="J1582" s="262"/>
      <c r="K1582" s="262"/>
      <c r="L1582" s="262"/>
      <c r="M1582" s="262"/>
      <c r="N1582" s="262"/>
      <c r="O1582" s="262"/>
      <c r="P1582" s="262"/>
      <c r="Q1582" s="262"/>
      <c r="R1582" s="262"/>
      <c r="S1582" s="262"/>
      <c r="T1582" s="262"/>
      <c r="U1582" s="262"/>
      <c r="V1582" s="262"/>
      <c r="W1582" s="262"/>
      <c r="X1582" s="262"/>
      <c r="Y1582" s="262"/>
      <c r="Z1582" s="262"/>
      <c r="AA1582" s="262"/>
      <c r="AB1582" s="262"/>
      <c r="AC1582" s="262"/>
      <c r="AD1582" s="262"/>
      <c r="AE1582" s="262"/>
      <c r="AF1582" s="147"/>
      <c r="AG1582" s="147"/>
      <c r="AH1582" s="147"/>
      <c r="AI1582" s="147"/>
      <c r="AJ1582" s="189"/>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row>
    <row r="1583" spans="1:59" ht="15.75" customHeight="1" x14ac:dyDescent="0.2">
      <c r="A1583" s="162"/>
      <c r="B1583" s="162"/>
      <c r="C1583" s="206"/>
      <c r="D1583" s="262"/>
      <c r="E1583" s="262"/>
      <c r="F1583" s="262"/>
      <c r="G1583" s="262"/>
      <c r="H1583" s="262"/>
      <c r="I1583" s="262"/>
      <c r="J1583" s="262"/>
      <c r="K1583" s="262"/>
      <c r="L1583" s="262"/>
      <c r="M1583" s="262"/>
      <c r="N1583" s="262"/>
      <c r="O1583" s="262"/>
      <c r="P1583" s="262"/>
      <c r="Q1583" s="262"/>
      <c r="R1583" s="262"/>
      <c r="S1583" s="262"/>
      <c r="T1583" s="262"/>
      <c r="U1583" s="262"/>
      <c r="V1583" s="262"/>
      <c r="W1583" s="262"/>
      <c r="X1583" s="262"/>
      <c r="Y1583" s="262"/>
      <c r="Z1583" s="262"/>
      <c r="AA1583" s="262"/>
      <c r="AB1583" s="262"/>
      <c r="AC1583" s="262"/>
      <c r="AD1583" s="262"/>
      <c r="AE1583" s="262"/>
      <c r="AF1583" s="147"/>
      <c r="AG1583" s="147"/>
      <c r="AH1583" s="147"/>
      <c r="AI1583" s="147"/>
      <c r="AJ1583" s="195"/>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row>
    <row r="1584" spans="1:59" ht="15.75" customHeight="1" x14ac:dyDescent="0.2">
      <c r="A1584" s="162"/>
      <c r="B1584" s="162"/>
      <c r="C1584" s="206"/>
      <c r="D1584" s="262"/>
      <c r="E1584" s="262"/>
      <c r="F1584" s="262"/>
      <c r="G1584" s="262"/>
      <c r="H1584" s="262"/>
      <c r="I1584" s="262"/>
      <c r="J1584" s="262"/>
      <c r="K1584" s="262"/>
      <c r="L1584" s="262"/>
      <c r="M1584" s="262"/>
      <c r="N1584" s="262"/>
      <c r="O1584" s="262"/>
      <c r="P1584" s="262"/>
      <c r="Q1584" s="262"/>
      <c r="R1584" s="262"/>
      <c r="S1584" s="262"/>
      <c r="T1584" s="262"/>
      <c r="U1584" s="262"/>
      <c r="V1584" s="262"/>
      <c r="W1584" s="262"/>
      <c r="X1584" s="262"/>
      <c r="Y1584" s="262"/>
      <c r="Z1584" s="262"/>
      <c r="AA1584" s="262"/>
      <c r="AB1584" s="262"/>
      <c r="AC1584" s="262"/>
      <c r="AD1584" s="262"/>
      <c r="AE1584" s="262"/>
      <c r="AF1584" s="147"/>
      <c r="AG1584" s="147"/>
      <c r="AH1584" s="147"/>
      <c r="AI1584" s="147"/>
      <c r="AJ1584" s="189"/>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row>
    <row r="1585" spans="1:59" ht="15.75" customHeight="1" x14ac:dyDescent="0.2">
      <c r="A1585" s="162"/>
      <c r="B1585" s="162"/>
      <c r="C1585" s="206"/>
      <c r="D1585" s="262"/>
      <c r="E1585" s="262"/>
      <c r="F1585" s="262"/>
      <c r="G1585" s="262"/>
      <c r="H1585" s="262"/>
      <c r="I1585" s="262"/>
      <c r="J1585" s="262"/>
      <c r="K1585" s="262"/>
      <c r="L1585" s="262"/>
      <c r="M1585" s="262"/>
      <c r="N1585" s="262"/>
      <c r="O1585" s="262"/>
      <c r="P1585" s="262"/>
      <c r="Q1585" s="262"/>
      <c r="R1585" s="262"/>
      <c r="S1585" s="262"/>
      <c r="T1585" s="262"/>
      <c r="U1585" s="262"/>
      <c r="V1585" s="262"/>
      <c r="W1585" s="262"/>
      <c r="X1585" s="262"/>
      <c r="Y1585" s="262"/>
      <c r="Z1585" s="262"/>
      <c r="AA1585" s="262"/>
      <c r="AB1585" s="262"/>
      <c r="AC1585" s="262"/>
      <c r="AD1585" s="262"/>
      <c r="AE1585" s="262"/>
      <c r="AF1585" s="147"/>
      <c r="AG1585" s="147"/>
      <c r="AH1585" s="147"/>
      <c r="AI1585" s="147"/>
      <c r="AJ1585" s="195"/>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row>
    <row r="1586" spans="1:59" ht="15.75" customHeight="1" x14ac:dyDescent="0.2">
      <c r="A1586" s="162"/>
      <c r="B1586" s="162"/>
      <c r="C1586" s="206"/>
      <c r="D1586" s="262"/>
      <c r="E1586" s="262"/>
      <c r="F1586" s="262"/>
      <c r="G1586" s="262"/>
      <c r="H1586" s="262"/>
      <c r="I1586" s="262"/>
      <c r="J1586" s="262"/>
      <c r="K1586" s="262"/>
      <c r="L1586" s="262"/>
      <c r="M1586" s="262"/>
      <c r="N1586" s="262"/>
      <c r="O1586" s="262"/>
      <c r="P1586" s="262"/>
      <c r="Q1586" s="262"/>
      <c r="R1586" s="262"/>
      <c r="S1586" s="262"/>
      <c r="T1586" s="262"/>
      <c r="U1586" s="262"/>
      <c r="V1586" s="262"/>
      <c r="W1586" s="262"/>
      <c r="X1586" s="262"/>
      <c r="Y1586" s="262"/>
      <c r="Z1586" s="262"/>
      <c r="AA1586" s="262"/>
      <c r="AB1586" s="262"/>
      <c r="AC1586" s="262"/>
      <c r="AD1586" s="262"/>
      <c r="AE1586" s="262"/>
      <c r="AF1586" s="147"/>
      <c r="AG1586" s="147"/>
      <c r="AH1586" s="147"/>
      <c r="AI1586" s="147"/>
      <c r="AJ1586" s="189"/>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row>
    <row r="1587" spans="1:59" ht="15.75" customHeight="1" x14ac:dyDescent="0.2">
      <c r="A1587" s="162"/>
      <c r="B1587" s="162"/>
      <c r="C1587" s="206"/>
      <c r="D1587" s="262"/>
      <c r="E1587" s="262"/>
      <c r="F1587" s="262"/>
      <c r="G1587" s="262"/>
      <c r="H1587" s="262"/>
      <c r="I1587" s="262"/>
      <c r="J1587" s="262"/>
      <c r="K1587" s="262"/>
      <c r="L1587" s="262"/>
      <c r="M1587" s="262"/>
      <c r="N1587" s="262"/>
      <c r="O1587" s="262"/>
      <c r="P1587" s="262"/>
      <c r="Q1587" s="262"/>
      <c r="R1587" s="262"/>
      <c r="S1587" s="262"/>
      <c r="T1587" s="262"/>
      <c r="U1587" s="262"/>
      <c r="V1587" s="262"/>
      <c r="W1587" s="262"/>
      <c r="X1587" s="262"/>
      <c r="Y1587" s="262"/>
      <c r="Z1587" s="262"/>
      <c r="AA1587" s="262"/>
      <c r="AB1587" s="262"/>
      <c r="AC1587" s="262"/>
      <c r="AD1587" s="262"/>
      <c r="AE1587" s="262"/>
      <c r="AF1587" s="147"/>
      <c r="AG1587" s="147"/>
      <c r="AH1587" s="147"/>
      <c r="AI1587" s="147"/>
      <c r="AJ1587" s="195"/>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row>
    <row r="1588" spans="1:59" ht="15.75" customHeight="1" x14ac:dyDescent="0.2">
      <c r="A1588" s="162"/>
      <c r="B1588" s="162"/>
      <c r="C1588" s="206"/>
      <c r="D1588" s="262"/>
      <c r="E1588" s="262"/>
      <c r="F1588" s="262"/>
      <c r="G1588" s="262"/>
      <c r="H1588" s="262"/>
      <c r="I1588" s="262"/>
      <c r="J1588" s="262"/>
      <c r="K1588" s="262"/>
      <c r="L1588" s="262"/>
      <c r="M1588" s="262"/>
      <c r="N1588" s="262"/>
      <c r="O1588" s="262"/>
      <c r="P1588" s="262"/>
      <c r="Q1588" s="262"/>
      <c r="R1588" s="262"/>
      <c r="S1588" s="262"/>
      <c r="T1588" s="262"/>
      <c r="U1588" s="262"/>
      <c r="V1588" s="262"/>
      <c r="W1588" s="262"/>
      <c r="X1588" s="262"/>
      <c r="Y1588" s="262"/>
      <c r="Z1588" s="262"/>
      <c r="AA1588" s="262"/>
      <c r="AB1588" s="262"/>
      <c r="AC1588" s="262"/>
      <c r="AD1588" s="262"/>
      <c r="AE1588" s="262"/>
      <c r="AF1588" s="147"/>
      <c r="AG1588" s="147"/>
      <c r="AH1588" s="147"/>
      <c r="AI1588" s="147"/>
      <c r="AJ1588" s="189"/>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row>
    <row r="1589" spans="1:59" ht="15.75" customHeight="1" x14ac:dyDescent="0.2">
      <c r="A1589" s="162"/>
      <c r="B1589" s="162"/>
      <c r="C1589" s="206"/>
      <c r="D1589" s="262"/>
      <c r="E1589" s="262"/>
      <c r="F1589" s="262"/>
      <c r="G1589" s="262"/>
      <c r="H1589" s="262"/>
      <c r="I1589" s="262"/>
      <c r="J1589" s="262"/>
      <c r="K1589" s="262"/>
      <c r="L1589" s="262"/>
      <c r="M1589" s="262"/>
      <c r="N1589" s="262"/>
      <c r="O1589" s="262"/>
      <c r="P1589" s="262"/>
      <c r="Q1589" s="262"/>
      <c r="R1589" s="262"/>
      <c r="S1589" s="262"/>
      <c r="T1589" s="262"/>
      <c r="U1589" s="262"/>
      <c r="V1589" s="262"/>
      <c r="W1589" s="262"/>
      <c r="X1589" s="262"/>
      <c r="Y1589" s="262"/>
      <c r="Z1589" s="262"/>
      <c r="AA1589" s="262"/>
      <c r="AB1589" s="262"/>
      <c r="AC1589" s="262"/>
      <c r="AD1589" s="262"/>
      <c r="AE1589" s="262"/>
      <c r="AF1589" s="147"/>
      <c r="AG1589" s="147"/>
      <c r="AH1589" s="147"/>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row>
    <row r="1590" spans="1:59" ht="15.75" customHeight="1" x14ac:dyDescent="0.2">
      <c r="A1590" s="162"/>
      <c r="B1590" s="162"/>
      <c r="C1590" s="206"/>
      <c r="D1590" s="262"/>
      <c r="E1590" s="262"/>
      <c r="F1590" s="262"/>
      <c r="G1590" s="262"/>
      <c r="H1590" s="262"/>
      <c r="I1590" s="262"/>
      <c r="J1590" s="262"/>
      <c r="K1590" s="262"/>
      <c r="L1590" s="262"/>
      <c r="M1590" s="262"/>
      <c r="N1590" s="262"/>
      <c r="O1590" s="262"/>
      <c r="P1590" s="262"/>
      <c r="Q1590" s="262"/>
      <c r="R1590" s="262"/>
      <c r="S1590" s="262"/>
      <c r="T1590" s="262"/>
      <c r="U1590" s="262"/>
      <c r="V1590" s="262"/>
      <c r="W1590" s="262"/>
      <c r="X1590" s="262"/>
      <c r="Y1590" s="262"/>
      <c r="Z1590" s="262"/>
      <c r="AA1590" s="262"/>
      <c r="AB1590" s="262"/>
      <c r="AC1590" s="262"/>
      <c r="AD1590" s="262"/>
      <c r="AE1590" s="262"/>
      <c r="AF1590" s="147"/>
      <c r="AG1590" s="147"/>
      <c r="AH1590" s="147"/>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row>
    <row r="1591" spans="1:59" ht="15.75" customHeight="1" x14ac:dyDescent="0.2">
      <c r="A1591" s="162"/>
      <c r="B1591" s="162"/>
      <c r="C1591" s="206"/>
      <c r="D1591" s="262"/>
      <c r="E1591" s="262"/>
      <c r="F1591" s="262"/>
      <c r="G1591" s="262"/>
      <c r="H1591" s="262"/>
      <c r="I1591" s="262"/>
      <c r="J1591" s="262"/>
      <c r="K1591" s="262"/>
      <c r="L1591" s="262"/>
      <c r="M1591" s="262"/>
      <c r="N1591" s="262"/>
      <c r="O1591" s="262"/>
      <c r="P1591" s="262"/>
      <c r="Q1591" s="262"/>
      <c r="R1591" s="262"/>
      <c r="S1591" s="262"/>
      <c r="T1591" s="262"/>
      <c r="U1591" s="262"/>
      <c r="V1591" s="262"/>
      <c r="W1591" s="262"/>
      <c r="X1591" s="262"/>
      <c r="Y1591" s="262"/>
      <c r="Z1591" s="262"/>
      <c r="AA1591" s="262"/>
      <c r="AB1591" s="262"/>
      <c r="AC1591" s="262"/>
      <c r="AD1591" s="262"/>
      <c r="AE1591" s="262"/>
      <c r="AF1591" s="147"/>
      <c r="AG1591" s="147"/>
      <c r="AH1591" s="147"/>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row>
    <row r="1592" spans="1:59" ht="15.75" customHeight="1" x14ac:dyDescent="0.2">
      <c r="A1592" s="162"/>
      <c r="B1592" s="162"/>
      <c r="C1592" s="206"/>
      <c r="D1592" s="262"/>
      <c r="E1592" s="262"/>
      <c r="F1592" s="262"/>
      <c r="G1592" s="262"/>
      <c r="H1592" s="262"/>
      <c r="I1592" s="262"/>
      <c r="J1592" s="262"/>
      <c r="K1592" s="262"/>
      <c r="L1592" s="262"/>
      <c r="M1592" s="262"/>
      <c r="N1592" s="262"/>
      <c r="O1592" s="262"/>
      <c r="P1592" s="262"/>
      <c r="Q1592" s="262"/>
      <c r="R1592" s="262"/>
      <c r="S1592" s="262"/>
      <c r="T1592" s="262"/>
      <c r="U1592" s="262"/>
      <c r="V1592" s="262"/>
      <c r="W1592" s="262"/>
      <c r="X1592" s="262"/>
      <c r="Y1592" s="262"/>
      <c r="Z1592" s="262"/>
      <c r="AA1592" s="262"/>
      <c r="AB1592" s="262"/>
      <c r="AC1592" s="262"/>
      <c r="AD1592" s="262"/>
      <c r="AE1592" s="262"/>
      <c r="AF1592" s="147"/>
      <c r="AG1592" s="147"/>
      <c r="AH1592" s="147"/>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row>
    <row r="1593" spans="1:59" ht="15.75" customHeight="1" x14ac:dyDescent="0.2">
      <c r="A1593" s="162"/>
      <c r="B1593" s="162"/>
      <c r="C1593" s="206"/>
      <c r="D1593" s="262"/>
      <c r="E1593" s="262"/>
      <c r="F1593" s="262"/>
      <c r="G1593" s="262"/>
      <c r="H1593" s="262"/>
      <c r="I1593" s="262"/>
      <c r="J1593" s="262"/>
      <c r="K1593" s="262"/>
      <c r="L1593" s="262"/>
      <c r="M1593" s="262"/>
      <c r="N1593" s="262"/>
      <c r="O1593" s="262"/>
      <c r="P1593" s="262"/>
      <c r="Q1593" s="262"/>
      <c r="R1593" s="262"/>
      <c r="S1593" s="262"/>
      <c r="T1593" s="262"/>
      <c r="U1593" s="262"/>
      <c r="V1593" s="262"/>
      <c r="W1593" s="262"/>
      <c r="X1593" s="262"/>
      <c r="Y1593" s="262"/>
      <c r="Z1593" s="262"/>
      <c r="AA1593" s="262"/>
      <c r="AB1593" s="262"/>
      <c r="AC1593" s="262"/>
      <c r="AD1593" s="262"/>
      <c r="AE1593" s="262"/>
      <c r="AF1593" s="147"/>
      <c r="AG1593" s="147"/>
      <c r="AH1593" s="147"/>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row>
    <row r="1594" spans="1:59" ht="15.75" customHeight="1" x14ac:dyDescent="0.2">
      <c r="A1594" s="162"/>
      <c r="B1594" s="162"/>
      <c r="C1594" s="206"/>
      <c r="D1594" s="262"/>
      <c r="E1594" s="262"/>
      <c r="F1594" s="262"/>
      <c r="G1594" s="262"/>
      <c r="H1594" s="262"/>
      <c r="I1594" s="262"/>
      <c r="J1594" s="262"/>
      <c r="K1594" s="262"/>
      <c r="L1594" s="262"/>
      <c r="M1594" s="262"/>
      <c r="N1594" s="262"/>
      <c r="O1594" s="262"/>
      <c r="P1594" s="262"/>
      <c r="Q1594" s="262"/>
      <c r="R1594" s="262"/>
      <c r="S1594" s="262"/>
      <c r="T1594" s="262"/>
      <c r="U1594" s="262"/>
      <c r="V1594" s="262"/>
      <c r="W1594" s="262"/>
      <c r="X1594" s="262"/>
      <c r="Y1594" s="262"/>
      <c r="Z1594" s="262"/>
      <c r="AA1594" s="262"/>
      <c r="AB1594" s="262"/>
      <c r="AC1594" s="262"/>
      <c r="AD1594" s="262"/>
      <c r="AE1594" s="262"/>
      <c r="AF1594" s="147"/>
      <c r="AG1594" s="147"/>
      <c r="AH1594" s="147"/>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row>
    <row r="1595" spans="1:59" ht="15.75" customHeight="1" x14ac:dyDescent="0.2">
      <c r="A1595" s="162"/>
      <c r="B1595" s="162"/>
      <c r="C1595" s="206"/>
      <c r="D1595" s="262"/>
      <c r="E1595" s="262"/>
      <c r="F1595" s="262"/>
      <c r="G1595" s="262"/>
      <c r="H1595" s="262"/>
      <c r="I1595" s="262"/>
      <c r="J1595" s="262"/>
      <c r="K1595" s="262"/>
      <c r="L1595" s="262"/>
      <c r="M1595" s="262"/>
      <c r="N1595" s="262"/>
      <c r="O1595" s="262"/>
      <c r="P1595" s="262"/>
      <c r="Q1595" s="262"/>
      <c r="R1595" s="262"/>
      <c r="S1595" s="262"/>
      <c r="T1595" s="262"/>
      <c r="U1595" s="262"/>
      <c r="V1595" s="262"/>
      <c r="W1595" s="262"/>
      <c r="X1595" s="262"/>
      <c r="Y1595" s="262"/>
      <c r="Z1595" s="262"/>
      <c r="AA1595" s="262"/>
      <c r="AB1595" s="262"/>
      <c r="AC1595" s="262"/>
      <c r="AD1595" s="262"/>
      <c r="AE1595" s="262"/>
      <c r="AF1595" s="147"/>
      <c r="AG1595" s="147"/>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row>
    <row r="1596" spans="1:59" ht="15.75" customHeight="1" x14ac:dyDescent="0.2">
      <c r="A1596" s="162"/>
      <c r="B1596" s="162"/>
      <c r="C1596" s="206"/>
      <c r="D1596" s="262"/>
      <c r="E1596" s="262"/>
      <c r="F1596" s="262"/>
      <c r="G1596" s="262"/>
      <c r="H1596" s="262"/>
      <c r="I1596" s="262"/>
      <c r="J1596" s="262"/>
      <c r="K1596" s="262"/>
      <c r="L1596" s="262"/>
      <c r="M1596" s="262"/>
      <c r="N1596" s="262"/>
      <c r="O1596" s="262"/>
      <c r="P1596" s="262"/>
      <c r="Q1596" s="262"/>
      <c r="R1596" s="262"/>
      <c r="S1596" s="262"/>
      <c r="T1596" s="262"/>
      <c r="U1596" s="262"/>
      <c r="V1596" s="262"/>
      <c r="W1596" s="262"/>
      <c r="X1596" s="262"/>
      <c r="Y1596" s="262"/>
      <c r="Z1596" s="262"/>
      <c r="AA1596" s="262"/>
      <c r="AB1596" s="262"/>
      <c r="AC1596" s="262"/>
      <c r="AD1596" s="262"/>
      <c r="AE1596" s="262"/>
      <c r="AF1596" s="147"/>
      <c r="AG1596" s="147"/>
      <c r="AH1596" s="147"/>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row>
    <row r="1597" spans="1:59" ht="15.75" customHeight="1" x14ac:dyDescent="0.2">
      <c r="A1597" s="162"/>
      <c r="B1597" s="162"/>
      <c r="C1597" s="206"/>
      <c r="D1597" s="262"/>
      <c r="E1597" s="262"/>
      <c r="F1597" s="262"/>
      <c r="G1597" s="262"/>
      <c r="H1597" s="262"/>
      <c r="I1597" s="262"/>
      <c r="J1597" s="262"/>
      <c r="K1597" s="262"/>
      <c r="L1597" s="262"/>
      <c r="M1597" s="262"/>
      <c r="N1597" s="262"/>
      <c r="O1597" s="262"/>
      <c r="P1597" s="262"/>
      <c r="Q1597" s="262"/>
      <c r="R1597" s="262"/>
      <c r="S1597" s="262"/>
      <c r="T1597" s="262"/>
      <c r="U1597" s="262"/>
      <c r="V1597" s="262"/>
      <c r="W1597" s="262"/>
      <c r="X1597" s="262"/>
      <c r="Y1597" s="262"/>
      <c r="Z1597" s="262"/>
      <c r="AA1597" s="262"/>
      <c r="AB1597" s="262"/>
      <c r="AC1597" s="262"/>
      <c r="AD1597" s="262"/>
      <c r="AE1597" s="262"/>
      <c r="AF1597" s="147"/>
      <c r="AG1597" s="147"/>
      <c r="AH1597" s="147"/>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row>
    <row r="1598" spans="1:59" ht="15.75" customHeight="1" x14ac:dyDescent="0.2">
      <c r="A1598" s="162"/>
      <c r="B1598" s="162"/>
      <c r="C1598" s="206"/>
      <c r="D1598" s="262"/>
      <c r="E1598" s="262"/>
      <c r="F1598" s="262"/>
      <c r="G1598" s="262"/>
      <c r="H1598" s="262"/>
      <c r="I1598" s="262"/>
      <c r="J1598" s="262"/>
      <c r="K1598" s="262"/>
      <c r="L1598" s="262"/>
      <c r="M1598" s="262"/>
      <c r="N1598" s="262"/>
      <c r="O1598" s="262"/>
      <c r="P1598" s="262"/>
      <c r="Q1598" s="262"/>
      <c r="R1598" s="262"/>
      <c r="S1598" s="262"/>
      <c r="T1598" s="262"/>
      <c r="U1598" s="262"/>
      <c r="V1598" s="262"/>
      <c r="W1598" s="262"/>
      <c r="X1598" s="262"/>
      <c r="Y1598" s="262"/>
      <c r="Z1598" s="262"/>
      <c r="AA1598" s="262"/>
      <c r="AB1598" s="262"/>
      <c r="AC1598" s="262"/>
      <c r="AD1598" s="262"/>
      <c r="AE1598" s="262"/>
      <c r="AF1598" s="147"/>
      <c r="AG1598" s="147"/>
      <c r="AH1598" s="147"/>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row>
    <row r="1599" spans="1:59" ht="15.75" customHeight="1" x14ac:dyDescent="0.2">
      <c r="A1599" s="162"/>
      <c r="B1599" s="162"/>
      <c r="C1599" s="206"/>
      <c r="D1599" s="262"/>
      <c r="E1599" s="262"/>
      <c r="F1599" s="262"/>
      <c r="G1599" s="262"/>
      <c r="H1599" s="262"/>
      <c r="I1599" s="262"/>
      <c r="J1599" s="262"/>
      <c r="K1599" s="262"/>
      <c r="L1599" s="262"/>
      <c r="M1599" s="262"/>
      <c r="N1599" s="262"/>
      <c r="O1599" s="262"/>
      <c r="P1599" s="262"/>
      <c r="Q1599" s="262"/>
      <c r="R1599" s="262"/>
      <c r="S1599" s="262"/>
      <c r="T1599" s="262"/>
      <c r="U1599" s="262"/>
      <c r="V1599" s="262"/>
      <c r="W1599" s="262"/>
      <c r="X1599" s="262"/>
      <c r="Y1599" s="262"/>
      <c r="Z1599" s="262"/>
      <c r="AA1599" s="262"/>
      <c r="AB1599" s="262"/>
      <c r="AC1599" s="262"/>
      <c r="AD1599" s="262"/>
      <c r="AE1599" s="262"/>
      <c r="AF1599" s="147"/>
      <c r="AG1599" s="147"/>
      <c r="AH1599" s="147"/>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row>
    <row r="1600" spans="1:59" ht="15.75" customHeight="1" x14ac:dyDescent="0.2">
      <c r="A1600" s="162"/>
      <c r="B1600" s="162"/>
      <c r="C1600" s="206"/>
      <c r="D1600" s="262"/>
      <c r="E1600" s="262"/>
      <c r="F1600" s="262"/>
      <c r="G1600" s="262"/>
      <c r="H1600" s="262"/>
      <c r="I1600" s="262"/>
      <c r="J1600" s="262"/>
      <c r="K1600" s="262"/>
      <c r="L1600" s="262"/>
      <c r="M1600" s="262"/>
      <c r="N1600" s="262"/>
      <c r="O1600" s="262"/>
      <c r="P1600" s="262"/>
      <c r="Q1600" s="262"/>
      <c r="R1600" s="262"/>
      <c r="S1600" s="262"/>
      <c r="T1600" s="262"/>
      <c r="U1600" s="262"/>
      <c r="V1600" s="262"/>
      <c r="W1600" s="262"/>
      <c r="X1600" s="262"/>
      <c r="Y1600" s="262"/>
      <c r="Z1600" s="262"/>
      <c r="AA1600" s="262"/>
      <c r="AB1600" s="262"/>
      <c r="AC1600" s="262"/>
      <c r="AD1600" s="262"/>
      <c r="AE1600" s="262"/>
      <c r="AF1600" s="147"/>
      <c r="AG1600" s="147"/>
      <c r="AH1600" s="147"/>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row>
    <row r="1601" spans="1:59" ht="15.75" customHeight="1" x14ac:dyDescent="0.2">
      <c r="A1601" s="162"/>
      <c r="B1601" s="162"/>
      <c r="C1601" s="206"/>
      <c r="D1601" s="262"/>
      <c r="E1601" s="262"/>
      <c r="F1601" s="262"/>
      <c r="G1601" s="262"/>
      <c r="H1601" s="262"/>
      <c r="I1601" s="262"/>
      <c r="J1601" s="262"/>
      <c r="K1601" s="262"/>
      <c r="L1601" s="262"/>
      <c r="M1601" s="262"/>
      <c r="N1601" s="262"/>
      <c r="O1601" s="262"/>
      <c r="P1601" s="262"/>
      <c r="Q1601" s="262"/>
      <c r="R1601" s="262"/>
      <c r="S1601" s="262"/>
      <c r="T1601" s="262"/>
      <c r="U1601" s="262"/>
      <c r="V1601" s="262"/>
      <c r="W1601" s="262"/>
      <c r="X1601" s="262"/>
      <c r="Y1601" s="262"/>
      <c r="Z1601" s="262"/>
      <c r="AA1601" s="262"/>
      <c r="AB1601" s="262"/>
      <c r="AC1601" s="262"/>
      <c r="AD1601" s="262"/>
      <c r="AE1601" s="262"/>
      <c r="AF1601" s="147"/>
      <c r="AG1601" s="147"/>
      <c r="AH1601" s="147"/>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row>
    <row r="1602" spans="1:59" ht="15.75" customHeight="1" x14ac:dyDescent="0.2">
      <c r="A1602" s="162"/>
      <c r="B1602" s="162"/>
      <c r="C1602" s="206"/>
      <c r="D1602" s="262"/>
      <c r="E1602" s="262"/>
      <c r="F1602" s="262"/>
      <c r="G1602" s="262"/>
      <c r="H1602" s="262"/>
      <c r="I1602" s="262"/>
      <c r="J1602" s="262"/>
      <c r="K1602" s="262"/>
      <c r="L1602" s="262"/>
      <c r="M1602" s="262"/>
      <c r="N1602" s="262"/>
      <c r="O1602" s="262"/>
      <c r="P1602" s="262"/>
      <c r="Q1602" s="262"/>
      <c r="R1602" s="262"/>
      <c r="S1602" s="262"/>
      <c r="T1602" s="262"/>
      <c r="U1602" s="262"/>
      <c r="V1602" s="262"/>
      <c r="W1602" s="262"/>
      <c r="X1602" s="262"/>
      <c r="Y1602" s="262"/>
      <c r="Z1602" s="262"/>
      <c r="AA1602" s="262"/>
      <c r="AB1602" s="262"/>
      <c r="AC1602" s="262"/>
      <c r="AD1602" s="262"/>
      <c r="AE1602" s="262"/>
      <c r="AF1602" s="147"/>
      <c r="AG1602" s="147"/>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row>
    <row r="1603" spans="1:59" ht="15.75" customHeight="1" x14ac:dyDescent="0.2">
      <c r="A1603" s="162"/>
      <c r="B1603" s="162"/>
      <c r="C1603" s="206"/>
      <c r="D1603" s="262"/>
      <c r="E1603" s="262"/>
      <c r="F1603" s="262"/>
      <c r="G1603" s="262"/>
      <c r="H1603" s="262"/>
      <c r="I1603" s="262"/>
      <c r="J1603" s="262"/>
      <c r="K1603" s="262"/>
      <c r="L1603" s="262"/>
      <c r="M1603" s="262"/>
      <c r="N1603" s="262"/>
      <c r="O1603" s="262"/>
      <c r="P1603" s="262"/>
      <c r="Q1603" s="262"/>
      <c r="R1603" s="262"/>
      <c r="S1603" s="262"/>
      <c r="T1603" s="262"/>
      <c r="U1603" s="262"/>
      <c r="V1603" s="262"/>
      <c r="W1603" s="262"/>
      <c r="X1603" s="262"/>
      <c r="Y1603" s="262"/>
      <c r="Z1603" s="262"/>
      <c r="AA1603" s="262"/>
      <c r="AB1603" s="262"/>
      <c r="AC1603" s="262"/>
      <c r="AD1603" s="262"/>
      <c r="AE1603" s="262"/>
      <c r="AF1603" s="147"/>
      <c r="AG1603" s="147"/>
      <c r="AH1603" s="147"/>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row>
    <row r="1604" spans="1:59" ht="15.75" customHeight="1" x14ac:dyDescent="0.2">
      <c r="A1604" s="162"/>
      <c r="B1604" s="162"/>
      <c r="C1604" s="206"/>
      <c r="D1604" s="262"/>
      <c r="E1604" s="262"/>
      <c r="F1604" s="262"/>
      <c r="G1604" s="262"/>
      <c r="H1604" s="262"/>
      <c r="I1604" s="262"/>
      <c r="J1604" s="262"/>
      <c r="K1604" s="262"/>
      <c r="L1604" s="262"/>
      <c r="M1604" s="262"/>
      <c r="N1604" s="262"/>
      <c r="O1604" s="262"/>
      <c r="P1604" s="262"/>
      <c r="Q1604" s="262"/>
      <c r="R1604" s="262"/>
      <c r="S1604" s="262"/>
      <c r="T1604" s="262"/>
      <c r="U1604" s="262"/>
      <c r="V1604" s="262"/>
      <c r="W1604" s="262"/>
      <c r="X1604" s="262"/>
      <c r="Y1604" s="262"/>
      <c r="Z1604" s="262"/>
      <c r="AA1604" s="262"/>
      <c r="AB1604" s="262"/>
      <c r="AC1604" s="262"/>
      <c r="AD1604" s="262"/>
      <c r="AE1604" s="262"/>
      <c r="AF1604" s="147"/>
      <c r="AG1604" s="147"/>
      <c r="AH1604" s="147"/>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row>
    <row r="1605" spans="1:59" ht="15.75" customHeight="1" x14ac:dyDescent="0.2">
      <c r="A1605" s="162"/>
      <c r="B1605" s="162"/>
      <c r="C1605" s="206"/>
      <c r="D1605" s="262"/>
      <c r="E1605" s="262"/>
      <c r="F1605" s="262"/>
      <c r="G1605" s="262"/>
      <c r="H1605" s="262"/>
      <c r="I1605" s="262"/>
      <c r="J1605" s="262"/>
      <c r="K1605" s="262"/>
      <c r="L1605" s="262"/>
      <c r="M1605" s="262"/>
      <c r="N1605" s="262"/>
      <c r="O1605" s="262"/>
      <c r="P1605" s="262"/>
      <c r="Q1605" s="262"/>
      <c r="R1605" s="262"/>
      <c r="S1605" s="262"/>
      <c r="T1605" s="262"/>
      <c r="U1605" s="262"/>
      <c r="V1605" s="262"/>
      <c r="W1605" s="262"/>
      <c r="X1605" s="262"/>
      <c r="Y1605" s="262"/>
      <c r="Z1605" s="262"/>
      <c r="AA1605" s="262"/>
      <c r="AB1605" s="262"/>
      <c r="AC1605" s="262"/>
      <c r="AD1605" s="262"/>
      <c r="AE1605" s="262"/>
      <c r="AF1605" s="147"/>
      <c r="AG1605" s="147"/>
      <c r="AH1605" s="147"/>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row>
    <row r="1606" spans="1:59" ht="15.75" customHeight="1" x14ac:dyDescent="0.2">
      <c r="A1606" s="162"/>
      <c r="B1606" s="162"/>
      <c r="C1606" s="206"/>
      <c r="D1606" s="262"/>
      <c r="E1606" s="262"/>
      <c r="F1606" s="262"/>
      <c r="G1606" s="262"/>
      <c r="H1606" s="262"/>
      <c r="I1606" s="262"/>
      <c r="J1606" s="262"/>
      <c r="K1606" s="262"/>
      <c r="L1606" s="262"/>
      <c r="M1606" s="262"/>
      <c r="N1606" s="262"/>
      <c r="O1606" s="262"/>
      <c r="P1606" s="262"/>
      <c r="Q1606" s="262"/>
      <c r="R1606" s="262"/>
      <c r="S1606" s="262"/>
      <c r="T1606" s="262"/>
      <c r="U1606" s="262"/>
      <c r="V1606" s="262"/>
      <c r="W1606" s="262"/>
      <c r="X1606" s="262"/>
      <c r="Y1606" s="262"/>
      <c r="Z1606" s="262"/>
      <c r="AA1606" s="262"/>
      <c r="AB1606" s="262"/>
      <c r="AC1606" s="262"/>
      <c r="AD1606" s="262"/>
      <c r="AE1606" s="262"/>
      <c r="AF1606" s="147"/>
      <c r="AG1606" s="147"/>
      <c r="AH1606" s="147"/>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row>
    <row r="1607" spans="1:59" ht="15.75" customHeight="1" x14ac:dyDescent="0.2">
      <c r="A1607" s="162"/>
      <c r="B1607" s="162"/>
      <c r="C1607" s="206"/>
      <c r="D1607" s="262"/>
      <c r="E1607" s="262"/>
      <c r="F1607" s="262"/>
      <c r="G1607" s="262"/>
      <c r="H1607" s="262"/>
      <c r="I1607" s="262"/>
      <c r="J1607" s="262"/>
      <c r="K1607" s="262"/>
      <c r="L1607" s="262"/>
      <c r="M1607" s="262"/>
      <c r="N1607" s="262"/>
      <c r="O1607" s="262"/>
      <c r="P1607" s="262"/>
      <c r="Q1607" s="262"/>
      <c r="R1607" s="262"/>
      <c r="S1607" s="262"/>
      <c r="T1607" s="262"/>
      <c r="U1607" s="262"/>
      <c r="V1607" s="262"/>
      <c r="W1607" s="262"/>
      <c r="X1607" s="262"/>
      <c r="Y1607" s="262"/>
      <c r="Z1607" s="262"/>
      <c r="AA1607" s="262"/>
      <c r="AB1607" s="262"/>
      <c r="AC1607" s="262"/>
      <c r="AD1607" s="262"/>
      <c r="AE1607" s="262"/>
      <c r="AF1607" s="147"/>
      <c r="AG1607" s="147"/>
      <c r="AH1607" s="147"/>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row>
    <row r="1608" spans="1:59" ht="15.75" customHeight="1" x14ac:dyDescent="0.2">
      <c r="A1608" s="162"/>
      <c r="B1608" s="162"/>
      <c r="C1608" s="206"/>
      <c r="D1608" s="262"/>
      <c r="E1608" s="262"/>
      <c r="F1608" s="262"/>
      <c r="G1608" s="262"/>
      <c r="H1608" s="262"/>
      <c r="I1608" s="262"/>
      <c r="J1608" s="262"/>
      <c r="K1608" s="262"/>
      <c r="L1608" s="262"/>
      <c r="M1608" s="262"/>
      <c r="N1608" s="262"/>
      <c r="O1608" s="262"/>
      <c r="P1608" s="262"/>
      <c r="Q1608" s="262"/>
      <c r="R1608" s="262"/>
      <c r="S1608" s="262"/>
      <c r="T1608" s="262"/>
      <c r="U1608" s="262"/>
      <c r="V1608" s="262"/>
      <c r="W1608" s="262"/>
      <c r="X1608" s="262"/>
      <c r="Y1608" s="262"/>
      <c r="Z1608" s="262"/>
      <c r="AA1608" s="262"/>
      <c r="AB1608" s="262"/>
      <c r="AC1608" s="262"/>
      <c r="AD1608" s="262"/>
      <c r="AE1608" s="262"/>
      <c r="AF1608" s="147"/>
      <c r="AG1608" s="147"/>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row>
    <row r="1609" spans="1:59" ht="15.75" customHeight="1" x14ac:dyDescent="0.2">
      <c r="A1609" s="162"/>
      <c r="B1609" s="162"/>
      <c r="C1609" s="206"/>
      <c r="D1609" s="262"/>
      <c r="E1609" s="262"/>
      <c r="F1609" s="262"/>
      <c r="G1609" s="262"/>
      <c r="H1609" s="262"/>
      <c r="I1609" s="262"/>
      <c r="J1609" s="262"/>
      <c r="K1609" s="262"/>
      <c r="L1609" s="262"/>
      <c r="M1609" s="262"/>
      <c r="N1609" s="262"/>
      <c r="O1609" s="262"/>
      <c r="P1609" s="262"/>
      <c r="Q1609" s="262"/>
      <c r="R1609" s="262"/>
      <c r="S1609" s="262"/>
      <c r="T1609" s="262"/>
      <c r="U1609" s="262"/>
      <c r="V1609" s="262"/>
      <c r="W1609" s="262"/>
      <c r="X1609" s="262"/>
      <c r="Y1609" s="262"/>
      <c r="Z1609" s="262"/>
      <c r="AA1609" s="262"/>
      <c r="AB1609" s="262"/>
      <c r="AC1609" s="262"/>
      <c r="AD1609" s="262"/>
      <c r="AE1609" s="262"/>
      <c r="AF1609" s="147"/>
      <c r="AG1609" s="147"/>
      <c r="AH1609" s="147"/>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row>
    <row r="1610" spans="1:59" ht="15.75" customHeight="1" x14ac:dyDescent="0.2">
      <c r="A1610" s="162"/>
      <c r="B1610" s="162"/>
      <c r="C1610" s="206"/>
      <c r="D1610" s="262"/>
      <c r="E1610" s="262"/>
      <c r="F1610" s="262"/>
      <c r="G1610" s="262"/>
      <c r="H1610" s="262"/>
      <c r="I1610" s="262"/>
      <c r="J1610" s="262"/>
      <c r="K1610" s="262"/>
      <c r="L1610" s="262"/>
      <c r="M1610" s="262"/>
      <c r="N1610" s="262"/>
      <c r="O1610" s="262"/>
      <c r="P1610" s="262"/>
      <c r="Q1610" s="262"/>
      <c r="R1610" s="262"/>
      <c r="S1610" s="262"/>
      <c r="T1610" s="262"/>
      <c r="U1610" s="262"/>
      <c r="V1610" s="262"/>
      <c r="W1610" s="262"/>
      <c r="X1610" s="262"/>
      <c r="Y1610" s="262"/>
      <c r="Z1610" s="262"/>
      <c r="AA1610" s="262"/>
      <c r="AB1610" s="262"/>
      <c r="AC1610" s="262"/>
      <c r="AD1610" s="262"/>
      <c r="AE1610" s="262"/>
      <c r="AF1610" s="147"/>
      <c r="AG1610" s="147"/>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row>
    <row r="1611" spans="1:59" ht="15.75" customHeight="1" x14ac:dyDescent="0.2">
      <c r="A1611" s="162"/>
      <c r="B1611" s="162"/>
      <c r="C1611" s="206"/>
      <c r="D1611" s="262"/>
      <c r="E1611" s="262"/>
      <c r="F1611" s="262"/>
      <c r="G1611" s="262"/>
      <c r="H1611" s="262"/>
      <c r="I1611" s="262"/>
      <c r="J1611" s="262"/>
      <c r="K1611" s="262"/>
      <c r="L1611" s="262"/>
      <c r="M1611" s="262"/>
      <c r="N1611" s="262"/>
      <c r="O1611" s="262"/>
      <c r="P1611" s="262"/>
      <c r="Q1611" s="262"/>
      <c r="R1611" s="262"/>
      <c r="S1611" s="262"/>
      <c r="T1611" s="262"/>
      <c r="U1611" s="262"/>
      <c r="V1611" s="262"/>
      <c r="W1611" s="262"/>
      <c r="X1611" s="262"/>
      <c r="Y1611" s="262"/>
      <c r="Z1611" s="262"/>
      <c r="AA1611" s="262"/>
      <c r="AB1611" s="262"/>
      <c r="AC1611" s="262"/>
      <c r="AD1611" s="262"/>
      <c r="AE1611" s="262"/>
      <c r="AF1611" s="147"/>
      <c r="AG1611" s="147"/>
      <c r="AH1611" s="147"/>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row>
    <row r="1612" spans="1:59" ht="15.75" customHeight="1" x14ac:dyDescent="0.2">
      <c r="A1612" s="162"/>
      <c r="B1612" s="162"/>
      <c r="C1612" s="206"/>
      <c r="D1612" s="262"/>
      <c r="E1612" s="262"/>
      <c r="F1612" s="262"/>
      <c r="G1612" s="262"/>
      <c r="H1612" s="262"/>
      <c r="I1612" s="262"/>
      <c r="J1612" s="262"/>
      <c r="K1612" s="262"/>
      <c r="L1612" s="262"/>
      <c r="M1612" s="262"/>
      <c r="N1612" s="262"/>
      <c r="O1612" s="262"/>
      <c r="P1612" s="262"/>
      <c r="Q1612" s="262"/>
      <c r="R1612" s="262"/>
      <c r="S1612" s="262"/>
      <c r="T1612" s="262"/>
      <c r="U1612" s="262"/>
      <c r="V1612" s="262"/>
      <c r="W1612" s="262"/>
      <c r="X1612" s="262"/>
      <c r="Y1612" s="262"/>
      <c r="Z1612" s="262"/>
      <c r="AA1612" s="262"/>
      <c r="AB1612" s="262"/>
      <c r="AC1612" s="262"/>
      <c r="AD1612" s="262"/>
      <c r="AE1612" s="262"/>
      <c r="AF1612" s="147"/>
      <c r="AG1612" s="147"/>
      <c r="AH1612" s="147"/>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row>
    <row r="1613" spans="1:59" ht="15.75" customHeight="1" x14ac:dyDescent="0.2">
      <c r="A1613" s="162"/>
      <c r="B1613" s="162"/>
      <c r="C1613" s="206"/>
      <c r="D1613" s="262"/>
      <c r="E1613" s="262"/>
      <c r="F1613" s="262"/>
      <c r="G1613" s="262"/>
      <c r="H1613" s="262"/>
      <c r="I1613" s="262"/>
      <c r="J1613" s="262"/>
      <c r="K1613" s="262"/>
      <c r="L1613" s="262"/>
      <c r="M1613" s="262"/>
      <c r="N1613" s="262"/>
      <c r="O1613" s="262"/>
      <c r="P1613" s="262"/>
      <c r="Q1613" s="262"/>
      <c r="R1613" s="262"/>
      <c r="S1613" s="262"/>
      <c r="T1613" s="262"/>
      <c r="U1613" s="262"/>
      <c r="V1613" s="262"/>
      <c r="W1613" s="262"/>
      <c r="X1613" s="262"/>
      <c r="Y1613" s="262"/>
      <c r="Z1613" s="262"/>
      <c r="AA1613" s="262"/>
      <c r="AB1613" s="262"/>
      <c r="AC1613" s="262"/>
      <c r="AD1613" s="262"/>
      <c r="AE1613" s="262"/>
      <c r="AF1613" s="147"/>
      <c r="AG1613" s="147"/>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row>
    <row r="1614" spans="1:59" ht="15.75" customHeight="1" x14ac:dyDescent="0.2">
      <c r="A1614" s="162"/>
      <c r="B1614" s="162"/>
      <c r="C1614" s="206"/>
      <c r="D1614" s="262"/>
      <c r="E1614" s="262"/>
      <c r="F1614" s="262"/>
      <c r="G1614" s="262"/>
      <c r="H1614" s="262"/>
      <c r="I1614" s="262"/>
      <c r="J1614" s="262"/>
      <c r="K1614" s="262"/>
      <c r="L1614" s="262"/>
      <c r="M1614" s="262"/>
      <c r="N1614" s="262"/>
      <c r="O1614" s="262"/>
      <c r="P1614" s="262"/>
      <c r="Q1614" s="262"/>
      <c r="R1614" s="262"/>
      <c r="S1614" s="262"/>
      <c r="T1614" s="262"/>
      <c r="U1614" s="262"/>
      <c r="V1614" s="262"/>
      <c r="W1614" s="262"/>
      <c r="X1614" s="262"/>
      <c r="Y1614" s="262"/>
      <c r="Z1614" s="262"/>
      <c r="AA1614" s="262"/>
      <c r="AB1614" s="262"/>
      <c r="AC1614" s="262"/>
      <c r="AD1614" s="262"/>
      <c r="AE1614" s="262"/>
      <c r="AF1614" s="147"/>
      <c r="AG1614" s="147"/>
      <c r="AH1614" s="147"/>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row>
    <row r="1615" spans="1:59" ht="15.75" customHeight="1" x14ac:dyDescent="0.2">
      <c r="A1615" s="162"/>
      <c r="B1615" s="162"/>
      <c r="C1615" s="206"/>
      <c r="D1615" s="262"/>
      <c r="E1615" s="262"/>
      <c r="F1615" s="262"/>
      <c r="G1615" s="262"/>
      <c r="H1615" s="262"/>
      <c r="I1615" s="262"/>
      <c r="J1615" s="262"/>
      <c r="K1615" s="262"/>
      <c r="L1615" s="262"/>
      <c r="M1615" s="262"/>
      <c r="N1615" s="262"/>
      <c r="O1615" s="262"/>
      <c r="P1615" s="262"/>
      <c r="Q1615" s="262"/>
      <c r="R1615" s="262"/>
      <c r="S1615" s="262"/>
      <c r="T1615" s="262"/>
      <c r="U1615" s="262"/>
      <c r="V1615" s="262"/>
      <c r="W1615" s="262"/>
      <c r="X1615" s="262"/>
      <c r="Y1615" s="262"/>
      <c r="Z1615" s="262"/>
      <c r="AA1615" s="262"/>
      <c r="AB1615" s="262"/>
      <c r="AC1615" s="262"/>
      <c r="AD1615" s="262"/>
      <c r="AE1615" s="262"/>
      <c r="AF1615" s="147"/>
      <c r="AG1615" s="147"/>
      <c r="AH1615" s="147"/>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row>
    <row r="1616" spans="1:59" ht="15.75" customHeight="1" x14ac:dyDescent="0.2">
      <c r="A1616" s="162"/>
      <c r="B1616" s="162"/>
      <c r="C1616" s="206"/>
      <c r="D1616" s="262"/>
      <c r="E1616" s="262"/>
      <c r="F1616" s="262"/>
      <c r="G1616" s="262"/>
      <c r="H1616" s="262"/>
      <c r="I1616" s="262"/>
      <c r="J1616" s="262"/>
      <c r="K1616" s="262"/>
      <c r="L1616" s="262"/>
      <c r="M1616" s="262"/>
      <c r="N1616" s="262"/>
      <c r="O1616" s="262"/>
      <c r="P1616" s="262"/>
      <c r="Q1616" s="262"/>
      <c r="R1616" s="262"/>
      <c r="S1616" s="262"/>
      <c r="T1616" s="262"/>
      <c r="U1616" s="262"/>
      <c r="V1616" s="262"/>
      <c r="W1616" s="262"/>
      <c r="X1616" s="262"/>
      <c r="Y1616" s="262"/>
      <c r="Z1616" s="262"/>
      <c r="AA1616" s="262"/>
      <c r="AB1616" s="262"/>
      <c r="AC1616" s="262"/>
      <c r="AD1616" s="262"/>
      <c r="AE1616" s="262"/>
      <c r="AF1616" s="147"/>
      <c r="AG1616" s="147"/>
      <c r="AH1616" s="147"/>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row>
    <row r="1617" spans="1:59" ht="15.75" customHeight="1" x14ac:dyDescent="0.2">
      <c r="A1617" s="162"/>
      <c r="B1617" s="162"/>
      <c r="C1617" s="206"/>
      <c r="D1617" s="262"/>
      <c r="E1617" s="262"/>
      <c r="F1617" s="262"/>
      <c r="G1617" s="262"/>
      <c r="H1617" s="262"/>
      <c r="I1617" s="262"/>
      <c r="J1617" s="262"/>
      <c r="K1617" s="262"/>
      <c r="L1617" s="262"/>
      <c r="M1617" s="262"/>
      <c r="N1617" s="262"/>
      <c r="O1617" s="262"/>
      <c r="P1617" s="262"/>
      <c r="Q1617" s="262"/>
      <c r="R1617" s="262"/>
      <c r="S1617" s="262"/>
      <c r="T1617" s="262"/>
      <c r="U1617" s="262"/>
      <c r="V1617" s="262"/>
      <c r="W1617" s="262"/>
      <c r="X1617" s="262"/>
      <c r="Y1617" s="262"/>
      <c r="Z1617" s="262"/>
      <c r="AA1617" s="262"/>
      <c r="AB1617" s="262"/>
      <c r="AC1617" s="262"/>
      <c r="AD1617" s="262"/>
      <c r="AE1617" s="262"/>
      <c r="AF1617" s="147"/>
      <c r="AG1617" s="147"/>
      <c r="AH1617" s="147"/>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row>
    <row r="1618" spans="1:59" ht="15.75" customHeight="1" x14ac:dyDescent="0.2">
      <c r="A1618" s="162"/>
      <c r="B1618" s="162"/>
      <c r="C1618" s="206"/>
      <c r="D1618" s="262"/>
      <c r="E1618" s="262"/>
      <c r="F1618" s="262"/>
      <c r="G1618" s="262"/>
      <c r="H1618" s="262"/>
      <c r="I1618" s="262"/>
      <c r="J1618" s="262"/>
      <c r="K1618" s="262"/>
      <c r="L1618" s="262"/>
      <c r="M1618" s="262"/>
      <c r="N1618" s="262"/>
      <c r="O1618" s="262"/>
      <c r="P1618" s="262"/>
      <c r="Q1618" s="262"/>
      <c r="R1618" s="262"/>
      <c r="S1618" s="262"/>
      <c r="T1618" s="262"/>
      <c r="U1618" s="262"/>
      <c r="V1618" s="262"/>
      <c r="W1618" s="262"/>
      <c r="X1618" s="262"/>
      <c r="Y1618" s="262"/>
      <c r="Z1618" s="262"/>
      <c r="AA1618" s="262"/>
      <c r="AB1618" s="262"/>
      <c r="AC1618" s="262"/>
      <c r="AD1618" s="262"/>
      <c r="AE1618" s="262"/>
      <c r="AF1618" s="147"/>
      <c r="AG1618" s="147"/>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row>
    <row r="1619" spans="1:59" ht="15.75" customHeight="1" x14ac:dyDescent="0.2">
      <c r="A1619" s="162"/>
      <c r="B1619" s="162"/>
      <c r="C1619" s="206"/>
      <c r="D1619" s="262"/>
      <c r="E1619" s="262"/>
      <c r="F1619" s="262"/>
      <c r="G1619" s="262"/>
      <c r="H1619" s="262"/>
      <c r="I1619" s="262"/>
      <c r="J1619" s="262"/>
      <c r="K1619" s="262"/>
      <c r="L1619" s="262"/>
      <c r="M1619" s="262"/>
      <c r="N1619" s="262"/>
      <c r="O1619" s="262"/>
      <c r="P1619" s="262"/>
      <c r="Q1619" s="262"/>
      <c r="R1619" s="262"/>
      <c r="S1619" s="262"/>
      <c r="T1619" s="262"/>
      <c r="U1619" s="262"/>
      <c r="V1619" s="262"/>
      <c r="W1619" s="262"/>
      <c r="X1619" s="262"/>
      <c r="Y1619" s="262"/>
      <c r="Z1619" s="262"/>
      <c r="AA1619" s="262"/>
      <c r="AB1619" s="262"/>
      <c r="AC1619" s="262"/>
      <c r="AD1619" s="262"/>
      <c r="AE1619" s="262"/>
      <c r="AF1619" s="147"/>
      <c r="AG1619" s="147"/>
      <c r="AH1619" s="147"/>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row>
    <row r="1620" spans="1:59" ht="15.75" customHeight="1" x14ac:dyDescent="0.2">
      <c r="A1620" s="162"/>
      <c r="B1620" s="162"/>
      <c r="C1620" s="206"/>
      <c r="D1620" s="262"/>
      <c r="E1620" s="262"/>
      <c r="F1620" s="262"/>
      <c r="G1620" s="262"/>
      <c r="H1620" s="262"/>
      <c r="I1620" s="262"/>
      <c r="J1620" s="262"/>
      <c r="K1620" s="262"/>
      <c r="L1620" s="262"/>
      <c r="M1620" s="262"/>
      <c r="N1620" s="262"/>
      <c r="O1620" s="262"/>
      <c r="P1620" s="262"/>
      <c r="Q1620" s="262"/>
      <c r="R1620" s="262"/>
      <c r="S1620" s="262"/>
      <c r="T1620" s="262"/>
      <c r="U1620" s="262"/>
      <c r="V1620" s="262"/>
      <c r="W1620" s="262"/>
      <c r="X1620" s="262"/>
      <c r="Y1620" s="262"/>
      <c r="Z1620" s="262"/>
      <c r="AA1620" s="262"/>
      <c r="AB1620" s="262"/>
      <c r="AC1620" s="262"/>
      <c r="AD1620" s="262"/>
      <c r="AE1620" s="262"/>
      <c r="AF1620" s="147"/>
      <c r="AG1620" s="147"/>
      <c r="AH1620" s="147"/>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row>
    <row r="1621" spans="1:59" ht="15.75" customHeight="1" x14ac:dyDescent="0.2">
      <c r="A1621" s="162"/>
      <c r="B1621" s="162"/>
      <c r="C1621" s="206"/>
      <c r="D1621" s="262"/>
      <c r="E1621" s="262"/>
      <c r="F1621" s="262"/>
      <c r="G1621" s="262"/>
      <c r="H1621" s="262"/>
      <c r="I1621" s="262"/>
      <c r="J1621" s="262"/>
      <c r="K1621" s="262"/>
      <c r="L1621" s="262"/>
      <c r="M1621" s="262"/>
      <c r="N1621" s="262"/>
      <c r="O1621" s="262"/>
      <c r="P1621" s="262"/>
      <c r="Q1621" s="262"/>
      <c r="R1621" s="262"/>
      <c r="S1621" s="262"/>
      <c r="T1621" s="262"/>
      <c r="U1621" s="262"/>
      <c r="V1621" s="262"/>
      <c r="W1621" s="262"/>
      <c r="X1621" s="262"/>
      <c r="Y1621" s="262"/>
      <c r="Z1621" s="262"/>
      <c r="AA1621" s="262"/>
      <c r="AB1621" s="262"/>
      <c r="AC1621" s="262"/>
      <c r="AD1621" s="262"/>
      <c r="AE1621" s="262"/>
      <c r="AF1621" s="147"/>
      <c r="AG1621" s="147"/>
      <c r="AH1621" s="147"/>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row>
    <row r="1622" spans="1:59" ht="15.75" customHeight="1" x14ac:dyDescent="0.2">
      <c r="A1622" s="162"/>
      <c r="B1622" s="162"/>
      <c r="C1622" s="206"/>
      <c r="D1622" s="262"/>
      <c r="E1622" s="262"/>
      <c r="F1622" s="262"/>
      <c r="G1622" s="262"/>
      <c r="H1622" s="262"/>
      <c r="I1622" s="262"/>
      <c r="J1622" s="262"/>
      <c r="K1622" s="262"/>
      <c r="L1622" s="262"/>
      <c r="M1622" s="262"/>
      <c r="N1622" s="262"/>
      <c r="O1622" s="262"/>
      <c r="P1622" s="262"/>
      <c r="Q1622" s="262"/>
      <c r="R1622" s="262"/>
      <c r="S1622" s="262"/>
      <c r="T1622" s="262"/>
      <c r="U1622" s="262"/>
      <c r="V1622" s="262"/>
      <c r="W1622" s="262"/>
      <c r="X1622" s="262"/>
      <c r="Y1622" s="262"/>
      <c r="Z1622" s="262"/>
      <c r="AA1622" s="262"/>
      <c r="AB1622" s="262"/>
      <c r="AC1622" s="262"/>
      <c r="AD1622" s="262"/>
      <c r="AE1622" s="262"/>
      <c r="AF1622" s="147"/>
      <c r="AG1622" s="147"/>
      <c r="AH1622" s="147"/>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row>
    <row r="1623" spans="1:59" ht="15.75" customHeight="1" x14ac:dyDescent="0.2">
      <c r="A1623" s="162"/>
      <c r="B1623" s="162"/>
      <c r="C1623" s="206"/>
      <c r="D1623" s="262"/>
      <c r="E1623" s="262"/>
      <c r="F1623" s="262"/>
      <c r="G1623" s="262"/>
      <c r="H1623" s="262"/>
      <c r="I1623" s="262"/>
      <c r="J1623" s="262"/>
      <c r="K1623" s="262"/>
      <c r="L1623" s="262"/>
      <c r="M1623" s="262"/>
      <c r="N1623" s="262"/>
      <c r="O1623" s="262"/>
      <c r="P1623" s="262"/>
      <c r="Q1623" s="262"/>
      <c r="R1623" s="262"/>
      <c r="S1623" s="262"/>
      <c r="T1623" s="262"/>
      <c r="U1623" s="262"/>
      <c r="V1623" s="262"/>
      <c r="W1623" s="262"/>
      <c r="X1623" s="262"/>
      <c r="Y1623" s="262"/>
      <c r="Z1623" s="262"/>
      <c r="AA1623" s="262"/>
      <c r="AB1623" s="262"/>
      <c r="AC1623" s="262"/>
      <c r="AD1623" s="262"/>
      <c r="AE1623" s="262"/>
      <c r="AF1623" s="147"/>
      <c r="AG1623" s="147"/>
      <c r="AH1623" s="147"/>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row>
    <row r="1624" spans="1:59" ht="15.75" customHeight="1" x14ac:dyDescent="0.2">
      <c r="A1624" s="162"/>
      <c r="B1624" s="162"/>
      <c r="C1624" s="206"/>
      <c r="D1624" s="262"/>
      <c r="E1624" s="262"/>
      <c r="F1624" s="262"/>
      <c r="G1624" s="262"/>
      <c r="H1624" s="262"/>
      <c r="I1624" s="262"/>
      <c r="J1624" s="262"/>
      <c r="K1624" s="262"/>
      <c r="L1624" s="262"/>
      <c r="M1624" s="262"/>
      <c r="N1624" s="262"/>
      <c r="O1624" s="262"/>
      <c r="P1624" s="262"/>
      <c r="Q1624" s="262"/>
      <c r="R1624" s="262"/>
      <c r="S1624" s="262"/>
      <c r="T1624" s="262"/>
      <c r="U1624" s="262"/>
      <c r="V1624" s="262"/>
      <c r="W1624" s="262"/>
      <c r="X1624" s="262"/>
      <c r="Y1624" s="262"/>
      <c r="Z1624" s="262"/>
      <c r="AA1624" s="262"/>
      <c r="AB1624" s="262"/>
      <c r="AC1624" s="262"/>
      <c r="AD1624" s="262"/>
      <c r="AE1624" s="262"/>
      <c r="AF1624" s="147"/>
      <c r="AG1624" s="147"/>
      <c r="AH1624" s="147"/>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row>
    <row r="1625" spans="1:59" ht="15.75" customHeight="1" x14ac:dyDescent="0.2">
      <c r="A1625" s="162"/>
      <c r="B1625" s="162"/>
      <c r="C1625" s="206"/>
      <c r="D1625" s="262"/>
      <c r="E1625" s="262"/>
      <c r="F1625" s="262"/>
      <c r="G1625" s="262"/>
      <c r="H1625" s="262"/>
      <c r="I1625" s="262"/>
      <c r="J1625" s="262"/>
      <c r="K1625" s="262"/>
      <c r="L1625" s="262"/>
      <c r="M1625" s="262"/>
      <c r="N1625" s="262"/>
      <c r="O1625" s="262"/>
      <c r="P1625" s="262"/>
      <c r="Q1625" s="262"/>
      <c r="R1625" s="262"/>
      <c r="S1625" s="262"/>
      <c r="T1625" s="262"/>
      <c r="U1625" s="262"/>
      <c r="V1625" s="262"/>
      <c r="W1625" s="262"/>
      <c r="X1625" s="262"/>
      <c r="Y1625" s="262"/>
      <c r="Z1625" s="262"/>
      <c r="AA1625" s="262"/>
      <c r="AB1625" s="262"/>
      <c r="AC1625" s="262"/>
      <c r="AD1625" s="262"/>
      <c r="AE1625" s="262"/>
      <c r="AF1625" s="147"/>
      <c r="AG1625" s="147"/>
      <c r="AH1625" s="147"/>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row>
    <row r="1626" spans="1:59" ht="15.75" customHeight="1" x14ac:dyDescent="0.2">
      <c r="A1626" s="162"/>
      <c r="B1626" s="162"/>
      <c r="C1626" s="206"/>
      <c r="D1626" s="262"/>
      <c r="E1626" s="262"/>
      <c r="F1626" s="262"/>
      <c r="G1626" s="262"/>
      <c r="H1626" s="262"/>
      <c r="I1626" s="262"/>
      <c r="J1626" s="262"/>
      <c r="K1626" s="262"/>
      <c r="L1626" s="262"/>
      <c r="M1626" s="262"/>
      <c r="N1626" s="262"/>
      <c r="O1626" s="262"/>
      <c r="P1626" s="262"/>
      <c r="Q1626" s="262"/>
      <c r="R1626" s="262"/>
      <c r="S1626" s="262"/>
      <c r="T1626" s="262"/>
      <c r="U1626" s="262"/>
      <c r="V1626" s="262"/>
      <c r="W1626" s="262"/>
      <c r="X1626" s="262"/>
      <c r="Y1626" s="262"/>
      <c r="Z1626" s="262"/>
      <c r="AA1626" s="262"/>
      <c r="AB1626" s="262"/>
      <c r="AC1626" s="262"/>
      <c r="AD1626" s="262"/>
      <c r="AE1626" s="262"/>
      <c r="AF1626" s="147"/>
      <c r="AG1626" s="147"/>
      <c r="AH1626" s="147"/>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row>
    <row r="1627" spans="1:59" ht="15.75" customHeight="1" x14ac:dyDescent="0.2">
      <c r="A1627" s="162"/>
      <c r="B1627" s="162"/>
      <c r="C1627" s="206"/>
      <c r="D1627" s="262"/>
      <c r="E1627" s="262"/>
      <c r="F1627" s="262"/>
      <c r="G1627" s="262"/>
      <c r="H1627" s="262"/>
      <c r="I1627" s="262"/>
      <c r="J1627" s="262"/>
      <c r="K1627" s="262"/>
      <c r="L1627" s="262"/>
      <c r="M1627" s="262"/>
      <c r="N1627" s="262"/>
      <c r="O1627" s="262"/>
      <c r="P1627" s="262"/>
      <c r="Q1627" s="262"/>
      <c r="R1627" s="262"/>
      <c r="S1627" s="262"/>
      <c r="T1627" s="262"/>
      <c r="U1627" s="262"/>
      <c r="V1627" s="262"/>
      <c r="W1627" s="262"/>
      <c r="X1627" s="262"/>
      <c r="Y1627" s="262"/>
      <c r="Z1627" s="262"/>
      <c r="AA1627" s="262"/>
      <c r="AB1627" s="262"/>
      <c r="AC1627" s="262"/>
      <c r="AD1627" s="262"/>
      <c r="AE1627" s="262"/>
      <c r="AF1627" s="147"/>
      <c r="AG1627" s="147"/>
      <c r="AH1627" s="147"/>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row>
    <row r="1628" spans="1:59" ht="15.75" customHeight="1" x14ac:dyDescent="0.2">
      <c r="A1628" s="162"/>
      <c r="B1628" s="162"/>
      <c r="C1628" s="206"/>
      <c r="D1628" s="262"/>
      <c r="E1628" s="262"/>
      <c r="F1628" s="262"/>
      <c r="G1628" s="262"/>
      <c r="H1628" s="262"/>
      <c r="I1628" s="262"/>
      <c r="J1628" s="262"/>
      <c r="K1628" s="262"/>
      <c r="L1628" s="262"/>
      <c r="M1628" s="262"/>
      <c r="N1628" s="262"/>
      <c r="O1628" s="262"/>
      <c r="P1628" s="262"/>
      <c r="Q1628" s="262"/>
      <c r="R1628" s="262"/>
      <c r="S1628" s="262"/>
      <c r="T1628" s="262"/>
      <c r="U1628" s="262"/>
      <c r="V1628" s="262"/>
      <c r="W1628" s="262"/>
      <c r="X1628" s="262"/>
      <c r="Y1628" s="262"/>
      <c r="Z1628" s="262"/>
      <c r="AA1628" s="262"/>
      <c r="AB1628" s="262"/>
      <c r="AC1628" s="262"/>
      <c r="AD1628" s="262"/>
      <c r="AE1628" s="262"/>
      <c r="AF1628" s="147"/>
      <c r="AG1628" s="147"/>
      <c r="AH1628" s="147"/>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row>
    <row r="1629" spans="1:59" ht="15.75" customHeight="1" x14ac:dyDescent="0.2">
      <c r="A1629" s="162"/>
      <c r="B1629" s="162"/>
      <c r="C1629" s="206"/>
      <c r="D1629" s="262"/>
      <c r="E1629" s="262"/>
      <c r="F1629" s="262"/>
      <c r="G1629" s="262"/>
      <c r="H1629" s="262"/>
      <c r="I1629" s="262"/>
      <c r="J1629" s="262"/>
      <c r="K1629" s="262"/>
      <c r="L1629" s="262"/>
      <c r="M1629" s="262"/>
      <c r="N1629" s="262"/>
      <c r="O1629" s="262"/>
      <c r="P1629" s="262"/>
      <c r="Q1629" s="262"/>
      <c r="R1629" s="262"/>
      <c r="S1629" s="262"/>
      <c r="T1629" s="262"/>
      <c r="U1629" s="262"/>
      <c r="V1629" s="262"/>
      <c r="W1629" s="262"/>
      <c r="X1629" s="262"/>
      <c r="Y1629" s="262"/>
      <c r="Z1629" s="262"/>
      <c r="AA1629" s="262"/>
      <c r="AB1629" s="262"/>
      <c r="AC1629" s="262"/>
      <c r="AD1629" s="262"/>
      <c r="AE1629" s="262"/>
      <c r="AF1629" s="147"/>
      <c r="AG1629" s="147"/>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row>
    <row r="1630" spans="1:59" ht="15.75" customHeight="1" x14ac:dyDescent="0.2">
      <c r="A1630" s="162"/>
      <c r="B1630" s="162"/>
      <c r="C1630" s="206"/>
      <c r="D1630" s="262"/>
      <c r="E1630" s="262"/>
      <c r="F1630" s="262"/>
      <c r="G1630" s="262"/>
      <c r="H1630" s="262"/>
      <c r="I1630" s="262"/>
      <c r="J1630" s="262"/>
      <c r="K1630" s="262"/>
      <c r="L1630" s="262"/>
      <c r="M1630" s="262"/>
      <c r="N1630" s="262"/>
      <c r="O1630" s="262"/>
      <c r="P1630" s="262"/>
      <c r="Q1630" s="262"/>
      <c r="R1630" s="262"/>
      <c r="S1630" s="262"/>
      <c r="T1630" s="262"/>
      <c r="U1630" s="262"/>
      <c r="V1630" s="262"/>
      <c r="W1630" s="262"/>
      <c r="X1630" s="262"/>
      <c r="Y1630" s="262"/>
      <c r="Z1630" s="262"/>
      <c r="AA1630" s="262"/>
      <c r="AB1630" s="262"/>
      <c r="AC1630" s="262"/>
      <c r="AD1630" s="262"/>
      <c r="AE1630" s="262"/>
      <c r="AF1630" s="147"/>
      <c r="AG1630" s="147"/>
      <c r="AH1630" s="147"/>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row>
    <row r="1631" spans="1:59" ht="15.75" customHeight="1" x14ac:dyDescent="0.2">
      <c r="A1631" s="162"/>
      <c r="B1631" s="162"/>
      <c r="C1631" s="206"/>
      <c r="D1631" s="262"/>
      <c r="E1631" s="262"/>
      <c r="F1631" s="262"/>
      <c r="G1631" s="262"/>
      <c r="H1631" s="262"/>
      <c r="I1631" s="262"/>
      <c r="J1631" s="262"/>
      <c r="K1631" s="262"/>
      <c r="L1631" s="262"/>
      <c r="M1631" s="262"/>
      <c r="N1631" s="262"/>
      <c r="O1631" s="262"/>
      <c r="P1631" s="262"/>
      <c r="Q1631" s="262"/>
      <c r="R1631" s="262"/>
      <c r="S1631" s="262"/>
      <c r="T1631" s="262"/>
      <c r="U1631" s="262"/>
      <c r="V1631" s="262"/>
      <c r="W1631" s="262"/>
      <c r="X1631" s="262"/>
      <c r="Y1631" s="262"/>
      <c r="Z1631" s="262"/>
      <c r="AA1631" s="262"/>
      <c r="AB1631" s="262"/>
      <c r="AC1631" s="262"/>
      <c r="AD1631" s="262"/>
      <c r="AE1631" s="262"/>
      <c r="AF1631" s="147"/>
      <c r="AG1631" s="147"/>
      <c r="AH1631" s="147"/>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row>
    <row r="1632" spans="1:59" ht="15.75" customHeight="1" x14ac:dyDescent="0.2">
      <c r="A1632" s="162"/>
      <c r="B1632" s="162"/>
      <c r="C1632" s="206"/>
      <c r="D1632" s="262"/>
      <c r="E1632" s="262"/>
      <c r="F1632" s="262"/>
      <c r="G1632" s="262"/>
      <c r="H1632" s="262"/>
      <c r="I1632" s="262"/>
      <c r="J1632" s="262"/>
      <c r="K1632" s="262"/>
      <c r="L1632" s="262"/>
      <c r="M1632" s="262"/>
      <c r="N1632" s="262"/>
      <c r="O1632" s="262"/>
      <c r="P1632" s="262"/>
      <c r="Q1632" s="262"/>
      <c r="R1632" s="262"/>
      <c r="S1632" s="262"/>
      <c r="T1632" s="262"/>
      <c r="U1632" s="262"/>
      <c r="V1632" s="262"/>
      <c r="W1632" s="262"/>
      <c r="X1632" s="262"/>
      <c r="Y1632" s="262"/>
      <c r="Z1632" s="262"/>
      <c r="AA1632" s="262"/>
      <c r="AB1632" s="262"/>
      <c r="AC1632" s="262"/>
      <c r="AD1632" s="262"/>
      <c r="AE1632" s="262"/>
      <c r="AF1632" s="147"/>
      <c r="AG1632" s="147"/>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row>
    <row r="1633" spans="1:59" ht="15.75" customHeight="1" x14ac:dyDescent="0.2">
      <c r="A1633" s="162"/>
      <c r="B1633" s="162"/>
      <c r="C1633" s="206"/>
      <c r="D1633" s="262"/>
      <c r="E1633" s="262"/>
      <c r="F1633" s="262"/>
      <c r="G1633" s="262"/>
      <c r="H1633" s="262"/>
      <c r="I1633" s="262"/>
      <c r="J1633" s="262"/>
      <c r="K1633" s="262"/>
      <c r="L1633" s="262"/>
      <c r="M1633" s="262"/>
      <c r="N1633" s="262"/>
      <c r="O1633" s="262"/>
      <c r="P1633" s="262"/>
      <c r="Q1633" s="262"/>
      <c r="R1633" s="262"/>
      <c r="S1633" s="262"/>
      <c r="T1633" s="262"/>
      <c r="U1633" s="262"/>
      <c r="V1633" s="262"/>
      <c r="W1633" s="262"/>
      <c r="X1633" s="262"/>
      <c r="Y1633" s="262"/>
      <c r="Z1633" s="262"/>
      <c r="AA1633" s="262"/>
      <c r="AB1633" s="262"/>
      <c r="AC1633" s="262"/>
      <c r="AD1633" s="262"/>
      <c r="AE1633" s="262"/>
      <c r="AF1633" s="147"/>
      <c r="AG1633" s="147"/>
      <c r="AH1633" s="147"/>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row>
    <row r="1634" spans="1:59" ht="15.75" customHeight="1" x14ac:dyDescent="0.2">
      <c r="A1634" s="162"/>
      <c r="B1634" s="162"/>
      <c r="C1634" s="206"/>
      <c r="D1634" s="262"/>
      <c r="E1634" s="262"/>
      <c r="F1634" s="262"/>
      <c r="G1634" s="262"/>
      <c r="H1634" s="262"/>
      <c r="I1634" s="262"/>
      <c r="J1634" s="262"/>
      <c r="K1634" s="262"/>
      <c r="L1634" s="262"/>
      <c r="M1634" s="262"/>
      <c r="N1634" s="262"/>
      <c r="O1634" s="262"/>
      <c r="P1634" s="262"/>
      <c r="Q1634" s="262"/>
      <c r="R1634" s="262"/>
      <c r="S1634" s="262"/>
      <c r="T1634" s="262"/>
      <c r="U1634" s="262"/>
      <c r="V1634" s="262"/>
      <c r="W1634" s="262"/>
      <c r="X1634" s="262"/>
      <c r="Y1634" s="262"/>
      <c r="Z1634" s="262"/>
      <c r="AA1634" s="262"/>
      <c r="AB1634" s="262"/>
      <c r="AC1634" s="262"/>
      <c r="AD1634" s="262"/>
      <c r="AE1634" s="262"/>
      <c r="AF1634" s="147"/>
      <c r="AG1634" s="147"/>
      <c r="AH1634" s="147"/>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row>
    <row r="1635" spans="1:59" ht="15.75" customHeight="1" x14ac:dyDescent="0.2">
      <c r="A1635" s="162"/>
      <c r="B1635" s="162"/>
      <c r="C1635" s="206"/>
      <c r="D1635" s="262"/>
      <c r="E1635" s="262"/>
      <c r="F1635" s="262"/>
      <c r="G1635" s="262"/>
      <c r="H1635" s="262"/>
      <c r="I1635" s="262"/>
      <c r="J1635" s="262"/>
      <c r="K1635" s="262"/>
      <c r="L1635" s="262"/>
      <c r="M1635" s="262"/>
      <c r="N1635" s="262"/>
      <c r="O1635" s="262"/>
      <c r="P1635" s="262"/>
      <c r="Q1635" s="262"/>
      <c r="R1635" s="262"/>
      <c r="S1635" s="262"/>
      <c r="T1635" s="262"/>
      <c r="U1635" s="262"/>
      <c r="V1635" s="262"/>
      <c r="W1635" s="262"/>
      <c r="X1635" s="262"/>
      <c r="Y1635" s="262"/>
      <c r="Z1635" s="262"/>
      <c r="AA1635" s="262"/>
      <c r="AB1635" s="262"/>
      <c r="AC1635" s="262"/>
      <c r="AD1635" s="262"/>
      <c r="AE1635" s="262"/>
      <c r="AF1635" s="147"/>
      <c r="AG1635" s="147"/>
      <c r="AH1635" s="147"/>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row>
    <row r="1636" spans="1:59" ht="15.75" customHeight="1" x14ac:dyDescent="0.2">
      <c r="A1636" s="162"/>
      <c r="B1636" s="162"/>
      <c r="C1636" s="206"/>
      <c r="D1636" s="262"/>
      <c r="E1636" s="262"/>
      <c r="F1636" s="262"/>
      <c r="G1636" s="262"/>
      <c r="H1636" s="262"/>
      <c r="I1636" s="262"/>
      <c r="J1636" s="262"/>
      <c r="K1636" s="262"/>
      <c r="L1636" s="262"/>
      <c r="M1636" s="262"/>
      <c r="N1636" s="262"/>
      <c r="O1636" s="262"/>
      <c r="P1636" s="262"/>
      <c r="Q1636" s="262"/>
      <c r="R1636" s="262"/>
      <c r="S1636" s="262"/>
      <c r="T1636" s="262"/>
      <c r="U1636" s="262"/>
      <c r="V1636" s="262"/>
      <c r="W1636" s="262"/>
      <c r="X1636" s="262"/>
      <c r="Y1636" s="262"/>
      <c r="Z1636" s="262"/>
      <c r="AA1636" s="262"/>
      <c r="AB1636" s="262"/>
      <c r="AC1636" s="262"/>
      <c r="AD1636" s="262"/>
      <c r="AE1636" s="262"/>
      <c r="AF1636" s="147"/>
      <c r="AG1636" s="147"/>
      <c r="AH1636" s="147"/>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row>
    <row r="1637" spans="1:59" ht="15.75" customHeight="1" x14ac:dyDescent="0.2">
      <c r="A1637" s="162"/>
      <c r="B1637" s="162"/>
      <c r="C1637" s="206"/>
      <c r="D1637" s="262"/>
      <c r="E1637" s="262"/>
      <c r="F1637" s="262"/>
      <c r="G1637" s="262"/>
      <c r="H1637" s="262"/>
      <c r="I1637" s="262"/>
      <c r="J1637" s="262"/>
      <c r="K1637" s="262"/>
      <c r="L1637" s="262"/>
      <c r="M1637" s="262"/>
      <c r="N1637" s="262"/>
      <c r="O1637" s="262"/>
      <c r="P1637" s="262"/>
      <c r="Q1637" s="262"/>
      <c r="R1637" s="262"/>
      <c r="S1637" s="262"/>
      <c r="T1637" s="262"/>
      <c r="U1637" s="262"/>
      <c r="V1637" s="262"/>
      <c r="W1637" s="262"/>
      <c r="X1637" s="262"/>
      <c r="Y1637" s="262"/>
      <c r="Z1637" s="262"/>
      <c r="AA1637" s="262"/>
      <c r="AB1637" s="262"/>
      <c r="AC1637" s="262"/>
      <c r="AD1637" s="262"/>
      <c r="AE1637" s="262"/>
      <c r="AF1637" s="147"/>
      <c r="AG1637" s="147"/>
      <c r="AH1637" s="147"/>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row>
    <row r="1638" spans="1:59" ht="15.75" customHeight="1" x14ac:dyDescent="0.2">
      <c r="A1638" s="162"/>
      <c r="B1638" s="162"/>
      <c r="C1638" s="206"/>
      <c r="D1638" s="262"/>
      <c r="E1638" s="262"/>
      <c r="F1638" s="262"/>
      <c r="G1638" s="262"/>
      <c r="H1638" s="262"/>
      <c r="I1638" s="262"/>
      <c r="J1638" s="262"/>
      <c r="K1638" s="262"/>
      <c r="L1638" s="262"/>
      <c r="M1638" s="262"/>
      <c r="N1638" s="262"/>
      <c r="O1638" s="262"/>
      <c r="P1638" s="262"/>
      <c r="Q1638" s="262"/>
      <c r="R1638" s="262"/>
      <c r="S1638" s="262"/>
      <c r="T1638" s="262"/>
      <c r="U1638" s="262"/>
      <c r="V1638" s="262"/>
      <c r="W1638" s="262"/>
      <c r="X1638" s="262"/>
      <c r="Y1638" s="262"/>
      <c r="Z1638" s="262"/>
      <c r="AA1638" s="262"/>
      <c r="AB1638" s="262"/>
      <c r="AC1638" s="262"/>
      <c r="AD1638" s="262"/>
      <c r="AE1638" s="262"/>
      <c r="AF1638" s="147"/>
      <c r="AG1638" s="147"/>
      <c r="AH1638" s="147"/>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row>
    <row r="1639" spans="1:59" ht="15.75" customHeight="1" x14ac:dyDescent="0.2">
      <c r="A1639" s="162"/>
      <c r="B1639" s="162"/>
      <c r="C1639" s="206"/>
      <c r="D1639" s="262"/>
      <c r="E1639" s="262"/>
      <c r="F1639" s="262"/>
      <c r="G1639" s="262"/>
      <c r="H1639" s="262"/>
      <c r="I1639" s="262"/>
      <c r="J1639" s="262"/>
      <c r="K1639" s="262"/>
      <c r="L1639" s="262"/>
      <c r="M1639" s="262"/>
      <c r="N1639" s="262"/>
      <c r="O1639" s="262"/>
      <c r="P1639" s="262"/>
      <c r="Q1639" s="262"/>
      <c r="R1639" s="262"/>
      <c r="S1639" s="262"/>
      <c r="T1639" s="262"/>
      <c r="U1639" s="262"/>
      <c r="V1639" s="262"/>
      <c r="W1639" s="262"/>
      <c r="X1639" s="262"/>
      <c r="Y1639" s="262"/>
      <c r="Z1639" s="262"/>
      <c r="AA1639" s="262"/>
      <c r="AB1639" s="262"/>
      <c r="AC1639" s="262"/>
      <c r="AD1639" s="262"/>
      <c r="AE1639" s="262"/>
      <c r="AF1639" s="147"/>
      <c r="AG1639" s="147"/>
      <c r="AH1639" s="147"/>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row>
    <row r="1640" spans="1:59" ht="15.75" customHeight="1" x14ac:dyDescent="0.2">
      <c r="A1640" s="162"/>
      <c r="B1640" s="162"/>
      <c r="C1640" s="206"/>
      <c r="D1640" s="262"/>
      <c r="E1640" s="262"/>
      <c r="F1640" s="262"/>
      <c r="G1640" s="262"/>
      <c r="H1640" s="262"/>
      <c r="I1640" s="262"/>
      <c r="J1640" s="262"/>
      <c r="K1640" s="262"/>
      <c r="L1640" s="262"/>
      <c r="M1640" s="262"/>
      <c r="N1640" s="262"/>
      <c r="O1640" s="262"/>
      <c r="P1640" s="262"/>
      <c r="Q1640" s="262"/>
      <c r="R1640" s="262"/>
      <c r="S1640" s="262"/>
      <c r="T1640" s="262"/>
      <c r="U1640" s="262"/>
      <c r="V1640" s="262"/>
      <c r="W1640" s="262"/>
      <c r="X1640" s="262"/>
      <c r="Y1640" s="262"/>
      <c r="Z1640" s="262"/>
      <c r="AA1640" s="262"/>
      <c r="AB1640" s="262"/>
      <c r="AC1640" s="262"/>
      <c r="AD1640" s="262"/>
      <c r="AE1640" s="262"/>
      <c r="AF1640" s="147"/>
      <c r="AG1640" s="147"/>
      <c r="AH1640" s="147"/>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row>
    <row r="1641" spans="1:59" ht="15.75" customHeight="1" x14ac:dyDescent="0.2">
      <c r="A1641" s="162"/>
      <c r="B1641" s="162"/>
      <c r="C1641" s="206"/>
      <c r="D1641" s="262"/>
      <c r="E1641" s="262"/>
      <c r="F1641" s="262"/>
      <c r="G1641" s="262"/>
      <c r="H1641" s="262"/>
      <c r="I1641" s="262"/>
      <c r="J1641" s="262"/>
      <c r="K1641" s="262"/>
      <c r="L1641" s="262"/>
      <c r="M1641" s="262"/>
      <c r="N1641" s="262"/>
      <c r="O1641" s="262"/>
      <c r="P1641" s="262"/>
      <c r="Q1641" s="262"/>
      <c r="R1641" s="262"/>
      <c r="S1641" s="262"/>
      <c r="T1641" s="262"/>
      <c r="U1641" s="262"/>
      <c r="V1641" s="262"/>
      <c r="W1641" s="262"/>
      <c r="X1641" s="262"/>
      <c r="Y1641" s="262"/>
      <c r="Z1641" s="262"/>
      <c r="AA1641" s="262"/>
      <c r="AB1641" s="262"/>
      <c r="AC1641" s="262"/>
      <c r="AD1641" s="262"/>
      <c r="AE1641" s="262"/>
      <c r="AF1641" s="147"/>
      <c r="AG1641" s="147"/>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row>
    <row r="1642" spans="1:59" ht="15.75" customHeight="1" x14ac:dyDescent="0.2">
      <c r="A1642" s="162"/>
      <c r="B1642" s="162"/>
      <c r="C1642" s="206"/>
      <c r="D1642" s="262"/>
      <c r="E1642" s="262"/>
      <c r="F1642" s="262"/>
      <c r="G1642" s="262"/>
      <c r="H1642" s="262"/>
      <c r="I1642" s="262"/>
      <c r="J1642" s="262"/>
      <c r="K1642" s="262"/>
      <c r="L1642" s="262"/>
      <c r="M1642" s="262"/>
      <c r="N1642" s="262"/>
      <c r="O1642" s="262"/>
      <c r="P1642" s="262"/>
      <c r="Q1642" s="262"/>
      <c r="R1642" s="262"/>
      <c r="S1642" s="262"/>
      <c r="T1642" s="262"/>
      <c r="U1642" s="262"/>
      <c r="V1642" s="262"/>
      <c r="W1642" s="262"/>
      <c r="X1642" s="262"/>
      <c r="Y1642" s="262"/>
      <c r="Z1642" s="262"/>
      <c r="AA1642" s="262"/>
      <c r="AB1642" s="262"/>
      <c r="AC1642" s="262"/>
      <c r="AD1642" s="262"/>
      <c r="AE1642" s="262"/>
      <c r="AF1642" s="147"/>
      <c r="AG1642" s="147"/>
      <c r="AH1642" s="147"/>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row>
    <row r="1643" spans="1:59" ht="15.75" customHeight="1" x14ac:dyDescent="0.2">
      <c r="A1643" s="162"/>
      <c r="B1643" s="162"/>
      <c r="C1643" s="206"/>
      <c r="D1643" s="262"/>
      <c r="E1643" s="262"/>
      <c r="F1643" s="262"/>
      <c r="G1643" s="262"/>
      <c r="H1643" s="262"/>
      <c r="I1643" s="262"/>
      <c r="J1643" s="262"/>
      <c r="K1643" s="262"/>
      <c r="L1643" s="262"/>
      <c r="M1643" s="262"/>
      <c r="N1643" s="262"/>
      <c r="O1643" s="262"/>
      <c r="P1643" s="262"/>
      <c r="Q1643" s="262"/>
      <c r="R1643" s="262"/>
      <c r="S1643" s="262"/>
      <c r="T1643" s="262"/>
      <c r="U1643" s="262"/>
      <c r="V1643" s="262"/>
      <c r="W1643" s="262"/>
      <c r="X1643" s="262"/>
      <c r="Y1643" s="262"/>
      <c r="Z1643" s="262"/>
      <c r="AA1643" s="262"/>
      <c r="AB1643" s="262"/>
      <c r="AC1643" s="262"/>
      <c r="AD1643" s="262"/>
      <c r="AE1643" s="262"/>
      <c r="AF1643" s="147"/>
      <c r="AG1643" s="147"/>
      <c r="AH1643" s="147"/>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row>
    <row r="1644" spans="1:59" ht="15.75" customHeight="1" x14ac:dyDescent="0.2">
      <c r="A1644" s="162"/>
      <c r="B1644" s="162"/>
      <c r="C1644" s="206"/>
      <c r="D1644" s="262"/>
      <c r="E1644" s="262"/>
      <c r="F1644" s="262"/>
      <c r="G1644" s="262"/>
      <c r="H1644" s="262"/>
      <c r="I1644" s="262"/>
      <c r="J1644" s="262"/>
      <c r="K1644" s="262"/>
      <c r="L1644" s="262"/>
      <c r="M1644" s="262"/>
      <c r="N1644" s="262"/>
      <c r="O1644" s="262"/>
      <c r="P1644" s="262"/>
      <c r="Q1644" s="262"/>
      <c r="R1644" s="262"/>
      <c r="S1644" s="262"/>
      <c r="T1644" s="262"/>
      <c r="U1644" s="262"/>
      <c r="V1644" s="262"/>
      <c r="W1644" s="262"/>
      <c r="X1644" s="262"/>
      <c r="Y1644" s="262"/>
      <c r="Z1644" s="262"/>
      <c r="AA1644" s="262"/>
      <c r="AB1644" s="262"/>
      <c r="AC1644" s="262"/>
      <c r="AD1644" s="262"/>
      <c r="AE1644" s="262"/>
      <c r="AF1644" s="147"/>
      <c r="AG1644" s="147"/>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row>
    <row r="1645" spans="1:59" ht="15.75" customHeight="1" x14ac:dyDescent="0.2">
      <c r="A1645" s="162"/>
      <c r="B1645" s="162"/>
      <c r="C1645" s="206"/>
      <c r="D1645" s="262"/>
      <c r="E1645" s="262"/>
      <c r="F1645" s="262"/>
      <c r="G1645" s="262"/>
      <c r="H1645" s="262"/>
      <c r="I1645" s="262"/>
      <c r="J1645" s="262"/>
      <c r="K1645" s="262"/>
      <c r="L1645" s="262"/>
      <c r="M1645" s="262"/>
      <c r="N1645" s="262"/>
      <c r="O1645" s="262"/>
      <c r="P1645" s="262"/>
      <c r="Q1645" s="262"/>
      <c r="R1645" s="262"/>
      <c r="S1645" s="262"/>
      <c r="T1645" s="262"/>
      <c r="U1645" s="262"/>
      <c r="V1645" s="262"/>
      <c r="W1645" s="262"/>
      <c r="X1645" s="262"/>
      <c r="Y1645" s="262"/>
      <c r="Z1645" s="262"/>
      <c r="AA1645" s="262"/>
      <c r="AB1645" s="262"/>
      <c r="AC1645" s="262"/>
      <c r="AD1645" s="262"/>
      <c r="AE1645" s="262"/>
      <c r="AF1645" s="147"/>
      <c r="AG1645" s="147"/>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row>
    <row r="1646" spans="1:59" ht="15.75" customHeight="1" x14ac:dyDescent="0.2">
      <c r="A1646" s="162"/>
      <c r="B1646" s="162"/>
      <c r="C1646" s="206"/>
      <c r="D1646" s="262"/>
      <c r="E1646" s="262"/>
      <c r="F1646" s="262"/>
      <c r="G1646" s="262"/>
      <c r="H1646" s="262"/>
      <c r="I1646" s="262"/>
      <c r="J1646" s="262"/>
      <c r="K1646" s="262"/>
      <c r="L1646" s="262"/>
      <c r="M1646" s="262"/>
      <c r="N1646" s="262"/>
      <c r="O1646" s="262"/>
      <c r="P1646" s="262"/>
      <c r="Q1646" s="262"/>
      <c r="R1646" s="262"/>
      <c r="S1646" s="262"/>
      <c r="T1646" s="262"/>
      <c r="U1646" s="262"/>
      <c r="V1646" s="262"/>
      <c r="W1646" s="262"/>
      <c r="X1646" s="262"/>
      <c r="Y1646" s="262"/>
      <c r="Z1646" s="262"/>
      <c r="AA1646" s="262"/>
      <c r="AB1646" s="262"/>
      <c r="AC1646" s="262"/>
      <c r="AD1646" s="262"/>
      <c r="AE1646" s="262"/>
      <c r="AF1646" s="147"/>
      <c r="AG1646" s="147"/>
      <c r="AH1646" s="147"/>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row>
    <row r="1647" spans="1:59" ht="15.75" customHeight="1" x14ac:dyDescent="0.2">
      <c r="A1647" s="162"/>
      <c r="B1647" s="162"/>
      <c r="C1647" s="206"/>
      <c r="D1647" s="262"/>
      <c r="E1647" s="262"/>
      <c r="F1647" s="262"/>
      <c r="G1647" s="262"/>
      <c r="H1647" s="262"/>
      <c r="I1647" s="262"/>
      <c r="J1647" s="262"/>
      <c r="K1647" s="262"/>
      <c r="L1647" s="262"/>
      <c r="M1647" s="262"/>
      <c r="N1647" s="262"/>
      <c r="O1647" s="262"/>
      <c r="P1647" s="262"/>
      <c r="Q1647" s="262"/>
      <c r="R1647" s="262"/>
      <c r="S1647" s="262"/>
      <c r="T1647" s="262"/>
      <c r="U1647" s="262"/>
      <c r="V1647" s="262"/>
      <c r="W1647" s="262"/>
      <c r="X1647" s="262"/>
      <c r="Y1647" s="262"/>
      <c r="Z1647" s="262"/>
      <c r="AA1647" s="262"/>
      <c r="AB1647" s="262"/>
      <c r="AC1647" s="262"/>
      <c r="AD1647" s="262"/>
      <c r="AE1647" s="262"/>
      <c r="AF1647" s="147"/>
      <c r="AG1647" s="147"/>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row>
    <row r="1648" spans="1:59" ht="15.75" customHeight="1" x14ac:dyDescent="0.2">
      <c r="A1648" s="162"/>
      <c r="B1648" s="162"/>
      <c r="C1648" s="206"/>
      <c r="D1648" s="262"/>
      <c r="E1648" s="262"/>
      <c r="F1648" s="262"/>
      <c r="G1648" s="262"/>
      <c r="H1648" s="262"/>
      <c r="I1648" s="262"/>
      <c r="J1648" s="262"/>
      <c r="K1648" s="262"/>
      <c r="L1648" s="262"/>
      <c r="M1648" s="262"/>
      <c r="N1648" s="262"/>
      <c r="O1648" s="262"/>
      <c r="P1648" s="262"/>
      <c r="Q1648" s="262"/>
      <c r="R1648" s="262"/>
      <c r="S1648" s="262"/>
      <c r="T1648" s="262"/>
      <c r="U1648" s="262"/>
      <c r="V1648" s="262"/>
      <c r="W1648" s="262"/>
      <c r="X1648" s="262"/>
      <c r="Y1648" s="262"/>
      <c r="Z1648" s="262"/>
      <c r="AA1648" s="262"/>
      <c r="AB1648" s="262"/>
      <c r="AC1648" s="262"/>
      <c r="AD1648" s="262"/>
      <c r="AE1648" s="262"/>
      <c r="AF1648" s="147"/>
      <c r="AG1648" s="147"/>
      <c r="AH1648" s="147"/>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row>
    <row r="1649" spans="1:59" ht="15.75" customHeight="1" x14ac:dyDescent="0.2">
      <c r="A1649" s="162"/>
      <c r="B1649" s="162"/>
      <c r="C1649" s="206"/>
      <c r="D1649" s="262"/>
      <c r="E1649" s="262"/>
      <c r="F1649" s="262"/>
      <c r="G1649" s="262"/>
      <c r="H1649" s="262"/>
      <c r="I1649" s="262"/>
      <c r="J1649" s="262"/>
      <c r="K1649" s="262"/>
      <c r="L1649" s="262"/>
      <c r="M1649" s="262"/>
      <c r="N1649" s="262"/>
      <c r="O1649" s="262"/>
      <c r="P1649" s="262"/>
      <c r="Q1649" s="262"/>
      <c r="R1649" s="262"/>
      <c r="S1649" s="262"/>
      <c r="T1649" s="262"/>
      <c r="U1649" s="262"/>
      <c r="V1649" s="262"/>
      <c r="W1649" s="262"/>
      <c r="X1649" s="262"/>
      <c r="Y1649" s="262"/>
      <c r="Z1649" s="262"/>
      <c r="AA1649" s="262"/>
      <c r="AB1649" s="262"/>
      <c r="AC1649" s="262"/>
      <c r="AD1649" s="262"/>
      <c r="AE1649" s="262"/>
      <c r="AF1649" s="147"/>
      <c r="AG1649" s="147"/>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row>
    <row r="1650" spans="1:59" ht="15.75" customHeight="1" x14ac:dyDescent="0.2">
      <c r="A1650" s="162"/>
      <c r="B1650" s="162"/>
      <c r="C1650" s="206"/>
      <c r="D1650" s="262"/>
      <c r="E1650" s="262"/>
      <c r="F1650" s="262"/>
      <c r="G1650" s="262"/>
      <c r="H1650" s="262"/>
      <c r="I1650" s="262"/>
      <c r="J1650" s="262"/>
      <c r="K1650" s="262"/>
      <c r="L1650" s="262"/>
      <c r="M1650" s="262"/>
      <c r="N1650" s="262"/>
      <c r="O1650" s="262"/>
      <c r="P1650" s="262"/>
      <c r="Q1650" s="262"/>
      <c r="R1650" s="262"/>
      <c r="S1650" s="262"/>
      <c r="T1650" s="262"/>
      <c r="U1650" s="262"/>
      <c r="V1650" s="262"/>
      <c r="W1650" s="262"/>
      <c r="X1650" s="262"/>
      <c r="Y1650" s="262"/>
      <c r="Z1650" s="262"/>
      <c r="AA1650" s="262"/>
      <c r="AB1650" s="262"/>
      <c r="AC1650" s="262"/>
      <c r="AD1650" s="262"/>
      <c r="AE1650" s="262"/>
      <c r="AF1650" s="147"/>
      <c r="AG1650" s="147"/>
      <c r="AH1650" s="147"/>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row>
    <row r="1651" spans="1:59" ht="15.75" customHeight="1" x14ac:dyDescent="0.2">
      <c r="A1651" s="162"/>
      <c r="B1651" s="162"/>
      <c r="C1651" s="206"/>
      <c r="D1651" s="262"/>
      <c r="E1651" s="262"/>
      <c r="F1651" s="262"/>
      <c r="G1651" s="262"/>
      <c r="H1651" s="262"/>
      <c r="I1651" s="262"/>
      <c r="J1651" s="262"/>
      <c r="K1651" s="262"/>
      <c r="L1651" s="262"/>
      <c r="M1651" s="262"/>
      <c r="N1651" s="262"/>
      <c r="O1651" s="262"/>
      <c r="P1651" s="262"/>
      <c r="Q1651" s="262"/>
      <c r="R1651" s="262"/>
      <c r="S1651" s="262"/>
      <c r="T1651" s="262"/>
      <c r="U1651" s="262"/>
      <c r="V1651" s="262"/>
      <c r="W1651" s="262"/>
      <c r="X1651" s="262"/>
      <c r="Y1651" s="262"/>
      <c r="Z1651" s="262"/>
      <c r="AA1651" s="262"/>
      <c r="AB1651" s="262"/>
      <c r="AC1651" s="262"/>
      <c r="AD1651" s="262"/>
      <c r="AE1651" s="262"/>
      <c r="AF1651" s="147"/>
      <c r="AG1651" s="147"/>
      <c r="AH1651" s="147"/>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row>
    <row r="1652" spans="1:59" ht="15.75" customHeight="1" x14ac:dyDescent="0.2">
      <c r="A1652" s="162"/>
      <c r="B1652" s="162"/>
      <c r="C1652" s="206"/>
      <c r="D1652" s="262"/>
      <c r="E1652" s="262"/>
      <c r="F1652" s="262"/>
      <c r="G1652" s="262"/>
      <c r="H1652" s="262"/>
      <c r="I1652" s="262"/>
      <c r="J1652" s="262"/>
      <c r="K1652" s="262"/>
      <c r="L1652" s="262"/>
      <c r="M1652" s="262"/>
      <c r="N1652" s="262"/>
      <c r="O1652" s="262"/>
      <c r="P1652" s="262"/>
      <c r="Q1652" s="262"/>
      <c r="R1652" s="262"/>
      <c r="S1652" s="262"/>
      <c r="T1652" s="262"/>
      <c r="U1652" s="262"/>
      <c r="V1652" s="262"/>
      <c r="W1652" s="262"/>
      <c r="X1652" s="262"/>
      <c r="Y1652" s="262"/>
      <c r="Z1652" s="262"/>
      <c r="AA1652" s="262"/>
      <c r="AB1652" s="262"/>
      <c r="AC1652" s="262"/>
      <c r="AD1652" s="262"/>
      <c r="AE1652" s="262"/>
      <c r="AF1652" s="147"/>
      <c r="AG1652" s="147"/>
      <c r="AH1652" s="147"/>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row>
    <row r="1653" spans="1:59" ht="15.75" customHeight="1" x14ac:dyDescent="0.2">
      <c r="A1653" s="162"/>
      <c r="B1653" s="162"/>
      <c r="C1653" s="206"/>
      <c r="D1653" s="262"/>
      <c r="E1653" s="262"/>
      <c r="F1653" s="262"/>
      <c r="G1653" s="262"/>
      <c r="H1653" s="262"/>
      <c r="I1653" s="262"/>
      <c r="J1653" s="262"/>
      <c r="K1653" s="262"/>
      <c r="L1653" s="262"/>
      <c r="M1653" s="262"/>
      <c r="N1653" s="262"/>
      <c r="O1653" s="262"/>
      <c r="P1653" s="262"/>
      <c r="Q1653" s="262"/>
      <c r="R1653" s="262"/>
      <c r="S1653" s="262"/>
      <c r="T1653" s="262"/>
      <c r="U1653" s="262"/>
      <c r="V1653" s="262"/>
      <c r="W1653" s="262"/>
      <c r="X1653" s="262"/>
      <c r="Y1653" s="262"/>
      <c r="Z1653" s="262"/>
      <c r="AA1653" s="262"/>
      <c r="AB1653" s="262"/>
      <c r="AC1653" s="262"/>
      <c r="AD1653" s="262"/>
      <c r="AE1653" s="262"/>
      <c r="AF1653" s="147"/>
      <c r="AG1653" s="147"/>
      <c r="AH1653" s="147"/>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row>
    <row r="1654" spans="1:59" ht="15.75" customHeight="1" x14ac:dyDescent="0.2">
      <c r="A1654" s="162"/>
      <c r="B1654" s="162"/>
      <c r="C1654" s="206"/>
      <c r="D1654" s="262"/>
      <c r="E1654" s="262"/>
      <c r="F1654" s="262"/>
      <c r="G1654" s="262"/>
      <c r="H1654" s="262"/>
      <c r="I1654" s="262"/>
      <c r="J1654" s="262"/>
      <c r="K1654" s="262"/>
      <c r="L1654" s="262"/>
      <c r="M1654" s="262"/>
      <c r="N1654" s="262"/>
      <c r="O1654" s="262"/>
      <c r="P1654" s="262"/>
      <c r="Q1654" s="262"/>
      <c r="R1654" s="262"/>
      <c r="S1654" s="262"/>
      <c r="T1654" s="262"/>
      <c r="U1654" s="262"/>
      <c r="V1654" s="262"/>
      <c r="W1654" s="262"/>
      <c r="X1654" s="262"/>
      <c r="Y1654" s="262"/>
      <c r="Z1654" s="262"/>
      <c r="AA1654" s="262"/>
      <c r="AB1654" s="262"/>
      <c r="AC1654" s="262"/>
      <c r="AD1654" s="262"/>
      <c r="AE1654" s="262"/>
      <c r="AF1654" s="147"/>
      <c r="AG1654" s="147"/>
      <c r="AH1654" s="147"/>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row>
    <row r="1655" spans="1:59" ht="15.75" customHeight="1" x14ac:dyDescent="0.2">
      <c r="A1655" s="162"/>
      <c r="B1655" s="162"/>
      <c r="C1655" s="206"/>
      <c r="D1655" s="262"/>
      <c r="E1655" s="262"/>
      <c r="F1655" s="262"/>
      <c r="G1655" s="262"/>
      <c r="H1655" s="262"/>
      <c r="I1655" s="262"/>
      <c r="J1655" s="262"/>
      <c r="K1655" s="262"/>
      <c r="L1655" s="262"/>
      <c r="M1655" s="262"/>
      <c r="N1655" s="262"/>
      <c r="O1655" s="262"/>
      <c r="P1655" s="262"/>
      <c r="Q1655" s="262"/>
      <c r="R1655" s="262"/>
      <c r="S1655" s="262"/>
      <c r="T1655" s="262"/>
      <c r="U1655" s="262"/>
      <c r="V1655" s="262"/>
      <c r="W1655" s="262"/>
      <c r="X1655" s="262"/>
      <c r="Y1655" s="262"/>
      <c r="Z1655" s="262"/>
      <c r="AA1655" s="262"/>
      <c r="AB1655" s="262"/>
      <c r="AC1655" s="262"/>
      <c r="AD1655" s="262"/>
      <c r="AE1655" s="262"/>
      <c r="AF1655" s="147"/>
      <c r="AG1655" s="147"/>
      <c r="AH1655" s="147"/>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row>
    <row r="1656" spans="1:59" ht="15.75" customHeight="1" x14ac:dyDescent="0.2">
      <c r="A1656" s="162"/>
      <c r="B1656" s="162"/>
      <c r="C1656" s="206"/>
      <c r="D1656" s="262"/>
      <c r="E1656" s="262"/>
      <c r="F1656" s="262"/>
      <c r="G1656" s="262"/>
      <c r="H1656" s="262"/>
      <c r="I1656" s="262"/>
      <c r="J1656" s="262"/>
      <c r="K1656" s="262"/>
      <c r="L1656" s="262"/>
      <c r="M1656" s="262"/>
      <c r="N1656" s="262"/>
      <c r="O1656" s="262"/>
      <c r="P1656" s="262"/>
      <c r="Q1656" s="262"/>
      <c r="R1656" s="262"/>
      <c r="S1656" s="262"/>
      <c r="T1656" s="262"/>
      <c r="U1656" s="262"/>
      <c r="V1656" s="262"/>
      <c r="W1656" s="262"/>
      <c r="X1656" s="262"/>
      <c r="Y1656" s="262"/>
      <c r="Z1656" s="262"/>
      <c r="AA1656" s="262"/>
      <c r="AB1656" s="262"/>
      <c r="AC1656" s="262"/>
      <c r="AD1656" s="262"/>
      <c r="AE1656" s="262"/>
      <c r="AF1656" s="147"/>
      <c r="AG1656" s="147"/>
      <c r="AH1656" s="147"/>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row>
    <row r="1657" spans="1:59" ht="15.75" customHeight="1" x14ac:dyDescent="0.2">
      <c r="A1657" s="162"/>
      <c r="B1657" s="162"/>
      <c r="C1657" s="206"/>
      <c r="D1657" s="262"/>
      <c r="E1657" s="262"/>
      <c r="F1657" s="262"/>
      <c r="G1657" s="262"/>
      <c r="H1657" s="262"/>
      <c r="I1657" s="262"/>
      <c r="J1657" s="262"/>
      <c r="K1657" s="262"/>
      <c r="L1657" s="262"/>
      <c r="M1657" s="262"/>
      <c r="N1657" s="262"/>
      <c r="O1657" s="262"/>
      <c r="P1657" s="262"/>
      <c r="Q1657" s="262"/>
      <c r="R1657" s="262"/>
      <c r="S1657" s="262"/>
      <c r="T1657" s="262"/>
      <c r="U1657" s="262"/>
      <c r="V1657" s="262"/>
      <c r="W1657" s="262"/>
      <c r="X1657" s="262"/>
      <c r="Y1657" s="262"/>
      <c r="Z1657" s="262"/>
      <c r="AA1657" s="262"/>
      <c r="AB1657" s="262"/>
      <c r="AC1657" s="262"/>
      <c r="AD1657" s="262"/>
      <c r="AE1657" s="262"/>
      <c r="AF1657" s="147"/>
      <c r="AG1657" s="147"/>
      <c r="AH1657" s="147"/>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row>
    <row r="1658" spans="1:59" ht="15.75" customHeight="1" x14ac:dyDescent="0.2">
      <c r="A1658" s="162"/>
      <c r="B1658" s="162"/>
      <c r="C1658" s="206"/>
      <c r="D1658" s="262"/>
      <c r="E1658" s="262"/>
      <c r="F1658" s="262"/>
      <c r="G1658" s="262"/>
      <c r="H1658" s="262"/>
      <c r="I1658" s="262"/>
      <c r="J1658" s="262"/>
      <c r="K1658" s="262"/>
      <c r="L1658" s="262"/>
      <c r="M1658" s="262"/>
      <c r="N1658" s="262"/>
      <c r="O1658" s="262"/>
      <c r="P1658" s="262"/>
      <c r="Q1658" s="262"/>
      <c r="R1658" s="262"/>
      <c r="S1658" s="262"/>
      <c r="T1658" s="262"/>
      <c r="U1658" s="262"/>
      <c r="V1658" s="262"/>
      <c r="W1658" s="262"/>
      <c r="X1658" s="262"/>
      <c r="Y1658" s="262"/>
      <c r="Z1658" s="262"/>
      <c r="AA1658" s="262"/>
      <c r="AB1658" s="262"/>
      <c r="AC1658" s="262"/>
      <c r="AD1658" s="262"/>
      <c r="AE1658" s="262"/>
      <c r="AF1658" s="147"/>
      <c r="AG1658" s="147"/>
      <c r="AH1658" s="147"/>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row>
    <row r="1659" spans="1:59" ht="15.75" customHeight="1" x14ac:dyDescent="0.2">
      <c r="A1659" s="162"/>
      <c r="B1659" s="162"/>
      <c r="C1659" s="206"/>
      <c r="D1659" s="262"/>
      <c r="E1659" s="262"/>
      <c r="F1659" s="262"/>
      <c r="G1659" s="262"/>
      <c r="H1659" s="262"/>
      <c r="I1659" s="262"/>
      <c r="J1659" s="262"/>
      <c r="K1659" s="262"/>
      <c r="L1659" s="262"/>
      <c r="M1659" s="262"/>
      <c r="N1659" s="262"/>
      <c r="O1659" s="262"/>
      <c r="P1659" s="262"/>
      <c r="Q1659" s="262"/>
      <c r="R1659" s="262"/>
      <c r="S1659" s="262"/>
      <c r="T1659" s="262"/>
      <c r="U1659" s="262"/>
      <c r="V1659" s="262"/>
      <c r="W1659" s="262"/>
      <c r="X1659" s="262"/>
      <c r="Y1659" s="262"/>
      <c r="Z1659" s="262"/>
      <c r="AA1659" s="262"/>
      <c r="AB1659" s="262"/>
      <c r="AC1659" s="262"/>
      <c r="AD1659" s="262"/>
      <c r="AE1659" s="262"/>
      <c r="AF1659" s="147"/>
      <c r="AG1659" s="147"/>
      <c r="AH1659" s="147"/>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row>
    <row r="1660" spans="1:59" ht="15.75" customHeight="1" x14ac:dyDescent="0.2">
      <c r="A1660" s="162"/>
      <c r="B1660" s="162"/>
      <c r="C1660" s="206"/>
      <c r="D1660" s="262"/>
      <c r="E1660" s="262"/>
      <c r="F1660" s="262"/>
      <c r="G1660" s="262"/>
      <c r="H1660" s="262"/>
      <c r="I1660" s="262"/>
      <c r="J1660" s="262"/>
      <c r="K1660" s="262"/>
      <c r="L1660" s="262"/>
      <c r="M1660" s="262"/>
      <c r="N1660" s="262"/>
      <c r="O1660" s="262"/>
      <c r="P1660" s="262"/>
      <c r="Q1660" s="262"/>
      <c r="R1660" s="262"/>
      <c r="S1660" s="262"/>
      <c r="T1660" s="262"/>
      <c r="U1660" s="262"/>
      <c r="V1660" s="262"/>
      <c r="W1660" s="262"/>
      <c r="X1660" s="262"/>
      <c r="Y1660" s="262"/>
      <c r="Z1660" s="262"/>
      <c r="AA1660" s="262"/>
      <c r="AB1660" s="262"/>
      <c r="AC1660" s="262"/>
      <c r="AD1660" s="262"/>
      <c r="AE1660" s="262"/>
      <c r="AF1660" s="147"/>
      <c r="AG1660" s="147"/>
      <c r="AH1660" s="147"/>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row>
    <row r="1661" spans="1:59" ht="15.75" customHeight="1" x14ac:dyDescent="0.2">
      <c r="A1661" s="162"/>
      <c r="B1661" s="162"/>
      <c r="C1661" s="206"/>
      <c r="D1661" s="262"/>
      <c r="E1661" s="262"/>
      <c r="F1661" s="262"/>
      <c r="G1661" s="262"/>
      <c r="H1661" s="262"/>
      <c r="I1661" s="262"/>
      <c r="J1661" s="262"/>
      <c r="K1661" s="262"/>
      <c r="L1661" s="262"/>
      <c r="M1661" s="262"/>
      <c r="N1661" s="262"/>
      <c r="O1661" s="262"/>
      <c r="P1661" s="262"/>
      <c r="Q1661" s="262"/>
      <c r="R1661" s="262"/>
      <c r="S1661" s="262"/>
      <c r="T1661" s="262"/>
      <c r="U1661" s="262"/>
      <c r="V1661" s="262"/>
      <c r="W1661" s="262"/>
      <c r="X1661" s="262"/>
      <c r="Y1661" s="262"/>
      <c r="Z1661" s="262"/>
      <c r="AA1661" s="262"/>
      <c r="AB1661" s="262"/>
      <c r="AC1661" s="262"/>
      <c r="AD1661" s="262"/>
      <c r="AE1661" s="262"/>
      <c r="AF1661" s="147"/>
      <c r="AG1661" s="147"/>
      <c r="AH1661" s="147"/>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row>
    <row r="1662" spans="1:59" ht="15.75" customHeight="1" x14ac:dyDescent="0.2">
      <c r="A1662" s="162"/>
      <c r="B1662" s="162"/>
      <c r="C1662" s="206"/>
      <c r="D1662" s="262"/>
      <c r="E1662" s="262"/>
      <c r="F1662" s="262"/>
      <c r="G1662" s="262"/>
      <c r="H1662" s="262"/>
      <c r="I1662" s="262"/>
      <c r="J1662" s="262"/>
      <c r="K1662" s="262"/>
      <c r="L1662" s="262"/>
      <c r="M1662" s="262"/>
      <c r="N1662" s="262"/>
      <c r="O1662" s="262"/>
      <c r="P1662" s="262"/>
      <c r="Q1662" s="262"/>
      <c r="R1662" s="262"/>
      <c r="S1662" s="262"/>
      <c r="T1662" s="262"/>
      <c r="U1662" s="262"/>
      <c r="V1662" s="262"/>
      <c r="W1662" s="262"/>
      <c r="X1662" s="262"/>
      <c r="Y1662" s="262"/>
      <c r="Z1662" s="262"/>
      <c r="AA1662" s="262"/>
      <c r="AB1662" s="262"/>
      <c r="AC1662" s="262"/>
      <c r="AD1662" s="262"/>
      <c r="AE1662" s="262"/>
      <c r="AF1662" s="147"/>
      <c r="AG1662" s="147"/>
      <c r="AH1662" s="147"/>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row>
    <row r="1663" spans="1:59" ht="15.75" customHeight="1" x14ac:dyDescent="0.2">
      <c r="A1663" s="162"/>
      <c r="B1663" s="162"/>
      <c r="C1663" s="206"/>
      <c r="D1663" s="262"/>
      <c r="E1663" s="262"/>
      <c r="F1663" s="262"/>
      <c r="G1663" s="262"/>
      <c r="H1663" s="262"/>
      <c r="I1663" s="262"/>
      <c r="J1663" s="262"/>
      <c r="K1663" s="262"/>
      <c r="L1663" s="262"/>
      <c r="M1663" s="262"/>
      <c r="N1663" s="262"/>
      <c r="O1663" s="262"/>
      <c r="P1663" s="262"/>
      <c r="Q1663" s="262"/>
      <c r="R1663" s="262"/>
      <c r="S1663" s="262"/>
      <c r="T1663" s="262"/>
      <c r="U1663" s="262"/>
      <c r="V1663" s="262"/>
      <c r="W1663" s="262"/>
      <c r="X1663" s="262"/>
      <c r="Y1663" s="262"/>
      <c r="Z1663" s="262"/>
      <c r="AA1663" s="262"/>
      <c r="AB1663" s="262"/>
      <c r="AC1663" s="262"/>
      <c r="AD1663" s="262"/>
      <c r="AE1663" s="262"/>
      <c r="AF1663" s="147"/>
      <c r="AG1663" s="147"/>
      <c r="AH1663" s="147"/>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row>
    <row r="1664" spans="1:59" ht="15.75" customHeight="1" x14ac:dyDescent="0.2">
      <c r="A1664" s="162"/>
      <c r="B1664" s="162"/>
      <c r="C1664" s="206"/>
      <c r="D1664" s="262"/>
      <c r="E1664" s="262"/>
      <c r="F1664" s="262"/>
      <c r="G1664" s="262"/>
      <c r="H1664" s="262"/>
      <c r="I1664" s="262"/>
      <c r="J1664" s="262"/>
      <c r="K1664" s="262"/>
      <c r="L1664" s="262"/>
      <c r="M1664" s="262"/>
      <c r="N1664" s="262"/>
      <c r="O1664" s="262"/>
      <c r="P1664" s="262"/>
      <c r="Q1664" s="262"/>
      <c r="R1664" s="262"/>
      <c r="S1664" s="262"/>
      <c r="T1664" s="262"/>
      <c r="U1664" s="262"/>
      <c r="V1664" s="262"/>
      <c r="W1664" s="262"/>
      <c r="X1664" s="262"/>
      <c r="Y1664" s="262"/>
      <c r="Z1664" s="262"/>
      <c r="AA1664" s="262"/>
      <c r="AB1664" s="262"/>
      <c r="AC1664" s="262"/>
      <c r="AD1664" s="262"/>
      <c r="AE1664" s="262"/>
      <c r="AF1664" s="147"/>
      <c r="AG1664" s="147"/>
      <c r="AH1664" s="147"/>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row>
    <row r="1665" spans="1:59" ht="15.75" customHeight="1" x14ac:dyDescent="0.2">
      <c r="A1665" s="162"/>
      <c r="B1665" s="162"/>
      <c r="C1665" s="206"/>
      <c r="D1665" s="262"/>
      <c r="E1665" s="262"/>
      <c r="F1665" s="262"/>
      <c r="G1665" s="262"/>
      <c r="H1665" s="262"/>
      <c r="I1665" s="262"/>
      <c r="J1665" s="262"/>
      <c r="K1665" s="262"/>
      <c r="L1665" s="262"/>
      <c r="M1665" s="262"/>
      <c r="N1665" s="262"/>
      <c r="O1665" s="262"/>
      <c r="P1665" s="262"/>
      <c r="Q1665" s="262"/>
      <c r="R1665" s="262"/>
      <c r="S1665" s="262"/>
      <c r="T1665" s="262"/>
      <c r="U1665" s="262"/>
      <c r="V1665" s="262"/>
      <c r="W1665" s="262"/>
      <c r="X1665" s="262"/>
      <c r="Y1665" s="262"/>
      <c r="Z1665" s="262"/>
      <c r="AA1665" s="262"/>
      <c r="AB1665" s="262"/>
      <c r="AC1665" s="262"/>
      <c r="AD1665" s="262"/>
      <c r="AE1665" s="262"/>
      <c r="AF1665" s="147"/>
      <c r="AG1665" s="147"/>
      <c r="AH1665" s="147"/>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row>
    <row r="1666" spans="1:59" ht="15.75" customHeight="1" x14ac:dyDescent="0.2">
      <c r="A1666" s="162"/>
      <c r="B1666" s="162"/>
      <c r="C1666" s="206"/>
      <c r="D1666" s="262"/>
      <c r="E1666" s="262"/>
      <c r="F1666" s="262"/>
      <c r="G1666" s="262"/>
      <c r="H1666" s="262"/>
      <c r="I1666" s="262"/>
      <c r="J1666" s="262"/>
      <c r="K1666" s="262"/>
      <c r="L1666" s="262"/>
      <c r="M1666" s="262"/>
      <c r="N1666" s="262"/>
      <c r="O1666" s="262"/>
      <c r="P1666" s="262"/>
      <c r="Q1666" s="262"/>
      <c r="R1666" s="262"/>
      <c r="S1666" s="262"/>
      <c r="T1666" s="262"/>
      <c r="U1666" s="262"/>
      <c r="V1666" s="262"/>
      <c r="W1666" s="262"/>
      <c r="X1666" s="262"/>
      <c r="Y1666" s="262"/>
      <c r="Z1666" s="262"/>
      <c r="AA1666" s="262"/>
      <c r="AB1666" s="262"/>
      <c r="AC1666" s="262"/>
      <c r="AD1666" s="262"/>
      <c r="AE1666" s="262"/>
      <c r="AF1666" s="147"/>
      <c r="AG1666" s="147"/>
      <c r="AH1666" s="147"/>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row>
    <row r="1667" spans="1:59" ht="15.75" customHeight="1" x14ac:dyDescent="0.2">
      <c r="A1667" s="162"/>
      <c r="B1667" s="162"/>
      <c r="C1667" s="206"/>
      <c r="D1667" s="262"/>
      <c r="E1667" s="262"/>
      <c r="F1667" s="262"/>
      <c r="G1667" s="262"/>
      <c r="H1667" s="262"/>
      <c r="I1667" s="262"/>
      <c r="J1667" s="262"/>
      <c r="K1667" s="262"/>
      <c r="L1667" s="262"/>
      <c r="M1667" s="262"/>
      <c r="N1667" s="262"/>
      <c r="O1667" s="262"/>
      <c r="P1667" s="262"/>
      <c r="Q1667" s="262"/>
      <c r="R1667" s="262"/>
      <c r="S1667" s="262"/>
      <c r="T1667" s="262"/>
      <c r="U1667" s="262"/>
      <c r="V1667" s="262"/>
      <c r="W1667" s="262"/>
      <c r="X1667" s="262"/>
      <c r="Y1667" s="262"/>
      <c r="Z1667" s="262"/>
      <c r="AA1667" s="262"/>
      <c r="AB1667" s="262"/>
      <c r="AC1667" s="262"/>
      <c r="AD1667" s="262"/>
      <c r="AE1667" s="262"/>
      <c r="AF1667" s="147"/>
      <c r="AG1667" s="147"/>
      <c r="AH1667" s="147"/>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row>
    <row r="1668" spans="1:59" ht="15.75" customHeight="1" x14ac:dyDescent="0.2">
      <c r="A1668" s="162"/>
      <c r="B1668" s="162"/>
      <c r="C1668" s="206"/>
      <c r="D1668" s="262"/>
      <c r="E1668" s="262"/>
      <c r="F1668" s="262"/>
      <c r="G1668" s="262"/>
      <c r="H1668" s="262"/>
      <c r="I1668" s="262"/>
      <c r="J1668" s="262"/>
      <c r="K1668" s="262"/>
      <c r="L1668" s="262"/>
      <c r="M1668" s="262"/>
      <c r="N1668" s="262"/>
      <c r="O1668" s="262"/>
      <c r="P1668" s="262"/>
      <c r="Q1668" s="262"/>
      <c r="R1668" s="262"/>
      <c r="S1668" s="262"/>
      <c r="T1668" s="262"/>
      <c r="U1668" s="262"/>
      <c r="V1668" s="262"/>
      <c r="W1668" s="262"/>
      <c r="X1668" s="262"/>
      <c r="Y1668" s="262"/>
      <c r="Z1668" s="262"/>
      <c r="AA1668" s="262"/>
      <c r="AB1668" s="262"/>
      <c r="AC1668" s="262"/>
      <c r="AD1668" s="262"/>
      <c r="AE1668" s="262"/>
      <c r="AF1668" s="147"/>
      <c r="AG1668" s="147"/>
      <c r="AH1668" s="147"/>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row>
    <row r="1669" spans="1:59" ht="15.75" customHeight="1" x14ac:dyDescent="0.2">
      <c r="A1669" s="162"/>
      <c r="B1669" s="162"/>
      <c r="C1669" s="206"/>
      <c r="D1669" s="262"/>
      <c r="E1669" s="262"/>
      <c r="F1669" s="262"/>
      <c r="G1669" s="262"/>
      <c r="H1669" s="262"/>
      <c r="I1669" s="262"/>
      <c r="J1669" s="262"/>
      <c r="K1669" s="262"/>
      <c r="L1669" s="262"/>
      <c r="M1669" s="262"/>
      <c r="N1669" s="262"/>
      <c r="O1669" s="262"/>
      <c r="P1669" s="262"/>
      <c r="Q1669" s="262"/>
      <c r="R1669" s="262"/>
      <c r="S1669" s="262"/>
      <c r="T1669" s="262"/>
      <c r="U1669" s="262"/>
      <c r="V1669" s="262"/>
      <c r="W1669" s="262"/>
      <c r="X1669" s="262"/>
      <c r="Y1669" s="262"/>
      <c r="Z1669" s="262"/>
      <c r="AA1669" s="262"/>
      <c r="AB1669" s="262"/>
      <c r="AC1669" s="262"/>
      <c r="AD1669" s="262"/>
      <c r="AE1669" s="262"/>
      <c r="AF1669" s="147"/>
      <c r="AG1669" s="147"/>
      <c r="AH1669" s="147"/>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row>
    <row r="1670" spans="1:59" ht="15.75" customHeight="1" x14ac:dyDescent="0.2">
      <c r="A1670" s="162"/>
      <c r="B1670" s="162"/>
      <c r="C1670" s="206"/>
      <c r="D1670" s="262"/>
      <c r="E1670" s="262"/>
      <c r="F1670" s="262"/>
      <c r="G1670" s="262"/>
      <c r="H1670" s="262"/>
      <c r="I1670" s="262"/>
      <c r="J1670" s="262"/>
      <c r="K1670" s="262"/>
      <c r="L1670" s="262"/>
      <c r="M1670" s="262"/>
      <c r="N1670" s="262"/>
      <c r="O1670" s="262"/>
      <c r="P1670" s="262"/>
      <c r="Q1670" s="262"/>
      <c r="R1670" s="262"/>
      <c r="S1670" s="262"/>
      <c r="T1670" s="262"/>
      <c r="U1670" s="262"/>
      <c r="V1670" s="262"/>
      <c r="W1670" s="262"/>
      <c r="X1670" s="262"/>
      <c r="Y1670" s="262"/>
      <c r="Z1670" s="262"/>
      <c r="AA1670" s="262"/>
      <c r="AB1670" s="262"/>
      <c r="AC1670" s="262"/>
      <c r="AD1670" s="262"/>
      <c r="AE1670" s="262"/>
      <c r="AF1670" s="147"/>
      <c r="AG1670" s="147"/>
      <c r="AH1670" s="147"/>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row>
    <row r="1671" spans="1:59" ht="15.75" customHeight="1" x14ac:dyDescent="0.2">
      <c r="A1671" s="162"/>
      <c r="B1671" s="162"/>
      <c r="C1671" s="206"/>
      <c r="D1671" s="262"/>
      <c r="E1671" s="262"/>
      <c r="F1671" s="262"/>
      <c r="G1671" s="262"/>
      <c r="H1671" s="262"/>
      <c r="I1671" s="262"/>
      <c r="J1671" s="262"/>
      <c r="K1671" s="262"/>
      <c r="L1671" s="262"/>
      <c r="M1671" s="262"/>
      <c r="N1671" s="262"/>
      <c r="O1671" s="262"/>
      <c r="P1671" s="262"/>
      <c r="Q1671" s="262"/>
      <c r="R1671" s="262"/>
      <c r="S1671" s="262"/>
      <c r="T1671" s="262"/>
      <c r="U1671" s="262"/>
      <c r="V1671" s="262"/>
      <c r="W1671" s="262"/>
      <c r="X1671" s="262"/>
      <c r="Y1671" s="262"/>
      <c r="Z1671" s="262"/>
      <c r="AA1671" s="262"/>
      <c r="AB1671" s="262"/>
      <c r="AC1671" s="262"/>
      <c r="AD1671" s="262"/>
      <c r="AE1671" s="262"/>
      <c r="AF1671" s="147"/>
      <c r="AG1671" s="147"/>
      <c r="AH1671" s="147"/>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row>
    <row r="1672" spans="1:59" ht="15.75" customHeight="1" x14ac:dyDescent="0.2">
      <c r="A1672" s="162"/>
      <c r="B1672" s="162"/>
      <c r="C1672" s="206"/>
      <c r="D1672" s="262"/>
      <c r="E1672" s="262"/>
      <c r="F1672" s="262"/>
      <c r="G1672" s="262"/>
      <c r="H1672" s="262"/>
      <c r="I1672" s="262"/>
      <c r="J1672" s="262"/>
      <c r="K1672" s="262"/>
      <c r="L1672" s="262"/>
      <c r="M1672" s="262"/>
      <c r="N1672" s="262"/>
      <c r="O1672" s="262"/>
      <c r="P1672" s="262"/>
      <c r="Q1672" s="262"/>
      <c r="R1672" s="262"/>
      <c r="S1672" s="262"/>
      <c r="T1672" s="262"/>
      <c r="U1672" s="262"/>
      <c r="V1672" s="262"/>
      <c r="W1672" s="262"/>
      <c r="X1672" s="262"/>
      <c r="Y1672" s="262"/>
      <c r="Z1672" s="262"/>
      <c r="AA1672" s="262"/>
      <c r="AB1672" s="262"/>
      <c r="AC1672" s="262"/>
      <c r="AD1672" s="262"/>
      <c r="AE1672" s="262"/>
      <c r="AF1672" s="147"/>
      <c r="AG1672" s="147"/>
      <c r="AH1672" s="147"/>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row>
    <row r="1673" spans="1:59" ht="15.75" customHeight="1" x14ac:dyDescent="0.2">
      <c r="A1673" s="162"/>
      <c r="B1673" s="162"/>
      <c r="C1673" s="206"/>
      <c r="D1673" s="262"/>
      <c r="E1673" s="262"/>
      <c r="F1673" s="262"/>
      <c r="G1673" s="262"/>
      <c r="H1673" s="262"/>
      <c r="I1673" s="262"/>
      <c r="J1673" s="262"/>
      <c r="K1673" s="262"/>
      <c r="L1673" s="262"/>
      <c r="M1673" s="262"/>
      <c r="N1673" s="262"/>
      <c r="O1673" s="262"/>
      <c r="P1673" s="262"/>
      <c r="Q1673" s="262"/>
      <c r="R1673" s="262"/>
      <c r="S1673" s="262"/>
      <c r="T1673" s="262"/>
      <c r="U1673" s="262"/>
      <c r="V1673" s="262"/>
      <c r="W1673" s="262"/>
      <c r="X1673" s="262"/>
      <c r="Y1673" s="262"/>
      <c r="Z1673" s="262"/>
      <c r="AA1673" s="262"/>
      <c r="AB1673" s="262"/>
      <c r="AC1673" s="262"/>
      <c r="AD1673" s="262"/>
      <c r="AE1673" s="262"/>
      <c r="AF1673" s="147"/>
      <c r="AG1673" s="147"/>
      <c r="AH1673" s="147"/>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row>
    <row r="1674" spans="1:59" ht="15.75" customHeight="1" x14ac:dyDescent="0.2">
      <c r="A1674" s="162"/>
      <c r="B1674" s="162"/>
      <c r="C1674" s="206"/>
      <c r="D1674" s="262"/>
      <c r="E1674" s="262"/>
      <c r="F1674" s="262"/>
      <c r="G1674" s="262"/>
      <c r="H1674" s="262"/>
      <c r="I1674" s="262"/>
      <c r="J1674" s="262"/>
      <c r="K1674" s="262"/>
      <c r="L1674" s="262"/>
      <c r="M1674" s="262"/>
      <c r="N1674" s="262"/>
      <c r="O1674" s="262"/>
      <c r="P1674" s="262"/>
      <c r="Q1674" s="262"/>
      <c r="R1674" s="262"/>
      <c r="S1674" s="262"/>
      <c r="T1674" s="262"/>
      <c r="U1674" s="262"/>
      <c r="V1674" s="262"/>
      <c r="W1674" s="262"/>
      <c r="X1674" s="262"/>
      <c r="Y1674" s="262"/>
      <c r="Z1674" s="262"/>
      <c r="AA1674" s="262"/>
      <c r="AB1674" s="262"/>
      <c r="AC1674" s="262"/>
      <c r="AD1674" s="262"/>
      <c r="AE1674" s="262"/>
      <c r="AF1674" s="147"/>
      <c r="AG1674" s="147"/>
      <c r="AH1674" s="147"/>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row>
    <row r="1675" spans="1:59" ht="15.75" customHeight="1" x14ac:dyDescent="0.2">
      <c r="A1675" s="162"/>
      <c r="B1675" s="162"/>
      <c r="C1675" s="206"/>
      <c r="D1675" s="262"/>
      <c r="E1675" s="262"/>
      <c r="F1675" s="262"/>
      <c r="G1675" s="262"/>
      <c r="H1675" s="262"/>
      <c r="I1675" s="262"/>
      <c r="J1675" s="262"/>
      <c r="K1675" s="262"/>
      <c r="L1675" s="262"/>
      <c r="M1675" s="262"/>
      <c r="N1675" s="262"/>
      <c r="O1675" s="262"/>
      <c r="P1675" s="262"/>
      <c r="Q1675" s="262"/>
      <c r="R1675" s="262"/>
      <c r="S1675" s="262"/>
      <c r="T1675" s="262"/>
      <c r="U1675" s="262"/>
      <c r="V1675" s="262"/>
      <c r="W1675" s="262"/>
      <c r="X1675" s="262"/>
      <c r="Y1675" s="262"/>
      <c r="Z1675" s="262"/>
      <c r="AA1675" s="262"/>
      <c r="AB1675" s="262"/>
      <c r="AC1675" s="262"/>
      <c r="AD1675" s="262"/>
      <c r="AE1675" s="262"/>
      <c r="AF1675" s="147"/>
      <c r="AG1675" s="147"/>
      <c r="AH1675" s="147"/>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row>
  </sheetData>
  <mergeCells count="2">
    <mergeCell ref="D2:R2"/>
    <mergeCell ref="S2:X2"/>
  </mergeCells>
  <pageMargins left="0.78740157499999996" right="0.78740157499999996" top="0.984251969" bottom="0.98425196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0000"/>
    <pageSetUpPr fitToPage="1"/>
  </sheetPr>
  <dimension ref="A1:BG496"/>
  <sheetViews>
    <sheetView showGridLines="0" workbookViewId="0"/>
  </sheetViews>
  <sheetFormatPr defaultColWidth="14.42578125" defaultRowHeight="15" customHeight="1" outlineLevelCol="1" x14ac:dyDescent="0.2"/>
  <cols>
    <col min="1" max="2" width="5.5703125" customWidth="1"/>
    <col min="3" max="3" width="34.5703125" customWidth="1"/>
    <col min="4" max="4" width="19.85546875" customWidth="1" outlineLevel="1"/>
    <col min="5" max="7" width="9.5703125" customWidth="1" outlineLevel="1"/>
    <col min="8" max="8" width="9.5703125" customWidth="1"/>
    <col min="9" max="11" width="9.5703125" customWidth="1" outlineLevel="1"/>
    <col min="12" max="12" width="9.7109375" customWidth="1" outlineLevel="1"/>
    <col min="13" max="13" width="9.5703125" customWidth="1"/>
    <col min="14" max="17" width="9.5703125" customWidth="1" outlineLevel="1"/>
    <col min="18" max="18" width="9.5703125" customWidth="1"/>
    <col min="19" max="19" width="10.42578125" customWidth="1" outlineLevel="1"/>
    <col min="20" max="22" width="9.5703125" customWidth="1" outlineLevel="1"/>
    <col min="23" max="23" width="9.5703125" customWidth="1"/>
    <col min="24" max="27" width="9.5703125" customWidth="1" outlineLevel="1"/>
    <col min="28" max="28" width="9.5703125" customWidth="1"/>
    <col min="29" max="59" width="8.140625" customWidth="1"/>
  </cols>
  <sheetData>
    <row r="1" spans="1:59" ht="27.75" customHeight="1" x14ac:dyDescent="0.2">
      <c r="A1" s="263"/>
      <c r="B1" s="263"/>
      <c r="C1" s="264" t="s">
        <v>152</v>
      </c>
      <c r="D1" s="265"/>
      <c r="E1" s="144"/>
      <c r="F1" s="265"/>
      <c r="G1" s="265"/>
      <c r="H1" s="265"/>
      <c r="I1" s="265"/>
      <c r="J1" s="265"/>
      <c r="K1" s="265"/>
      <c r="L1" s="265"/>
      <c r="M1" s="266"/>
      <c r="N1" s="265"/>
      <c r="O1" s="265"/>
      <c r="P1" s="265"/>
      <c r="Q1" s="265"/>
      <c r="R1" s="267"/>
      <c r="S1" s="265"/>
      <c r="T1" s="265"/>
      <c r="U1" s="265"/>
      <c r="V1" s="265"/>
      <c r="W1" s="266"/>
      <c r="X1" s="265"/>
      <c r="Y1" s="265"/>
      <c r="Z1" s="265"/>
      <c r="AA1" s="265"/>
      <c r="AB1" s="266"/>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row>
    <row r="2" spans="1:59" ht="15.75" customHeight="1" x14ac:dyDescent="0.2">
      <c r="A2" s="148"/>
      <c r="B2" s="148"/>
      <c r="C2" s="149" t="s">
        <v>153</v>
      </c>
      <c r="D2" s="423" t="s">
        <v>154</v>
      </c>
      <c r="E2" s="405"/>
      <c r="F2" s="405"/>
      <c r="G2" s="405"/>
      <c r="H2" s="405"/>
      <c r="I2" s="405"/>
      <c r="J2" s="405"/>
      <c r="K2" s="405"/>
      <c r="L2" s="405"/>
      <c r="M2" s="405"/>
      <c r="N2" s="405"/>
      <c r="O2" s="405"/>
      <c r="P2" s="405"/>
      <c r="Q2" s="405"/>
      <c r="R2" s="405"/>
      <c r="S2" s="424" t="s">
        <v>155</v>
      </c>
      <c r="T2" s="408"/>
      <c r="U2" s="408"/>
      <c r="V2" s="408"/>
      <c r="W2" s="408"/>
      <c r="X2" s="409"/>
      <c r="Y2" s="269"/>
      <c r="Z2" s="269"/>
      <c r="AA2" s="269"/>
      <c r="AB2" s="269"/>
      <c r="AC2" s="270"/>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row>
    <row r="3" spans="1:59" ht="15.75" customHeight="1" x14ac:dyDescent="0.2">
      <c r="A3" s="271"/>
      <c r="B3" s="272" t="s">
        <v>156</v>
      </c>
      <c r="C3" s="273"/>
      <c r="D3" s="274"/>
      <c r="E3" s="274"/>
      <c r="F3" s="274"/>
      <c r="G3" s="274"/>
      <c r="H3" s="274"/>
      <c r="I3" s="274"/>
      <c r="J3" s="274"/>
      <c r="K3" s="274"/>
      <c r="L3" s="274"/>
      <c r="M3" s="274"/>
      <c r="N3" s="274"/>
      <c r="O3" s="274"/>
      <c r="P3" s="274"/>
      <c r="Q3" s="274"/>
      <c r="R3" s="275"/>
      <c r="S3" s="274"/>
      <c r="T3" s="274"/>
      <c r="U3" s="274"/>
      <c r="V3" s="274"/>
      <c r="W3" s="274"/>
      <c r="X3" s="274"/>
      <c r="Y3" s="274"/>
      <c r="Z3" s="274"/>
      <c r="AA3" s="274"/>
      <c r="AB3" s="274"/>
      <c r="AC3" s="270"/>
      <c r="AD3" s="276"/>
      <c r="AE3" s="276"/>
      <c r="AF3" s="276"/>
      <c r="AG3" s="276"/>
      <c r="AH3" s="276"/>
      <c r="AI3" s="276"/>
      <c r="AJ3" s="276"/>
      <c r="AK3" s="268"/>
      <c r="AL3" s="268"/>
      <c r="AM3" s="268"/>
      <c r="AN3" s="268"/>
      <c r="AO3" s="268"/>
      <c r="AP3" s="268"/>
      <c r="AQ3" s="268"/>
      <c r="AR3" s="268"/>
      <c r="AS3" s="268"/>
      <c r="AT3" s="268"/>
      <c r="AU3" s="268"/>
      <c r="AV3" s="268"/>
      <c r="AW3" s="268"/>
      <c r="AX3" s="268"/>
      <c r="AY3" s="268"/>
      <c r="AZ3" s="268"/>
      <c r="BA3" s="268"/>
      <c r="BB3" s="268"/>
      <c r="BC3" s="268"/>
      <c r="BD3" s="268"/>
      <c r="BE3" s="268"/>
      <c r="BF3" s="268"/>
      <c r="BG3" s="268"/>
    </row>
    <row r="4" spans="1:59" ht="15.75" customHeight="1" x14ac:dyDescent="0.2">
      <c r="A4" s="271"/>
      <c r="B4" s="272" t="s">
        <v>157</v>
      </c>
      <c r="C4" s="273"/>
      <c r="D4" s="277" t="s">
        <v>98</v>
      </c>
      <c r="E4" s="277" t="s">
        <v>99</v>
      </c>
      <c r="F4" s="277" t="s">
        <v>100</v>
      </c>
      <c r="G4" s="277" t="s">
        <v>101</v>
      </c>
      <c r="H4" s="159">
        <v>2018</v>
      </c>
      <c r="I4" s="277" t="s">
        <v>102</v>
      </c>
      <c r="J4" s="277" t="s">
        <v>103</v>
      </c>
      <c r="K4" s="277" t="s">
        <v>104</v>
      </c>
      <c r="L4" s="277" t="s">
        <v>105</v>
      </c>
      <c r="M4" s="159">
        <v>2019</v>
      </c>
      <c r="N4" s="277" t="s">
        <v>158</v>
      </c>
      <c r="O4" s="277" t="s">
        <v>107</v>
      </c>
      <c r="P4" s="277" t="s">
        <v>108</v>
      </c>
      <c r="Q4" s="277" t="s">
        <v>109</v>
      </c>
      <c r="R4" s="159">
        <v>2020</v>
      </c>
      <c r="S4" s="277" t="s">
        <v>110</v>
      </c>
      <c r="T4" s="277" t="s">
        <v>111</v>
      </c>
      <c r="U4" s="277" t="s">
        <v>112</v>
      </c>
      <c r="V4" s="277" t="s">
        <v>113</v>
      </c>
      <c r="W4" s="159">
        <v>2021</v>
      </c>
      <c r="X4" s="277" t="s">
        <v>114</v>
      </c>
      <c r="Y4" s="277" t="s">
        <v>115</v>
      </c>
      <c r="Z4" s="277" t="s">
        <v>116</v>
      </c>
      <c r="AA4" s="277" t="s">
        <v>117</v>
      </c>
      <c r="AB4" s="160">
        <v>2022</v>
      </c>
      <c r="AC4" s="270"/>
      <c r="AD4" s="270"/>
      <c r="AE4" s="270"/>
      <c r="AF4" s="270"/>
      <c r="AG4" s="270"/>
      <c r="AH4" s="270"/>
      <c r="AI4" s="270"/>
      <c r="AJ4" s="270"/>
      <c r="AK4" s="268"/>
      <c r="AL4" s="268"/>
      <c r="AM4" s="268"/>
      <c r="AN4" s="268"/>
      <c r="AO4" s="268"/>
      <c r="AP4" s="268"/>
      <c r="AQ4" s="268"/>
      <c r="AR4" s="268"/>
      <c r="AS4" s="268"/>
      <c r="AT4" s="268"/>
      <c r="AU4" s="268"/>
      <c r="AV4" s="268"/>
      <c r="AW4" s="268"/>
      <c r="AX4" s="268"/>
      <c r="AY4" s="268"/>
      <c r="AZ4" s="268"/>
      <c r="BA4" s="268"/>
      <c r="BB4" s="268"/>
      <c r="BC4" s="268"/>
      <c r="BD4" s="268"/>
      <c r="BE4" s="268"/>
      <c r="BF4" s="268"/>
      <c r="BG4" s="268"/>
    </row>
    <row r="5" spans="1:59" ht="15.75" customHeight="1" x14ac:dyDescent="0.2">
      <c r="A5" s="278"/>
      <c r="B5" s="278"/>
      <c r="C5" s="279" t="s">
        <v>159</v>
      </c>
      <c r="D5" s="280">
        <v>387.28230541999994</v>
      </c>
      <c r="E5" s="280">
        <v>416.07024279499893</v>
      </c>
      <c r="F5" s="280">
        <v>451.33237634500125</v>
      </c>
      <c r="G5" s="280">
        <v>422.78488874000027</v>
      </c>
      <c r="H5" s="280">
        <v>1677.4698133000004</v>
      </c>
      <c r="I5" s="280">
        <v>378.84580550999999</v>
      </c>
      <c r="J5" s="280">
        <v>386.96014074000004</v>
      </c>
      <c r="K5" s="280">
        <v>421.34964608000001</v>
      </c>
      <c r="L5" s="280">
        <v>415.07026023000003</v>
      </c>
      <c r="M5" s="280">
        <v>1602.22585256</v>
      </c>
      <c r="N5" s="280">
        <v>406.38826307000005</v>
      </c>
      <c r="O5" s="280">
        <v>447.33499911999996</v>
      </c>
      <c r="P5" s="280">
        <v>474.09824527000006</v>
      </c>
      <c r="Q5" s="280">
        <v>487.74024132999995</v>
      </c>
      <c r="R5" s="281">
        <v>1815.5617487899999</v>
      </c>
      <c r="S5" s="280">
        <v>507.08572290999996</v>
      </c>
      <c r="T5" s="280">
        <v>509.99797374000002</v>
      </c>
      <c r="U5" s="280">
        <v>543.92654571000003</v>
      </c>
      <c r="V5" s="280">
        <v>577.70454937</v>
      </c>
      <c r="W5" s="280">
        <v>2138.7147917299999</v>
      </c>
      <c r="X5" s="280">
        <v>529.20000000000005</v>
      </c>
      <c r="Y5" s="164">
        <v>539.57049874000006</v>
      </c>
      <c r="Z5" s="164">
        <v>619.07765617999996</v>
      </c>
      <c r="AA5" s="164">
        <v>584.02593898999999</v>
      </c>
      <c r="AB5" s="280">
        <f>SUM(X5:AA5)</f>
        <v>2271.8740939099998</v>
      </c>
      <c r="AC5" s="270"/>
      <c r="AD5" s="270"/>
      <c r="AE5" s="270"/>
      <c r="AF5" s="270"/>
      <c r="AG5" s="270"/>
      <c r="AH5" s="270"/>
      <c r="AI5" s="270"/>
      <c r="AJ5" s="270"/>
      <c r="AK5" s="268"/>
      <c r="AL5" s="268"/>
      <c r="AM5" s="268"/>
      <c r="AN5" s="268"/>
      <c r="AO5" s="268"/>
      <c r="AP5" s="268"/>
      <c r="AQ5" s="268"/>
      <c r="AR5" s="268"/>
      <c r="AS5" s="268"/>
      <c r="AT5" s="268"/>
      <c r="AU5" s="268"/>
      <c r="AV5" s="268"/>
      <c r="AW5" s="268"/>
      <c r="AX5" s="268"/>
      <c r="AY5" s="268"/>
      <c r="AZ5" s="268"/>
      <c r="BA5" s="268"/>
      <c r="BB5" s="268"/>
      <c r="BC5" s="268"/>
      <c r="BD5" s="268"/>
      <c r="BE5" s="268"/>
      <c r="BF5" s="268"/>
      <c r="BG5" s="268"/>
    </row>
    <row r="6" spans="1:59" ht="15.75" customHeight="1" x14ac:dyDescent="0.2">
      <c r="A6" s="278"/>
      <c r="B6" s="278"/>
      <c r="C6" s="282" t="s">
        <v>160</v>
      </c>
      <c r="D6" s="283">
        <v>-254.1</v>
      </c>
      <c r="E6" s="283">
        <v>-282.8</v>
      </c>
      <c r="F6" s="283">
        <v>-270.39999999999998</v>
      </c>
      <c r="G6" s="283">
        <v>-283.3</v>
      </c>
      <c r="H6" s="283">
        <v>-1090.5999999999999</v>
      </c>
      <c r="I6" s="283">
        <v>-238</v>
      </c>
      <c r="J6" s="283">
        <v>-257.8</v>
      </c>
      <c r="K6" s="283">
        <v>-240.7</v>
      </c>
      <c r="L6" s="283">
        <v>-258.8</v>
      </c>
      <c r="M6" s="283">
        <v>-995.3</v>
      </c>
      <c r="N6" s="283">
        <v>-246.42371842000003</v>
      </c>
      <c r="O6" s="283">
        <v>-248.92635081999998</v>
      </c>
      <c r="P6" s="283">
        <v>-270.44722956000004</v>
      </c>
      <c r="Q6" s="283">
        <v>-319.49672672999992</v>
      </c>
      <c r="R6" s="283">
        <v>-1085.29402553</v>
      </c>
      <c r="S6" s="283">
        <v>-267.02989581999998</v>
      </c>
      <c r="T6" s="283">
        <v>-291.93900688000002</v>
      </c>
      <c r="U6" s="283">
        <v>-309.7</v>
      </c>
      <c r="V6" s="283">
        <v>-376.6</v>
      </c>
      <c r="W6" s="283">
        <v>-1245.2689027000001</v>
      </c>
      <c r="X6" s="283">
        <v>-311.74806505999999</v>
      </c>
      <c r="Y6" s="283">
        <v>-320.43337122000003</v>
      </c>
      <c r="Z6" s="283">
        <v>-358.32994967999997</v>
      </c>
      <c r="AA6" s="283">
        <v>-359.93399182999997</v>
      </c>
      <c r="AB6" s="283">
        <v>-1350.3973127300001</v>
      </c>
      <c r="AC6" s="270"/>
      <c r="AD6" s="270"/>
      <c r="AE6" s="270"/>
      <c r="AF6" s="270"/>
      <c r="AG6" s="270"/>
      <c r="AH6" s="270"/>
      <c r="AI6" s="270"/>
      <c r="AJ6" s="270"/>
      <c r="AK6" s="268"/>
      <c r="AL6" s="268"/>
      <c r="AM6" s="268"/>
      <c r="AN6" s="268"/>
      <c r="AO6" s="268"/>
      <c r="AP6" s="268"/>
      <c r="AQ6" s="268"/>
      <c r="AR6" s="268"/>
      <c r="AS6" s="268"/>
      <c r="AT6" s="268"/>
      <c r="AU6" s="268"/>
      <c r="AV6" s="268"/>
      <c r="AW6" s="268"/>
      <c r="AX6" s="268"/>
      <c r="AY6" s="268"/>
      <c r="AZ6" s="268"/>
      <c r="BA6" s="268"/>
      <c r="BB6" s="268"/>
      <c r="BC6" s="268"/>
      <c r="BD6" s="268"/>
      <c r="BE6" s="268"/>
      <c r="BF6" s="268"/>
      <c r="BG6" s="268"/>
    </row>
    <row r="7" spans="1:59" ht="15.75" customHeight="1" x14ac:dyDescent="0.2">
      <c r="A7" s="284"/>
      <c r="B7" s="284"/>
      <c r="C7" s="285" t="s">
        <v>161</v>
      </c>
      <c r="D7" s="286">
        <v>-34</v>
      </c>
      <c r="E7" s="286">
        <v>-38</v>
      </c>
      <c r="F7" s="286">
        <v>-30</v>
      </c>
      <c r="G7" s="286">
        <v>-36</v>
      </c>
      <c r="H7" s="286">
        <f t="shared" ref="H7:H12" si="0">SUM(D7:G7)</f>
        <v>-138</v>
      </c>
      <c r="I7" s="286">
        <v>-24</v>
      </c>
      <c r="J7" s="286">
        <v>-26</v>
      </c>
      <c r="K7" s="286">
        <v>-22</v>
      </c>
      <c r="L7" s="286">
        <v>-28</v>
      </c>
      <c r="M7" s="286">
        <f t="shared" ref="M7:M12" si="1">SUM(I7:L7)</f>
        <v>-100</v>
      </c>
      <c r="N7" s="286">
        <v>-23</v>
      </c>
      <c r="O7" s="286">
        <v>-21</v>
      </c>
      <c r="P7" s="286">
        <v>-25</v>
      </c>
      <c r="Q7" s="286">
        <v>-30</v>
      </c>
      <c r="R7" s="286">
        <f t="shared" ref="R7:R12" si="2">SUM(N7:Q7)</f>
        <v>-99</v>
      </c>
      <c r="S7" s="286">
        <v>-31.391560640000002</v>
      </c>
      <c r="T7" s="286">
        <v>-29.266194599999999</v>
      </c>
      <c r="U7" s="286">
        <v>-33.299999999999997</v>
      </c>
      <c r="V7" s="286">
        <v>-36</v>
      </c>
      <c r="W7" s="286">
        <f t="shared" ref="W7:W12" si="3">SUM(S7:V7)</f>
        <v>-129.95775523999998</v>
      </c>
      <c r="X7" s="286">
        <v>-36.336787370000003</v>
      </c>
      <c r="Y7" s="286">
        <v>-39.542739210000001</v>
      </c>
      <c r="Z7" s="286">
        <v>-49.233271670000001</v>
      </c>
      <c r="AA7" s="286">
        <v>-44.937018119999998</v>
      </c>
      <c r="AB7" s="286">
        <f t="shared" ref="AB7:AB22" si="4">SUM(X7:AA7)</f>
        <v>-170.04981637</v>
      </c>
      <c r="AC7" s="287"/>
      <c r="AD7" s="288"/>
      <c r="AE7" s="288"/>
      <c r="AF7" s="288"/>
      <c r="AG7" s="288"/>
      <c r="AH7" s="288"/>
      <c r="AI7" s="288"/>
      <c r="AJ7" s="288"/>
      <c r="AK7" s="289"/>
      <c r="AL7" s="289"/>
      <c r="AM7" s="289"/>
      <c r="AN7" s="289"/>
      <c r="AO7" s="289"/>
      <c r="AP7" s="289"/>
      <c r="AQ7" s="289"/>
      <c r="AR7" s="289"/>
      <c r="AS7" s="289"/>
      <c r="AT7" s="289"/>
      <c r="AU7" s="289"/>
      <c r="AV7" s="289"/>
      <c r="AW7" s="289"/>
      <c r="AX7" s="289"/>
      <c r="AY7" s="289"/>
      <c r="AZ7" s="289"/>
      <c r="BA7" s="289"/>
      <c r="BB7" s="289"/>
      <c r="BC7" s="289"/>
      <c r="BD7" s="289"/>
      <c r="BE7" s="289"/>
      <c r="BF7" s="289"/>
      <c r="BG7" s="289"/>
    </row>
    <row r="8" spans="1:59" ht="15.75" customHeight="1" x14ac:dyDescent="0.2">
      <c r="A8" s="284"/>
      <c r="B8" s="284"/>
      <c r="C8" s="290" t="s">
        <v>162</v>
      </c>
      <c r="D8" s="286">
        <v>-120</v>
      </c>
      <c r="E8" s="286">
        <v>-137</v>
      </c>
      <c r="F8" s="286">
        <v>-134</v>
      </c>
      <c r="G8" s="286">
        <v>-138</v>
      </c>
      <c r="H8" s="286">
        <f t="shared" si="0"/>
        <v>-529</v>
      </c>
      <c r="I8" s="286">
        <v>-129</v>
      </c>
      <c r="J8" s="286">
        <v>-141</v>
      </c>
      <c r="K8" s="286">
        <v>-137</v>
      </c>
      <c r="L8" s="286">
        <v>-142</v>
      </c>
      <c r="M8" s="286">
        <f t="shared" si="1"/>
        <v>-549</v>
      </c>
      <c r="N8" s="286">
        <v>-136</v>
      </c>
      <c r="O8" s="286">
        <v>-139</v>
      </c>
      <c r="P8" s="286">
        <v>-139</v>
      </c>
      <c r="Q8" s="286">
        <v>-144</v>
      </c>
      <c r="R8" s="286">
        <f t="shared" si="2"/>
        <v>-558</v>
      </c>
      <c r="S8" s="286">
        <v>-136.29896033</v>
      </c>
      <c r="T8" s="286">
        <v>-143.83822755</v>
      </c>
      <c r="U8" s="286">
        <v>-142.9</v>
      </c>
      <c r="V8" s="286">
        <v>-175.5</v>
      </c>
      <c r="W8" s="286">
        <f t="shared" si="3"/>
        <v>-598.53718788000003</v>
      </c>
      <c r="X8" s="286">
        <v>-150.96301738</v>
      </c>
      <c r="Y8" s="286">
        <v>-162.02058291</v>
      </c>
      <c r="Z8" s="286">
        <v>-166.17650562999998</v>
      </c>
      <c r="AA8" s="286">
        <v>-170.28403187999999</v>
      </c>
      <c r="AB8" s="286">
        <f t="shared" si="4"/>
        <v>-649.44413779999991</v>
      </c>
      <c r="AC8" s="287"/>
      <c r="AD8" s="288"/>
      <c r="AE8" s="288"/>
      <c r="AF8" s="288"/>
      <c r="AG8" s="288"/>
      <c r="AH8" s="288"/>
      <c r="AI8" s="288"/>
      <c r="AJ8" s="288"/>
      <c r="AK8" s="289"/>
      <c r="AL8" s="289"/>
      <c r="AM8" s="289"/>
      <c r="AN8" s="289"/>
      <c r="AO8" s="289"/>
      <c r="AP8" s="289"/>
      <c r="AQ8" s="289"/>
      <c r="AR8" s="289"/>
      <c r="AS8" s="289"/>
      <c r="AT8" s="289"/>
      <c r="AU8" s="289"/>
      <c r="AV8" s="289"/>
      <c r="AW8" s="289"/>
      <c r="AX8" s="289"/>
      <c r="AY8" s="289"/>
      <c r="AZ8" s="289"/>
      <c r="BA8" s="289"/>
      <c r="BB8" s="289"/>
      <c r="BC8" s="289"/>
      <c r="BD8" s="289"/>
      <c r="BE8" s="289"/>
      <c r="BF8" s="289"/>
      <c r="BG8" s="289"/>
    </row>
    <row r="9" spans="1:59" ht="15.75" customHeight="1" x14ac:dyDescent="0.2">
      <c r="A9" s="284"/>
      <c r="B9" s="284"/>
      <c r="C9" s="290" t="s">
        <v>163</v>
      </c>
      <c r="D9" s="286">
        <f>-100-0.1</f>
        <v>-100.1</v>
      </c>
      <c r="E9" s="286">
        <f>-108+0.2</f>
        <v>-107.8</v>
      </c>
      <c r="F9" s="286">
        <f>-106-0.4</f>
        <v>-106.4</v>
      </c>
      <c r="G9" s="286">
        <f>-109-0.3</f>
        <v>-109.3</v>
      </c>
      <c r="H9" s="286">
        <f t="shared" si="0"/>
        <v>-423.59999999999997</v>
      </c>
      <c r="I9" s="286">
        <v>-85</v>
      </c>
      <c r="J9" s="286">
        <f>-91+0.2</f>
        <v>-90.8</v>
      </c>
      <c r="K9" s="286">
        <f>-82+0.3</f>
        <v>-81.7</v>
      </c>
      <c r="L9" s="286">
        <f>-89+0.2</f>
        <v>-88.8</v>
      </c>
      <c r="M9" s="286">
        <f t="shared" si="1"/>
        <v>-346.3</v>
      </c>
      <c r="N9" s="286">
        <f>-87-0.423718420000029</f>
        <v>-87.423718420000029</v>
      </c>
      <c r="O9" s="286">
        <f>-89+0.0736491800000181</f>
        <v>-88.926350819999982</v>
      </c>
      <c r="P9" s="286">
        <f>-107+0.552770439999961</f>
        <v>-106.44722956000004</v>
      </c>
      <c r="Q9" s="286">
        <f>-146--0.503273270000079</f>
        <v>-145.49672672999992</v>
      </c>
      <c r="R9" s="286">
        <f t="shared" si="2"/>
        <v>-428.29402552999994</v>
      </c>
      <c r="S9" s="286">
        <v>-99.339374850000013</v>
      </c>
      <c r="T9" s="286">
        <v>-118.83458473000002</v>
      </c>
      <c r="U9" s="286">
        <v>-133.5</v>
      </c>
      <c r="V9" s="286">
        <v>-165.1</v>
      </c>
      <c r="W9" s="286">
        <f t="shared" si="3"/>
        <v>-516.77395958</v>
      </c>
      <c r="X9" s="286">
        <v>-124.44826030999999</v>
      </c>
      <c r="Y9" s="286">
        <v>-118.87004909999999</v>
      </c>
      <c r="Z9" s="286">
        <v>-142.92017238</v>
      </c>
      <c r="AA9" s="286">
        <v>-144.71294183000001</v>
      </c>
      <c r="AB9" s="286">
        <f t="shared" si="4"/>
        <v>-530.95142362000001</v>
      </c>
      <c r="AC9" s="287"/>
      <c r="AD9" s="288"/>
      <c r="AE9" s="288"/>
      <c r="AF9" s="288"/>
      <c r="AG9" s="288"/>
      <c r="AH9" s="288"/>
      <c r="AI9" s="288"/>
      <c r="AJ9" s="288"/>
      <c r="AK9" s="289"/>
      <c r="AL9" s="289"/>
      <c r="AM9" s="289"/>
      <c r="AN9" s="289"/>
      <c r="AO9" s="289"/>
      <c r="AP9" s="289"/>
      <c r="AQ9" s="289"/>
      <c r="AR9" s="289"/>
      <c r="AS9" s="289"/>
      <c r="AT9" s="289"/>
      <c r="AU9" s="289"/>
      <c r="AV9" s="289"/>
      <c r="AW9" s="289"/>
      <c r="AX9" s="289"/>
      <c r="AY9" s="289"/>
      <c r="AZ9" s="289"/>
      <c r="BA9" s="289"/>
      <c r="BB9" s="289"/>
      <c r="BC9" s="289"/>
      <c r="BD9" s="289"/>
      <c r="BE9" s="289"/>
      <c r="BF9" s="289"/>
      <c r="BG9" s="289"/>
    </row>
    <row r="10" spans="1:59" ht="15.75" customHeight="1" x14ac:dyDescent="0.2">
      <c r="A10" s="278"/>
      <c r="B10" s="278"/>
      <c r="C10" s="291" t="s">
        <v>164</v>
      </c>
      <c r="D10" s="292">
        <v>0</v>
      </c>
      <c r="E10" s="292">
        <v>0</v>
      </c>
      <c r="F10" s="292">
        <v>0</v>
      </c>
      <c r="G10" s="292">
        <v>0</v>
      </c>
      <c r="H10" s="292">
        <f t="shared" si="0"/>
        <v>0</v>
      </c>
      <c r="I10" s="292">
        <v>0</v>
      </c>
      <c r="J10" s="292">
        <v>0</v>
      </c>
      <c r="K10" s="292">
        <v>0</v>
      </c>
      <c r="L10" s="292">
        <v>-54</v>
      </c>
      <c r="M10" s="292">
        <f t="shared" si="1"/>
        <v>-54</v>
      </c>
      <c r="N10" s="292">
        <v>0</v>
      </c>
      <c r="O10" s="292">
        <v>0</v>
      </c>
      <c r="P10" s="292">
        <v>0</v>
      </c>
      <c r="Q10" s="292">
        <v>0</v>
      </c>
      <c r="R10" s="292">
        <f t="shared" si="2"/>
        <v>0</v>
      </c>
      <c r="S10" s="292">
        <v>0</v>
      </c>
      <c r="T10" s="292">
        <v>0</v>
      </c>
      <c r="U10" s="292">
        <v>0</v>
      </c>
      <c r="V10" s="292">
        <v>0</v>
      </c>
      <c r="W10" s="292">
        <f t="shared" si="3"/>
        <v>0</v>
      </c>
      <c r="X10" s="292">
        <v>0</v>
      </c>
      <c r="Y10" s="292">
        <v>0</v>
      </c>
      <c r="Z10" s="292">
        <v>0</v>
      </c>
      <c r="AA10" s="292">
        <v>0</v>
      </c>
      <c r="AB10" s="292">
        <f t="shared" si="4"/>
        <v>0</v>
      </c>
      <c r="AC10" s="270"/>
      <c r="AD10" s="276"/>
      <c r="AE10" s="276"/>
      <c r="AF10" s="276"/>
      <c r="AG10" s="276"/>
      <c r="AH10" s="276"/>
      <c r="AI10" s="276"/>
      <c r="AJ10" s="276"/>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row>
    <row r="11" spans="1:59" ht="15.75" customHeight="1" x14ac:dyDescent="0.2">
      <c r="A11" s="278"/>
      <c r="B11" s="278"/>
      <c r="C11" s="291" t="s">
        <v>165</v>
      </c>
      <c r="D11" s="292">
        <v>0</v>
      </c>
      <c r="E11" s="292">
        <v>0</v>
      </c>
      <c r="F11" s="292">
        <v>0</v>
      </c>
      <c r="G11" s="292">
        <v>0</v>
      </c>
      <c r="H11" s="292">
        <f t="shared" si="0"/>
        <v>0</v>
      </c>
      <c r="I11" s="292">
        <v>0</v>
      </c>
      <c r="J11" s="292">
        <v>0</v>
      </c>
      <c r="K11" s="292">
        <v>0</v>
      </c>
      <c r="L11" s="292">
        <v>0</v>
      </c>
      <c r="M11" s="292">
        <f t="shared" si="1"/>
        <v>0</v>
      </c>
      <c r="N11" s="292">
        <v>0</v>
      </c>
      <c r="O11" s="292">
        <v>0</v>
      </c>
      <c r="P11" s="292">
        <v>0</v>
      </c>
      <c r="Q11" s="292">
        <v>2</v>
      </c>
      <c r="R11" s="292">
        <f t="shared" si="2"/>
        <v>2</v>
      </c>
      <c r="S11" s="292">
        <v>0</v>
      </c>
      <c r="T11" s="292">
        <v>0</v>
      </c>
      <c r="U11" s="292">
        <v>0</v>
      </c>
      <c r="V11" s="292">
        <v>0</v>
      </c>
      <c r="W11" s="292">
        <f t="shared" si="3"/>
        <v>0</v>
      </c>
      <c r="X11" s="292">
        <v>0</v>
      </c>
      <c r="Y11" s="292">
        <v>0</v>
      </c>
      <c r="Z11" s="292">
        <v>0</v>
      </c>
      <c r="AA11" s="292">
        <v>0</v>
      </c>
      <c r="AB11" s="292">
        <f t="shared" si="4"/>
        <v>0</v>
      </c>
      <c r="AC11" s="270"/>
      <c r="AD11" s="276"/>
      <c r="AE11" s="276"/>
      <c r="AF11" s="276"/>
      <c r="AG11" s="276"/>
      <c r="AH11" s="276"/>
      <c r="AI11" s="276"/>
      <c r="AJ11" s="276"/>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row>
    <row r="12" spans="1:59" ht="15.75" customHeight="1" x14ac:dyDescent="0.2">
      <c r="A12" s="278"/>
      <c r="B12" s="278"/>
      <c r="C12" s="291" t="s">
        <v>166</v>
      </c>
      <c r="D12" s="292">
        <v>1</v>
      </c>
      <c r="E12" s="292">
        <v>-1</v>
      </c>
      <c r="F12" s="292">
        <v>0</v>
      </c>
      <c r="G12" s="292">
        <v>-1</v>
      </c>
      <c r="H12" s="292">
        <f t="shared" si="0"/>
        <v>-1</v>
      </c>
      <c r="I12" s="292">
        <v>0</v>
      </c>
      <c r="J12" s="292">
        <v>0</v>
      </c>
      <c r="K12" s="292">
        <v>1</v>
      </c>
      <c r="L12" s="292">
        <v>0</v>
      </c>
      <c r="M12" s="292">
        <f t="shared" si="1"/>
        <v>1</v>
      </c>
      <c r="N12" s="292">
        <v>1</v>
      </c>
      <c r="O12" s="292">
        <v>0</v>
      </c>
      <c r="P12" s="292">
        <v>0</v>
      </c>
      <c r="Q12" s="292">
        <v>-3</v>
      </c>
      <c r="R12" s="292">
        <f t="shared" si="2"/>
        <v>-2</v>
      </c>
      <c r="S12" s="292">
        <v>-0.33477557000000002</v>
      </c>
      <c r="T12" s="292">
        <v>0.35464895000000002</v>
      </c>
      <c r="U12" s="292">
        <v>0.6</v>
      </c>
      <c r="V12" s="292">
        <v>-3.4</v>
      </c>
      <c r="W12" s="292">
        <f t="shared" si="3"/>
        <v>-2.7801266199999999</v>
      </c>
      <c r="X12" s="292">
        <v>0.12579946</v>
      </c>
      <c r="Y12" s="292">
        <v>0.30581055000000001</v>
      </c>
      <c r="Z12" s="292">
        <v>0.13407368000000003</v>
      </c>
      <c r="AA12" s="292">
        <v>-7.2301359999999995E-2</v>
      </c>
      <c r="AB12" s="292">
        <f t="shared" si="4"/>
        <v>0.49338232999999998</v>
      </c>
      <c r="AC12" s="270"/>
      <c r="AD12" s="276"/>
      <c r="AE12" s="276"/>
      <c r="AF12" s="276"/>
      <c r="AG12" s="276"/>
      <c r="AH12" s="276"/>
      <c r="AI12" s="276"/>
      <c r="AJ12" s="276"/>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row>
    <row r="13" spans="1:59" ht="15.75" customHeight="1" x14ac:dyDescent="0.2">
      <c r="A13" s="278"/>
      <c r="B13" s="278"/>
      <c r="C13" s="293" t="s">
        <v>167</v>
      </c>
      <c r="D13" s="292">
        <v>-1.6</v>
      </c>
      <c r="E13" s="292">
        <v>-2.9</v>
      </c>
      <c r="F13" s="292">
        <v>-2.1</v>
      </c>
      <c r="G13" s="292">
        <v>-8.5</v>
      </c>
      <c r="H13" s="292">
        <v>-15.1</v>
      </c>
      <c r="I13" s="292">
        <v>-4.8</v>
      </c>
      <c r="J13" s="292">
        <v>2.5</v>
      </c>
      <c r="K13" s="292">
        <v>-2.1</v>
      </c>
      <c r="L13" s="292">
        <v>6.8</v>
      </c>
      <c r="M13" s="292">
        <v>2.3999999999999995</v>
      </c>
      <c r="N13" s="292">
        <v>-18.8</v>
      </c>
      <c r="O13" s="292">
        <v>-6</v>
      </c>
      <c r="P13" s="292">
        <v>0.4</v>
      </c>
      <c r="Q13" s="292">
        <v>5.3</v>
      </c>
      <c r="R13" s="294">
        <v>-19.100000000000001</v>
      </c>
      <c r="S13" s="292">
        <v>-10.2396025</v>
      </c>
      <c r="T13" s="292">
        <v>2.1483368199999999</v>
      </c>
      <c r="U13" s="292">
        <v>-15.7</v>
      </c>
      <c r="V13" s="292">
        <v>-8.1</v>
      </c>
      <c r="W13" s="292">
        <v>-31.891265679999997</v>
      </c>
      <c r="X13" s="292">
        <v>21.417042769999998</v>
      </c>
      <c r="Y13" s="294">
        <v>-18.24229012</v>
      </c>
      <c r="Z13" s="294">
        <v>-12.859271869999999</v>
      </c>
      <c r="AA13" s="294">
        <v>26.697567840000001</v>
      </c>
      <c r="AB13" s="294">
        <f t="shared" si="4"/>
        <v>17.013048619999999</v>
      </c>
      <c r="AC13" s="270"/>
      <c r="AD13" s="270"/>
      <c r="AE13" s="270"/>
      <c r="AF13" s="270"/>
      <c r="AG13" s="295"/>
      <c r="AH13" s="295"/>
      <c r="AI13" s="295"/>
      <c r="AJ13" s="295"/>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row>
    <row r="14" spans="1:59" ht="15.75" customHeight="1" x14ac:dyDescent="0.2">
      <c r="A14" s="278"/>
      <c r="B14" s="278"/>
      <c r="C14" s="279" t="s">
        <v>168</v>
      </c>
      <c r="D14" s="280">
        <v>132.58230541999995</v>
      </c>
      <c r="E14" s="280">
        <v>129.37024279499892</v>
      </c>
      <c r="F14" s="280">
        <v>178.83237634500128</v>
      </c>
      <c r="G14" s="280">
        <v>129.98488874000026</v>
      </c>
      <c r="H14" s="280">
        <v>570.76981330000046</v>
      </c>
      <c r="I14" s="280">
        <v>136.04580550999998</v>
      </c>
      <c r="J14" s="280">
        <v>131.66014074000003</v>
      </c>
      <c r="K14" s="280">
        <v>179.54964608000003</v>
      </c>
      <c r="L14" s="280">
        <v>109.07026023000002</v>
      </c>
      <c r="M14" s="280">
        <v>556.32585256000004</v>
      </c>
      <c r="N14" s="280">
        <v>142.16454465000001</v>
      </c>
      <c r="O14" s="280">
        <v>192.40864829999998</v>
      </c>
      <c r="P14" s="280">
        <v>204.05101571000003</v>
      </c>
      <c r="Q14" s="280">
        <v>172.54351460000004</v>
      </c>
      <c r="R14" s="281">
        <v>711.16772325999989</v>
      </c>
      <c r="S14" s="280">
        <v>229.48144902000001</v>
      </c>
      <c r="T14" s="280">
        <v>220.56195263000001</v>
      </c>
      <c r="U14" s="280">
        <v>219.12654571000007</v>
      </c>
      <c r="V14" s="280">
        <v>189.60454937</v>
      </c>
      <c r="W14" s="280">
        <v>858.7744967299999</v>
      </c>
      <c r="X14" s="280">
        <v>239.01264623</v>
      </c>
      <c r="Y14" s="281">
        <v>201.20064793999998</v>
      </c>
      <c r="Z14" s="281">
        <v>248.02250831999999</v>
      </c>
      <c r="AA14" s="281">
        <v>250.71721364000001</v>
      </c>
      <c r="AB14" s="281">
        <f t="shared" si="4"/>
        <v>938.95301612999992</v>
      </c>
      <c r="AC14" s="270"/>
      <c r="AD14" s="270"/>
      <c r="AE14" s="270"/>
      <c r="AF14" s="270"/>
      <c r="AG14" s="276"/>
      <c r="AH14" s="276"/>
      <c r="AI14" s="270"/>
      <c r="AJ14" s="295"/>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row>
    <row r="15" spans="1:59" ht="15.75" customHeight="1" x14ac:dyDescent="0.2">
      <c r="A15" s="278"/>
      <c r="B15" s="278"/>
      <c r="C15" s="297" t="s">
        <v>169</v>
      </c>
      <c r="D15" s="292">
        <v>-46.9</v>
      </c>
      <c r="E15" s="292">
        <v>-51.4</v>
      </c>
      <c r="F15" s="292">
        <v>-53</v>
      </c>
      <c r="G15" s="292">
        <v>-53.5</v>
      </c>
      <c r="H15" s="292">
        <v>-204.8</v>
      </c>
      <c r="I15" s="292">
        <v>-63.1</v>
      </c>
      <c r="J15" s="292">
        <v>-64.2</v>
      </c>
      <c r="K15" s="292">
        <v>-66.400000000000006</v>
      </c>
      <c r="L15" s="292">
        <v>-67.099999999999994</v>
      </c>
      <c r="M15" s="292">
        <v>-260.8</v>
      </c>
      <c r="N15" s="292">
        <v>-72</v>
      </c>
      <c r="O15" s="292">
        <v>-80.599999999999994</v>
      </c>
      <c r="P15" s="292">
        <v>-80.599999999999994</v>
      </c>
      <c r="Q15" s="292">
        <v>-81.8</v>
      </c>
      <c r="R15" s="294">
        <v>-315</v>
      </c>
      <c r="S15" s="292">
        <v>-84.931852460000002</v>
      </c>
      <c r="T15" s="292">
        <v>-83.358121650000001</v>
      </c>
      <c r="U15" s="292">
        <v>-79.573804019999997</v>
      </c>
      <c r="V15" s="292">
        <v>-83.4</v>
      </c>
      <c r="W15" s="292">
        <v>-331.26377812999999</v>
      </c>
      <c r="X15" s="292">
        <v>-81.619663489999994</v>
      </c>
      <c r="Y15" s="294">
        <v>-79.104547170000004</v>
      </c>
      <c r="Z15" s="294">
        <v>-83.504519349999995</v>
      </c>
      <c r="AA15" s="294">
        <v>-88.500541220000002</v>
      </c>
      <c r="AB15" s="294">
        <f t="shared" si="4"/>
        <v>-332.72927122999999</v>
      </c>
      <c r="AC15" s="270"/>
      <c r="AD15" s="270"/>
      <c r="AE15" s="270"/>
      <c r="AF15" s="270"/>
      <c r="AG15" s="270"/>
      <c r="AH15" s="270"/>
      <c r="AI15" s="270"/>
      <c r="AJ15" s="295"/>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row>
    <row r="16" spans="1:59" ht="15.75" customHeight="1" x14ac:dyDescent="0.2">
      <c r="A16" s="278"/>
      <c r="B16" s="278"/>
      <c r="C16" s="279" t="s">
        <v>170</v>
      </c>
      <c r="D16" s="280">
        <v>85.682305419999949</v>
      </c>
      <c r="E16" s="280">
        <v>77.97024279499891</v>
      </c>
      <c r="F16" s="280">
        <v>125.83237634500128</v>
      </c>
      <c r="G16" s="280">
        <v>76.484888740000258</v>
      </c>
      <c r="H16" s="280">
        <v>365.96981330000045</v>
      </c>
      <c r="I16" s="280">
        <v>72.945805509999985</v>
      </c>
      <c r="J16" s="280">
        <v>67.460140740000028</v>
      </c>
      <c r="K16" s="280">
        <v>113.14964608000002</v>
      </c>
      <c r="L16" s="280">
        <v>41.970260230000022</v>
      </c>
      <c r="M16" s="280">
        <v>295.52585256000003</v>
      </c>
      <c r="N16" s="280">
        <v>70.164544650000011</v>
      </c>
      <c r="O16" s="280">
        <v>111.80864829999999</v>
      </c>
      <c r="P16" s="280">
        <v>123.45101571000004</v>
      </c>
      <c r="Q16" s="280">
        <v>90.74351460000004</v>
      </c>
      <c r="R16" s="281">
        <v>396.16772325999989</v>
      </c>
      <c r="S16" s="280">
        <v>144.54959656</v>
      </c>
      <c r="T16" s="280">
        <v>137.20383098000002</v>
      </c>
      <c r="U16" s="280">
        <v>139.55274169000006</v>
      </c>
      <c r="V16" s="280">
        <v>106.20454937</v>
      </c>
      <c r="W16" s="280">
        <v>527.5107185999999</v>
      </c>
      <c r="X16" s="280">
        <v>157.39298274000001</v>
      </c>
      <c r="Y16" s="281">
        <v>122.09610078000003</v>
      </c>
      <c r="Z16" s="281">
        <v>164.51798896000003</v>
      </c>
      <c r="AA16" s="281">
        <v>162.21667241</v>
      </c>
      <c r="AB16" s="281">
        <f t="shared" si="4"/>
        <v>606.22374489000003</v>
      </c>
      <c r="AC16" s="270"/>
      <c r="AD16" s="270"/>
      <c r="AE16" s="270"/>
      <c r="AF16" s="270"/>
      <c r="AG16" s="276"/>
      <c r="AH16" s="276"/>
      <c r="AI16" s="270"/>
      <c r="AJ16" s="295"/>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row>
    <row r="17" spans="1:59" ht="15.75" customHeight="1" x14ac:dyDescent="0.2">
      <c r="A17" s="278"/>
      <c r="B17" s="278"/>
      <c r="C17" s="291" t="s">
        <v>171</v>
      </c>
      <c r="D17" s="292">
        <v>4</v>
      </c>
      <c r="E17" s="292">
        <v>3</v>
      </c>
      <c r="F17" s="292">
        <v>3</v>
      </c>
      <c r="G17" s="292">
        <v>2</v>
      </c>
      <c r="H17" s="292">
        <f t="shared" ref="H17:H22" si="5">SUM(D17:G17)</f>
        <v>12</v>
      </c>
      <c r="I17" s="292">
        <v>2</v>
      </c>
      <c r="J17" s="292">
        <v>2</v>
      </c>
      <c r="K17" s="292">
        <v>1</v>
      </c>
      <c r="L17" s="292">
        <v>2</v>
      </c>
      <c r="M17" s="292">
        <f t="shared" ref="M17:M22" si="6">SUM(I17:L17)</f>
        <v>7</v>
      </c>
      <c r="N17" s="292">
        <v>1</v>
      </c>
      <c r="O17" s="292">
        <v>1</v>
      </c>
      <c r="P17" s="292">
        <v>1</v>
      </c>
      <c r="Q17" s="292">
        <v>3</v>
      </c>
      <c r="R17" s="292">
        <f t="shared" ref="R17:R22" si="7">SUM(N17:Q17)</f>
        <v>6</v>
      </c>
      <c r="S17" s="292">
        <v>1.3</v>
      </c>
      <c r="T17" s="292">
        <v>1.8</v>
      </c>
      <c r="U17" s="292">
        <v>2.4</v>
      </c>
      <c r="V17" s="292">
        <v>6</v>
      </c>
      <c r="W17" s="292">
        <f t="shared" ref="W17:W22" si="8">SUM(S17:V17)</f>
        <v>11.5</v>
      </c>
      <c r="X17" s="292">
        <v>3.2200152100000001</v>
      </c>
      <c r="Y17" s="292">
        <v>5.2302679000000003</v>
      </c>
      <c r="Z17" s="292">
        <v>5.1753677199999997</v>
      </c>
      <c r="AA17" s="292">
        <v>5.3216598899999994</v>
      </c>
      <c r="AB17" s="292">
        <f t="shared" si="4"/>
        <v>18.947310720000001</v>
      </c>
      <c r="AC17" s="270"/>
      <c r="AD17" s="270"/>
      <c r="AE17" s="270"/>
      <c r="AF17" s="270"/>
      <c r="AG17" s="276"/>
      <c r="AH17" s="276"/>
      <c r="AI17" s="270"/>
      <c r="AJ17" s="270"/>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row>
    <row r="18" spans="1:59" ht="15.75" customHeight="1" x14ac:dyDescent="0.2">
      <c r="A18" s="278"/>
      <c r="B18" s="278"/>
      <c r="C18" s="291" t="s">
        <v>172</v>
      </c>
      <c r="D18" s="292">
        <v>-10</v>
      </c>
      <c r="E18" s="292">
        <v>-11</v>
      </c>
      <c r="F18" s="292">
        <v>-12</v>
      </c>
      <c r="G18" s="292">
        <v>-12</v>
      </c>
      <c r="H18" s="292">
        <f t="shared" si="5"/>
        <v>-45</v>
      </c>
      <c r="I18" s="292">
        <v>-25</v>
      </c>
      <c r="J18" s="292">
        <v>-26</v>
      </c>
      <c r="K18" s="292">
        <v>-25</v>
      </c>
      <c r="L18" s="292">
        <v>-29</v>
      </c>
      <c r="M18" s="292">
        <f t="shared" si="6"/>
        <v>-105</v>
      </c>
      <c r="N18" s="292">
        <v>-26</v>
      </c>
      <c r="O18" s="292">
        <v>-30</v>
      </c>
      <c r="P18" s="292">
        <v>-28</v>
      </c>
      <c r="Q18" s="292">
        <v>-35</v>
      </c>
      <c r="R18" s="292">
        <f t="shared" si="7"/>
        <v>-119</v>
      </c>
      <c r="S18" s="292">
        <v>-39.200000000000003</v>
      </c>
      <c r="T18" s="292">
        <v>-39</v>
      </c>
      <c r="U18" s="292">
        <v>-40.6</v>
      </c>
      <c r="V18" s="292">
        <v>-43.5</v>
      </c>
      <c r="W18" s="292">
        <f t="shared" si="8"/>
        <v>-162.30000000000001</v>
      </c>
      <c r="X18" s="292">
        <v>-41.317576510000002</v>
      </c>
      <c r="Y18" s="292">
        <v>-47.735012640000001</v>
      </c>
      <c r="Z18" s="292">
        <v>-40.139892209999999</v>
      </c>
      <c r="AA18" s="292">
        <v>-40.476888810000005</v>
      </c>
      <c r="AB18" s="292">
        <f t="shared" si="4"/>
        <v>-169.66937016999998</v>
      </c>
      <c r="AC18" s="270"/>
      <c r="AD18" s="270"/>
      <c r="AE18" s="270"/>
      <c r="AF18" s="270"/>
      <c r="AG18" s="276"/>
      <c r="AH18" s="276"/>
      <c r="AI18" s="270"/>
      <c r="AJ18" s="270"/>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1:59" ht="15.75" customHeight="1" x14ac:dyDescent="0.2">
      <c r="A19" s="278"/>
      <c r="B19" s="278"/>
      <c r="C19" s="291" t="s">
        <v>173</v>
      </c>
      <c r="D19" s="292">
        <v>-1</v>
      </c>
      <c r="E19" s="292">
        <v>-31</v>
      </c>
      <c r="F19" s="292">
        <v>-7</v>
      </c>
      <c r="G19" s="292">
        <v>7</v>
      </c>
      <c r="H19" s="292">
        <f t="shared" si="5"/>
        <v>-32</v>
      </c>
      <c r="I19" s="292">
        <v>1</v>
      </c>
      <c r="J19" s="292">
        <v>0</v>
      </c>
      <c r="K19" s="292">
        <v>0</v>
      </c>
      <c r="L19" s="292">
        <v>-1</v>
      </c>
      <c r="M19" s="292">
        <f t="shared" si="6"/>
        <v>0</v>
      </c>
      <c r="N19" s="292">
        <v>20</v>
      </c>
      <c r="O19" s="292">
        <v>3</v>
      </c>
      <c r="P19" s="292">
        <v>0</v>
      </c>
      <c r="Q19" s="292">
        <v>1</v>
      </c>
      <c r="R19" s="292">
        <f t="shared" si="7"/>
        <v>24</v>
      </c>
      <c r="S19" s="292">
        <v>0.1</v>
      </c>
      <c r="T19" s="292">
        <v>0</v>
      </c>
      <c r="U19" s="292">
        <v>0.1</v>
      </c>
      <c r="V19" s="292">
        <v>-0.4</v>
      </c>
      <c r="W19" s="292">
        <f t="shared" si="8"/>
        <v>-0.2</v>
      </c>
      <c r="X19" s="292">
        <v>-0.11822405</v>
      </c>
      <c r="Y19" s="292">
        <v>0.23689136</v>
      </c>
      <c r="Z19" s="292">
        <v>0.56894731999999992</v>
      </c>
      <c r="AA19" s="292">
        <v>-1.99259209</v>
      </c>
      <c r="AB19" s="292">
        <f t="shared" si="4"/>
        <v>-1.3049774600000001</v>
      </c>
      <c r="AC19" s="270"/>
      <c r="AD19" s="270"/>
      <c r="AE19" s="270"/>
      <c r="AF19" s="270"/>
      <c r="AG19" s="276"/>
      <c r="AH19" s="276"/>
      <c r="AI19" s="270"/>
      <c r="AJ19" s="270"/>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row>
    <row r="20" spans="1:59" ht="15.75" customHeight="1" x14ac:dyDescent="0.2">
      <c r="A20" s="278"/>
      <c r="B20" s="278"/>
      <c r="C20" s="291" t="s">
        <v>174</v>
      </c>
      <c r="D20" s="292">
        <v>0</v>
      </c>
      <c r="E20" s="292">
        <v>0</v>
      </c>
      <c r="F20" s="292">
        <v>0</v>
      </c>
      <c r="G20" s="292">
        <v>0</v>
      </c>
      <c r="H20" s="292">
        <f t="shared" si="5"/>
        <v>0</v>
      </c>
      <c r="I20" s="292">
        <v>0</v>
      </c>
      <c r="J20" s="292">
        <v>0</v>
      </c>
      <c r="K20" s="292">
        <v>0</v>
      </c>
      <c r="L20" s="292">
        <v>0</v>
      </c>
      <c r="M20" s="292">
        <f t="shared" si="6"/>
        <v>0</v>
      </c>
      <c r="N20" s="292">
        <v>0</v>
      </c>
      <c r="O20" s="292">
        <v>0</v>
      </c>
      <c r="P20" s="292">
        <v>0</v>
      </c>
      <c r="Q20" s="292">
        <v>0</v>
      </c>
      <c r="R20" s="292">
        <f t="shared" si="7"/>
        <v>0</v>
      </c>
      <c r="S20" s="292">
        <v>0</v>
      </c>
      <c r="T20" s="292">
        <v>0</v>
      </c>
      <c r="U20" s="292">
        <v>0</v>
      </c>
      <c r="V20" s="292">
        <v>0</v>
      </c>
      <c r="W20" s="292">
        <f t="shared" si="8"/>
        <v>0</v>
      </c>
      <c r="X20" s="292">
        <v>0</v>
      </c>
      <c r="Y20" s="292">
        <v>0</v>
      </c>
      <c r="Z20" s="292">
        <v>0</v>
      </c>
      <c r="AA20" s="292">
        <v>0</v>
      </c>
      <c r="AB20" s="292">
        <f t="shared" si="4"/>
        <v>0</v>
      </c>
      <c r="AC20" s="270"/>
      <c r="AD20" s="270"/>
      <c r="AE20" s="270"/>
      <c r="AF20" s="270"/>
      <c r="AG20" s="276"/>
      <c r="AH20" s="276"/>
      <c r="AI20" s="270"/>
      <c r="AJ20" s="270"/>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row>
    <row r="21" spans="1:59" ht="15.75" customHeight="1" x14ac:dyDescent="0.2">
      <c r="A21" s="278"/>
      <c r="B21" s="278"/>
      <c r="C21" s="291" t="s">
        <v>175</v>
      </c>
      <c r="D21" s="292">
        <v>0</v>
      </c>
      <c r="E21" s="292">
        <v>0</v>
      </c>
      <c r="F21" s="292">
        <v>0</v>
      </c>
      <c r="G21" s="292">
        <v>0</v>
      </c>
      <c r="H21" s="292">
        <f t="shared" si="5"/>
        <v>0</v>
      </c>
      <c r="I21" s="292">
        <v>2</v>
      </c>
      <c r="J21" s="292">
        <v>1</v>
      </c>
      <c r="K21" s="292">
        <v>7</v>
      </c>
      <c r="L21" s="292">
        <v>6</v>
      </c>
      <c r="M21" s="292">
        <f t="shared" si="6"/>
        <v>16</v>
      </c>
      <c r="N21" s="292">
        <v>2</v>
      </c>
      <c r="O21" s="292">
        <v>0</v>
      </c>
      <c r="P21" s="292">
        <v>-1</v>
      </c>
      <c r="Q21" s="292">
        <v>1</v>
      </c>
      <c r="R21" s="292">
        <f t="shared" si="7"/>
        <v>2</v>
      </c>
      <c r="S21" s="292">
        <v>0.7</v>
      </c>
      <c r="T21" s="292">
        <v>4</v>
      </c>
      <c r="U21" s="292">
        <v>3.6</v>
      </c>
      <c r="V21" s="292">
        <v>3.8</v>
      </c>
      <c r="W21" s="292">
        <f t="shared" si="8"/>
        <v>12.100000000000001</v>
      </c>
      <c r="X21" s="292">
        <v>4.70606714</v>
      </c>
      <c r="Y21" s="292">
        <v>3.5534753299999999</v>
      </c>
      <c r="Z21" s="292">
        <v>4.3747858300000004</v>
      </c>
      <c r="AA21" s="292">
        <v>4.9948013600000003</v>
      </c>
      <c r="AB21" s="292">
        <f t="shared" si="4"/>
        <v>17.62912966</v>
      </c>
      <c r="AC21" s="270"/>
      <c r="AD21" s="270"/>
      <c r="AE21" s="270"/>
      <c r="AF21" s="270"/>
      <c r="AG21" s="276"/>
      <c r="AH21" s="276"/>
      <c r="AI21" s="270"/>
      <c r="AJ21" s="270"/>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row>
    <row r="22" spans="1:59" ht="15.75" customHeight="1" x14ac:dyDescent="0.2">
      <c r="A22" s="278"/>
      <c r="B22" s="278"/>
      <c r="C22" s="291" t="s">
        <v>176</v>
      </c>
      <c r="D22" s="292">
        <v>-3</v>
      </c>
      <c r="E22" s="292">
        <v>-30</v>
      </c>
      <c r="F22" s="292">
        <v>-11</v>
      </c>
      <c r="G22" s="292">
        <v>7</v>
      </c>
      <c r="H22" s="292">
        <f t="shared" si="5"/>
        <v>-37</v>
      </c>
      <c r="I22" s="292">
        <v>-2</v>
      </c>
      <c r="J22" s="292">
        <v>2</v>
      </c>
      <c r="K22" s="292">
        <v>-38</v>
      </c>
      <c r="L22" s="292">
        <v>32</v>
      </c>
      <c r="M22" s="292">
        <f t="shared" si="6"/>
        <v>-6</v>
      </c>
      <c r="N22" s="292">
        <v>-60</v>
      </c>
      <c r="O22" s="292">
        <v>-19</v>
      </c>
      <c r="P22" s="292">
        <v>-5</v>
      </c>
      <c r="Q22" s="292">
        <v>27</v>
      </c>
      <c r="R22" s="292">
        <f t="shared" si="7"/>
        <v>-57</v>
      </c>
      <c r="S22" s="292">
        <v>-28.4</v>
      </c>
      <c r="T22" s="292">
        <v>42.5</v>
      </c>
      <c r="U22" s="292">
        <v>-18.2</v>
      </c>
      <c r="V22" s="292">
        <v>-10.6</v>
      </c>
      <c r="W22" s="292">
        <f t="shared" si="8"/>
        <v>-14.699999999999998</v>
      </c>
      <c r="X22" s="292">
        <v>14.7998771</v>
      </c>
      <c r="Y22" s="292">
        <v>-9.2783003599999994</v>
      </c>
      <c r="Z22" s="292">
        <v>-6.8089372599999995</v>
      </c>
      <c r="AA22" s="292">
        <v>4.9052337699999997</v>
      </c>
      <c r="AB22" s="292">
        <f t="shared" si="4"/>
        <v>3.6178732500000006</v>
      </c>
      <c r="AC22" s="270"/>
      <c r="AD22" s="270"/>
      <c r="AE22" s="270"/>
      <c r="AF22" s="270"/>
      <c r="AG22" s="276"/>
      <c r="AH22" s="276"/>
      <c r="AI22" s="270"/>
      <c r="AJ22" s="270"/>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row>
    <row r="23" spans="1:59" ht="15.75" customHeight="1" x14ac:dyDescent="0.2">
      <c r="A23" s="278"/>
      <c r="B23" s="278"/>
      <c r="C23" s="282" t="s">
        <v>177</v>
      </c>
      <c r="D23" s="283">
        <v>75.682305419999949</v>
      </c>
      <c r="E23" s="283">
        <v>8.9702427949989101</v>
      </c>
      <c r="F23" s="283">
        <v>98.832376345001279</v>
      </c>
      <c r="G23" s="283">
        <v>80.484888740000258</v>
      </c>
      <c r="H23" s="283">
        <v>263.96981330000045</v>
      </c>
      <c r="I23" s="283">
        <v>50.945805509999985</v>
      </c>
      <c r="J23" s="283">
        <v>46.460140740000028</v>
      </c>
      <c r="K23" s="283">
        <v>58.149646080000025</v>
      </c>
      <c r="L23" s="283">
        <v>51.970260230000022</v>
      </c>
      <c r="M23" s="283">
        <v>207.52585256000003</v>
      </c>
      <c r="N23" s="283">
        <v>7.1645446500000105</v>
      </c>
      <c r="O23" s="283">
        <v>66.808648299999987</v>
      </c>
      <c r="P23" s="283">
        <v>90.451015710000036</v>
      </c>
      <c r="Q23" s="283">
        <v>87.74351460000004</v>
      </c>
      <c r="R23" s="283">
        <v>252.16772325999989</v>
      </c>
      <c r="S23" s="283">
        <v>79.049596559999998</v>
      </c>
      <c r="T23" s="283">
        <v>146.50383098000003</v>
      </c>
      <c r="U23" s="283">
        <v>86.852741690000059</v>
      </c>
      <c r="V23" s="283">
        <v>61.504549369999985</v>
      </c>
      <c r="W23" s="283">
        <v>373.91071859999994</v>
      </c>
      <c r="X23" s="283">
        <v>138.68314163000002</v>
      </c>
      <c r="Y23" s="283">
        <v>74.103422370000018</v>
      </c>
      <c r="Z23" s="283">
        <v>127.68826036000004</v>
      </c>
      <c r="AA23" s="283">
        <v>134.96888652999999</v>
      </c>
      <c r="AB23" s="283">
        <v>475.44371089000009</v>
      </c>
      <c r="AC23" s="270"/>
      <c r="AD23" s="270"/>
      <c r="AE23" s="270"/>
      <c r="AF23" s="270"/>
      <c r="AG23" s="270"/>
      <c r="AH23" s="270"/>
      <c r="AI23" s="270"/>
      <c r="AJ23" s="270"/>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row>
    <row r="24" spans="1:59" ht="15.75" customHeight="1" x14ac:dyDescent="0.2">
      <c r="A24" s="278"/>
      <c r="B24" s="278"/>
      <c r="C24" s="297" t="s">
        <v>178</v>
      </c>
      <c r="D24" s="292">
        <v>-26.6</v>
      </c>
      <c r="E24" s="292">
        <v>-11.4</v>
      </c>
      <c r="F24" s="292">
        <v>-38.799999999999997</v>
      </c>
      <c r="G24" s="292">
        <v>-23.3</v>
      </c>
      <c r="H24" s="292">
        <v>-100.1</v>
      </c>
      <c r="I24" s="292">
        <v>-27.9</v>
      </c>
      <c r="J24" s="292">
        <v>-22.6</v>
      </c>
      <c r="K24" s="292">
        <v>-30.7</v>
      </c>
      <c r="L24" s="292">
        <v>-4.3</v>
      </c>
      <c r="M24" s="292">
        <v>-85.5</v>
      </c>
      <c r="N24" s="292">
        <v>-41.5</v>
      </c>
      <c r="O24" s="292">
        <v>-37.700000000000003</v>
      </c>
      <c r="P24" s="292">
        <v>-35.5</v>
      </c>
      <c r="Q24" s="292">
        <v>-18.899999999999999</v>
      </c>
      <c r="R24" s="294">
        <v>-133.6</v>
      </c>
      <c r="S24" s="292">
        <v>-52.4</v>
      </c>
      <c r="T24" s="292">
        <v>-26</v>
      </c>
      <c r="U24" s="292">
        <v>-52</v>
      </c>
      <c r="V24" s="292">
        <v>-19.600000000000001</v>
      </c>
      <c r="W24" s="292">
        <v>-150</v>
      </c>
      <c r="X24" s="292">
        <v>4.8021610700000004</v>
      </c>
      <c r="Y24" s="294">
        <v>-57.816059699999997</v>
      </c>
      <c r="Z24" s="294">
        <v>-61.145711199999994</v>
      </c>
      <c r="AA24" s="294">
        <v>-22.376066429999998</v>
      </c>
      <c r="AB24" s="294">
        <f t="shared" ref="AB24:AB26" si="9">SUM(X24:AA24)</f>
        <v>-136.53567626</v>
      </c>
      <c r="AC24" s="270"/>
      <c r="AD24" s="270"/>
      <c r="AE24" s="270"/>
      <c r="AF24" s="270"/>
      <c r="AG24" s="270"/>
      <c r="AH24" s="270"/>
      <c r="AI24" s="270"/>
      <c r="AJ24" s="270"/>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row>
    <row r="25" spans="1:59" ht="15.75" customHeight="1" x14ac:dyDescent="0.2">
      <c r="A25" s="278"/>
      <c r="B25" s="278"/>
      <c r="C25" s="298" t="s">
        <v>179</v>
      </c>
      <c r="D25" s="280">
        <v>49.082305419999948</v>
      </c>
      <c r="E25" s="280">
        <v>-2.4297572050010956</v>
      </c>
      <c r="F25" s="280">
        <v>60.032376345001282</v>
      </c>
      <c r="G25" s="280">
        <v>57.184888740000261</v>
      </c>
      <c r="H25" s="280">
        <v>163.86981330000046</v>
      </c>
      <c r="I25" s="280">
        <v>23.045805509999987</v>
      </c>
      <c r="J25" s="280">
        <v>23.860140740000027</v>
      </c>
      <c r="K25" s="280">
        <v>27.449646080000022</v>
      </c>
      <c r="L25" s="280">
        <v>47.670260230000025</v>
      </c>
      <c r="M25" s="280">
        <v>122.02585256000003</v>
      </c>
      <c r="N25" s="280">
        <v>-34.335455349999989</v>
      </c>
      <c r="O25" s="280">
        <v>29.108648299999984</v>
      </c>
      <c r="P25" s="280">
        <v>54.951015710000036</v>
      </c>
      <c r="Q25" s="280">
        <v>68.843514600000049</v>
      </c>
      <c r="R25" s="281">
        <v>118.56772325999987</v>
      </c>
      <c r="S25" s="280">
        <v>26.649596559999992</v>
      </c>
      <c r="T25" s="280">
        <v>120.50383098000002</v>
      </c>
      <c r="U25" s="280">
        <v>34.852741690000059</v>
      </c>
      <c r="V25" s="280">
        <v>41.904549369999984</v>
      </c>
      <c r="W25" s="280">
        <v>223.91071859999988</v>
      </c>
      <c r="X25" s="280">
        <v>143.48530271000001</v>
      </c>
      <c r="Y25" s="281">
        <v>16.287362659999999</v>
      </c>
      <c r="Z25" s="281">
        <v>66.542549159999993</v>
      </c>
      <c r="AA25" s="281">
        <v>112.59282011000001</v>
      </c>
      <c r="AB25" s="281">
        <f t="shared" si="9"/>
        <v>338.90803464000004</v>
      </c>
      <c r="AC25" s="270"/>
      <c r="AD25" s="270"/>
      <c r="AE25" s="270"/>
      <c r="AF25" s="270"/>
      <c r="AG25" s="270"/>
      <c r="AH25" s="270"/>
      <c r="AI25" s="270"/>
      <c r="AJ25" s="270"/>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row>
    <row r="26" spans="1:59" ht="15.75" customHeight="1" x14ac:dyDescent="0.2">
      <c r="A26" s="278"/>
      <c r="B26" s="278"/>
      <c r="C26" s="297" t="s">
        <v>180</v>
      </c>
      <c r="D26" s="292">
        <v>-5.0061236239999998</v>
      </c>
      <c r="E26" s="292">
        <v>-62.86219784</v>
      </c>
      <c r="F26" s="292">
        <v>-18.9013569</v>
      </c>
      <c r="G26" s="292">
        <v>19.465410840000001</v>
      </c>
      <c r="H26" s="292">
        <f>SUM(D26:G26)</f>
        <v>-67.304267523999997</v>
      </c>
      <c r="I26" s="292">
        <v>-12.575855369999999</v>
      </c>
      <c r="J26" s="292">
        <v>5.973561825</v>
      </c>
      <c r="K26" s="292">
        <v>-43.258391019999998</v>
      </c>
      <c r="L26" s="292">
        <v>38.376186730000001</v>
      </c>
      <c r="M26" s="292">
        <f>SUM(I26:L26)</f>
        <v>-11.484497834999999</v>
      </c>
      <c r="N26" s="292">
        <v>-48.721317790000001</v>
      </c>
      <c r="O26" s="292">
        <v>-11.07377666</v>
      </c>
      <c r="P26" s="292">
        <v>1.265405817</v>
      </c>
      <c r="Q26" s="292">
        <v>35.176254010000001</v>
      </c>
      <c r="R26" s="294">
        <f>SUM(N26:Q26)</f>
        <v>-23.353434622999998</v>
      </c>
      <c r="S26" s="292">
        <v>-19.509241190000001</v>
      </c>
      <c r="T26" s="292">
        <v>66.293123690000002</v>
      </c>
      <c r="U26" s="292">
        <v>-31.634366059999998</v>
      </c>
      <c r="V26" s="292">
        <v>-14.111370449999999</v>
      </c>
      <c r="W26" s="292">
        <f>SUM(S26:V26)</f>
        <v>1.0381459900000074</v>
      </c>
      <c r="X26" s="292">
        <v>63.477705489999998</v>
      </c>
      <c r="Y26" s="294">
        <v>-49.614617809999999</v>
      </c>
      <c r="Z26" s="294">
        <v>-16.764578229999998</v>
      </c>
      <c r="AA26" s="294">
        <v>25.492572930000001</v>
      </c>
      <c r="AB26" s="294">
        <f t="shared" si="9"/>
        <v>22.591082380000003</v>
      </c>
      <c r="AC26" s="270"/>
      <c r="AD26" s="270"/>
      <c r="AE26" s="270"/>
      <c r="AF26" s="270"/>
      <c r="AG26" s="270"/>
      <c r="AH26" s="270"/>
      <c r="AI26" s="270"/>
      <c r="AJ26" s="270"/>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row>
    <row r="27" spans="1:59" ht="15.75" customHeight="1" x14ac:dyDescent="0.2">
      <c r="A27" s="278"/>
      <c r="B27" s="278"/>
      <c r="C27" s="282" t="s">
        <v>181</v>
      </c>
      <c r="D27" s="283">
        <f t="shared" ref="D27:X27" si="10">D25-D26</f>
        <v>54.088429043999945</v>
      </c>
      <c r="E27" s="283">
        <f t="shared" si="10"/>
        <v>60.432440634998905</v>
      </c>
      <c r="F27" s="283">
        <f t="shared" si="10"/>
        <v>78.933733245001278</v>
      </c>
      <c r="G27" s="283">
        <f t="shared" si="10"/>
        <v>37.719477900000257</v>
      </c>
      <c r="H27" s="283">
        <f t="shared" si="10"/>
        <v>231.17408082400044</v>
      </c>
      <c r="I27" s="283">
        <f t="shared" si="10"/>
        <v>35.621660879999986</v>
      </c>
      <c r="J27" s="283">
        <f t="shared" si="10"/>
        <v>17.886578915000026</v>
      </c>
      <c r="K27" s="283">
        <f t="shared" si="10"/>
        <v>70.708037100000013</v>
      </c>
      <c r="L27" s="283">
        <f t="shared" si="10"/>
        <v>9.2940735000000245</v>
      </c>
      <c r="M27" s="283">
        <f t="shared" si="10"/>
        <v>133.51035039500005</v>
      </c>
      <c r="N27" s="283">
        <f t="shared" si="10"/>
        <v>14.385862440000011</v>
      </c>
      <c r="O27" s="283">
        <f t="shared" si="10"/>
        <v>40.182424959999985</v>
      </c>
      <c r="P27" s="283">
        <f t="shared" si="10"/>
        <v>53.685609893000034</v>
      </c>
      <c r="Q27" s="283">
        <f t="shared" si="10"/>
        <v>33.667260590000048</v>
      </c>
      <c r="R27" s="283">
        <f t="shared" si="10"/>
        <v>141.92115788299986</v>
      </c>
      <c r="S27" s="283">
        <f t="shared" si="10"/>
        <v>46.158837749999989</v>
      </c>
      <c r="T27" s="283">
        <f t="shared" si="10"/>
        <v>54.210707290000016</v>
      </c>
      <c r="U27" s="283">
        <f t="shared" si="10"/>
        <v>66.487107750000064</v>
      </c>
      <c r="V27" s="283">
        <f t="shared" si="10"/>
        <v>56.015919819999979</v>
      </c>
      <c r="W27" s="283">
        <f t="shared" si="10"/>
        <v>222.87257260999988</v>
      </c>
      <c r="X27" s="283">
        <f t="shared" si="10"/>
        <v>80.007597220000008</v>
      </c>
      <c r="Y27" s="283">
        <v>65.901980469999998</v>
      </c>
      <c r="Z27" s="283">
        <f t="shared" ref="Z27:AB27" si="11">Z25-Z26</f>
        <v>83.307127389999991</v>
      </c>
      <c r="AA27" s="283">
        <f t="shared" si="11"/>
        <v>87.100247179999997</v>
      </c>
      <c r="AB27" s="283">
        <f t="shared" si="11"/>
        <v>316.31695226000005</v>
      </c>
      <c r="AC27" s="270"/>
      <c r="AD27" s="270"/>
      <c r="AE27" s="270"/>
      <c r="AF27" s="270"/>
      <c r="AG27" s="270"/>
      <c r="AH27" s="270"/>
      <c r="AI27" s="270"/>
      <c r="AJ27" s="270"/>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row>
    <row r="28" spans="1:59" ht="15.75" customHeight="1" x14ac:dyDescent="0.2">
      <c r="A28" s="284"/>
      <c r="B28" s="284"/>
      <c r="C28" s="297" t="s">
        <v>182</v>
      </c>
      <c r="D28" s="299">
        <v>439.96859999999998</v>
      </c>
      <c r="E28" s="299">
        <v>439.96859999999998</v>
      </c>
      <c r="F28" s="299">
        <v>439.96859999999998</v>
      </c>
      <c r="G28" s="299">
        <v>439.96859999999998</v>
      </c>
      <c r="H28" s="299">
        <v>439.96859999999998</v>
      </c>
      <c r="I28" s="299">
        <v>439.96859999999998</v>
      </c>
      <c r="J28" s="299">
        <v>439.96859999999998</v>
      </c>
      <c r="K28" s="299">
        <v>439.96859999999998</v>
      </c>
      <c r="L28" s="299">
        <v>439.96859999999998</v>
      </c>
      <c r="M28" s="299">
        <v>439.96859999999998</v>
      </c>
      <c r="N28" s="299">
        <v>439.96859999999998</v>
      </c>
      <c r="O28" s="299">
        <v>439.96859999999998</v>
      </c>
      <c r="P28" s="299">
        <v>439.96859999999998</v>
      </c>
      <c r="Q28" s="299">
        <v>439.96859999999998</v>
      </c>
      <c r="R28" s="299">
        <v>439.96859999999998</v>
      </c>
      <c r="S28" s="299">
        <v>439.96859999999998</v>
      </c>
      <c r="T28" s="299">
        <v>439.96859999999998</v>
      </c>
      <c r="U28" s="299">
        <v>439.96859999999998</v>
      </c>
      <c r="V28" s="299">
        <v>439.96859999999998</v>
      </c>
      <c r="W28" s="299">
        <v>439.96859999999998</v>
      </c>
      <c r="X28" s="299">
        <v>439.96859999999998</v>
      </c>
      <c r="Y28" s="299">
        <v>439.96859999999998</v>
      </c>
      <c r="Z28" s="299">
        <v>439.96859999999998</v>
      </c>
      <c r="AA28" s="299">
        <v>439.96859999999998</v>
      </c>
      <c r="AB28" s="299">
        <v>439.96859999999998</v>
      </c>
      <c r="AC28" s="287"/>
      <c r="AD28" s="287"/>
      <c r="AE28" s="287"/>
      <c r="AF28" s="287"/>
      <c r="AG28" s="287"/>
      <c r="AH28" s="287"/>
      <c r="AI28" s="287"/>
      <c r="AJ28" s="287"/>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row>
    <row r="29" spans="1:59" ht="15.75" customHeight="1" x14ac:dyDescent="0.2">
      <c r="A29" s="278"/>
      <c r="B29" s="278"/>
      <c r="C29" s="297" t="s">
        <v>183</v>
      </c>
      <c r="D29" s="300">
        <f t="shared" ref="D29:AB29" si="12">D25/D28</f>
        <v>0.11155865536767839</v>
      </c>
      <c r="E29" s="300">
        <f t="shared" si="12"/>
        <v>-5.5225695765586356E-3</v>
      </c>
      <c r="F29" s="300">
        <f t="shared" si="12"/>
        <v>0.13644695631688553</v>
      </c>
      <c r="G29" s="300">
        <f t="shared" si="12"/>
        <v>0.12997493171103633</v>
      </c>
      <c r="H29" s="300">
        <f t="shared" si="12"/>
        <v>0.37245797381904178</v>
      </c>
      <c r="I29" s="300">
        <f t="shared" si="12"/>
        <v>5.2380568772407821E-2</v>
      </c>
      <c r="J29" s="300">
        <f t="shared" si="12"/>
        <v>5.4231462745295979E-2</v>
      </c>
      <c r="K29" s="300">
        <f t="shared" si="12"/>
        <v>6.2390011650831502E-2</v>
      </c>
      <c r="L29" s="300">
        <f t="shared" si="12"/>
        <v>0.1083492327179713</v>
      </c>
      <c r="M29" s="300">
        <f t="shared" si="12"/>
        <v>0.27735127588650654</v>
      </c>
      <c r="N29" s="300">
        <f t="shared" si="12"/>
        <v>-7.8040695063238588E-2</v>
      </c>
      <c r="O29" s="300">
        <f t="shared" si="12"/>
        <v>6.6160740334651122E-2</v>
      </c>
      <c r="P29" s="300">
        <f t="shared" si="12"/>
        <v>0.12489758521403581</v>
      </c>
      <c r="Q29" s="300">
        <f t="shared" si="12"/>
        <v>0.15647369971402517</v>
      </c>
      <c r="R29" s="300">
        <f t="shared" si="12"/>
        <v>0.26949133019947302</v>
      </c>
      <c r="S29" s="300">
        <f t="shared" si="12"/>
        <v>6.0571587517836485E-2</v>
      </c>
      <c r="T29" s="300">
        <f t="shared" si="12"/>
        <v>0.27389188905753736</v>
      </c>
      <c r="U29" s="300">
        <f t="shared" si="12"/>
        <v>7.921642974066799E-2</v>
      </c>
      <c r="V29" s="300">
        <f t="shared" si="12"/>
        <v>9.524440919192867E-2</v>
      </c>
      <c r="W29" s="300">
        <f t="shared" si="12"/>
        <v>0.50892431550797013</v>
      </c>
      <c r="X29" s="300">
        <f t="shared" si="12"/>
        <v>0.32612623425853576</v>
      </c>
      <c r="Y29" s="300">
        <f t="shared" si="12"/>
        <v>3.7019375155408818E-2</v>
      </c>
      <c r="Z29" s="300">
        <f t="shared" si="12"/>
        <v>0.15124385958452488</v>
      </c>
      <c r="AA29" s="300">
        <f t="shared" si="12"/>
        <v>0.25591103571936724</v>
      </c>
      <c r="AB29" s="300">
        <f t="shared" si="12"/>
        <v>0.77030050471783684</v>
      </c>
      <c r="AC29" s="270"/>
      <c r="AD29" s="270"/>
      <c r="AE29" s="270"/>
      <c r="AF29" s="270"/>
      <c r="AG29" s="270"/>
      <c r="AH29" s="270"/>
      <c r="AI29" s="270"/>
      <c r="AJ29" s="270"/>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row>
    <row r="30" spans="1:59" ht="15.75" customHeight="1" x14ac:dyDescent="0.2">
      <c r="A30" s="278"/>
      <c r="B30" s="278"/>
      <c r="C30" s="297" t="s">
        <v>184</v>
      </c>
      <c r="D30" s="301">
        <f t="shared" ref="D30:AB30" si="13">-D24/D16</f>
        <v>0.31044916298191755</v>
      </c>
      <c r="E30" s="301">
        <f t="shared" si="13"/>
        <v>0.14620962551024924</v>
      </c>
      <c r="F30" s="301">
        <f t="shared" si="13"/>
        <v>0.30834671590100138</v>
      </c>
      <c r="G30" s="301">
        <f t="shared" si="13"/>
        <v>0.3046353388733441</v>
      </c>
      <c r="H30" s="301">
        <f t="shared" si="13"/>
        <v>0.2735198269425132</v>
      </c>
      <c r="I30" s="301">
        <f t="shared" si="13"/>
        <v>0.38247572708173394</v>
      </c>
      <c r="J30" s="301">
        <f t="shared" si="13"/>
        <v>0.33501264231130617</v>
      </c>
      <c r="K30" s="301">
        <f t="shared" si="13"/>
        <v>0.2713221036351649</v>
      </c>
      <c r="L30" s="301">
        <f t="shared" si="13"/>
        <v>0.10245349865442084</v>
      </c>
      <c r="M30" s="301">
        <f t="shared" si="13"/>
        <v>0.28931479009147298</v>
      </c>
      <c r="N30" s="301">
        <f t="shared" si="13"/>
        <v>0.59146681856218664</v>
      </c>
      <c r="O30" s="301">
        <f t="shared" si="13"/>
        <v>0.33718321948446278</v>
      </c>
      <c r="P30" s="301">
        <f t="shared" si="13"/>
        <v>0.28756345013307455</v>
      </c>
      <c r="Q30" s="301">
        <f t="shared" si="13"/>
        <v>0.20827934738159226</v>
      </c>
      <c r="R30" s="301">
        <f t="shared" si="13"/>
        <v>0.33723090538680761</v>
      </c>
      <c r="S30" s="301">
        <f t="shared" si="13"/>
        <v>0.36250533551817754</v>
      </c>
      <c r="T30" s="301">
        <f t="shared" si="13"/>
        <v>0.18949908187177353</v>
      </c>
      <c r="U30" s="301">
        <f t="shared" si="13"/>
        <v>0.37261897810300182</v>
      </c>
      <c r="V30" s="301">
        <f t="shared" si="13"/>
        <v>0.18454953310631425</v>
      </c>
      <c r="W30" s="301">
        <f t="shared" si="13"/>
        <v>0.28435441159962815</v>
      </c>
      <c r="X30" s="301">
        <f t="shared" si="13"/>
        <v>-3.0510642764377666E-2</v>
      </c>
      <c r="Y30" s="301">
        <f t="shared" si="13"/>
        <v>0.47352912444088929</v>
      </c>
      <c r="Z30" s="301">
        <f t="shared" si="13"/>
        <v>0.37166580740825017</v>
      </c>
      <c r="AA30" s="301">
        <f t="shared" si="13"/>
        <v>0.13793937514292523</v>
      </c>
      <c r="AB30" s="301">
        <f t="shared" si="13"/>
        <v>0.22522324044693193</v>
      </c>
      <c r="AC30" s="270"/>
      <c r="AD30" s="270"/>
      <c r="AE30" s="270"/>
      <c r="AF30" s="270"/>
      <c r="AG30" s="270"/>
      <c r="AH30" s="270"/>
      <c r="AI30" s="270"/>
      <c r="AJ30" s="270"/>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row>
    <row r="31" spans="1:59" ht="15.75" customHeight="1" x14ac:dyDescent="0.2">
      <c r="A31" s="278"/>
      <c r="B31" s="278"/>
      <c r="C31" s="302" t="s">
        <v>185</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270"/>
      <c r="AD31" s="270"/>
      <c r="AE31" s="270"/>
      <c r="AF31" s="270"/>
      <c r="AG31" s="270"/>
      <c r="AH31" s="270"/>
      <c r="AI31" s="270"/>
      <c r="AJ31" s="270"/>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row>
    <row r="32" spans="1:59" ht="15.75" customHeight="1" x14ac:dyDescent="0.2">
      <c r="A32" s="268"/>
      <c r="B32" s="268"/>
      <c r="C32" s="304"/>
      <c r="D32" s="305"/>
      <c r="E32" s="305"/>
      <c r="F32" s="305"/>
      <c r="G32" s="305"/>
      <c r="H32" s="305"/>
      <c r="I32" s="305"/>
      <c r="J32" s="305"/>
      <c r="K32" s="305"/>
      <c r="L32" s="305"/>
      <c r="M32" s="305"/>
      <c r="N32" s="305"/>
      <c r="O32" s="305"/>
      <c r="P32" s="305"/>
      <c r="Q32" s="305"/>
      <c r="R32" s="306"/>
      <c r="S32" s="305"/>
      <c r="T32" s="305"/>
      <c r="U32" s="305"/>
      <c r="V32" s="305"/>
      <c r="W32" s="305"/>
      <c r="X32" s="305"/>
      <c r="Y32" s="305"/>
      <c r="Z32" s="305"/>
      <c r="AA32" s="305"/>
      <c r="AB32" s="305"/>
      <c r="AC32" s="270"/>
      <c r="AD32" s="270"/>
      <c r="AE32" s="270"/>
      <c r="AF32" s="270"/>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row>
    <row r="33" spans="1:59" ht="15.75" customHeight="1" x14ac:dyDescent="0.2">
      <c r="A33" s="271"/>
      <c r="B33" s="272" t="s">
        <v>186</v>
      </c>
      <c r="C33" s="273"/>
      <c r="D33" s="274"/>
      <c r="E33" s="274"/>
      <c r="F33" s="274"/>
      <c r="G33" s="274"/>
      <c r="H33" s="274"/>
      <c r="I33" s="274"/>
      <c r="J33" s="274"/>
      <c r="K33" s="274"/>
      <c r="L33" s="274"/>
      <c r="M33" s="274"/>
      <c r="N33" s="274"/>
      <c r="O33" s="274"/>
      <c r="P33" s="274"/>
      <c r="Q33" s="274"/>
      <c r="R33" s="275"/>
      <c r="S33" s="274"/>
      <c r="T33" s="274"/>
      <c r="U33" s="274"/>
      <c r="V33" s="274"/>
      <c r="W33" s="274"/>
      <c r="X33" s="274"/>
      <c r="Y33" s="274"/>
      <c r="Z33" s="274"/>
      <c r="AA33" s="274"/>
      <c r="AB33" s="274"/>
      <c r="AC33" s="270"/>
      <c r="AD33" s="270"/>
      <c r="AE33" s="270"/>
      <c r="AF33" s="270"/>
      <c r="AG33" s="276"/>
      <c r="AH33" s="276"/>
      <c r="AI33" s="276"/>
      <c r="AJ33" s="276"/>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row>
    <row r="34" spans="1:59" ht="15.75" customHeight="1" x14ac:dyDescent="0.2">
      <c r="A34" s="271"/>
      <c r="B34" s="272" t="s">
        <v>187</v>
      </c>
      <c r="C34" s="273"/>
      <c r="D34" s="277" t="s">
        <v>98</v>
      </c>
      <c r="E34" s="277" t="s">
        <v>99</v>
      </c>
      <c r="F34" s="277" t="s">
        <v>100</v>
      </c>
      <c r="G34" s="277" t="s">
        <v>101</v>
      </c>
      <c r="H34" s="159">
        <v>2018</v>
      </c>
      <c r="I34" s="277" t="s">
        <v>102</v>
      </c>
      <c r="J34" s="277" t="s">
        <v>103</v>
      </c>
      <c r="K34" s="277" t="s">
        <v>104</v>
      </c>
      <c r="L34" s="277" t="s">
        <v>105</v>
      </c>
      <c r="M34" s="159">
        <v>2019</v>
      </c>
      <c r="N34" s="277" t="s">
        <v>158</v>
      </c>
      <c r="O34" s="277" t="s">
        <v>107</v>
      </c>
      <c r="P34" s="277" t="s">
        <v>108</v>
      </c>
      <c r="Q34" s="277" t="s">
        <v>109</v>
      </c>
      <c r="R34" s="159">
        <v>2020</v>
      </c>
      <c r="S34" s="277" t="s">
        <v>110</v>
      </c>
      <c r="T34" s="277" t="s">
        <v>111</v>
      </c>
      <c r="U34" s="277" t="s">
        <v>112</v>
      </c>
      <c r="V34" s="277" t="s">
        <v>113</v>
      </c>
      <c r="W34" s="159">
        <v>2021</v>
      </c>
      <c r="X34" s="277" t="s">
        <v>114</v>
      </c>
      <c r="Y34" s="277" t="s">
        <v>115</v>
      </c>
      <c r="Z34" s="277" t="str">
        <f>$Z$4</f>
        <v>3Q22</v>
      </c>
      <c r="AA34" s="277" t="str">
        <f>$AA$4</f>
        <v>4Q22</v>
      </c>
      <c r="AB34" s="160">
        <v>2022</v>
      </c>
      <c r="AC34" s="270"/>
      <c r="AD34" s="270"/>
      <c r="AE34" s="270"/>
      <c r="AF34" s="270"/>
      <c r="AG34" s="270"/>
      <c r="AH34" s="270"/>
      <c r="AI34" s="270"/>
      <c r="AJ34" s="270"/>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row>
    <row r="35" spans="1:59" ht="15.75" customHeight="1" x14ac:dyDescent="0.2">
      <c r="A35" s="307"/>
      <c r="B35" s="307"/>
      <c r="C35" s="308" t="s">
        <v>188</v>
      </c>
      <c r="D35" s="305" t="s">
        <v>146</v>
      </c>
      <c r="E35" s="305" t="s">
        <v>146</v>
      </c>
      <c r="F35" s="305" t="s">
        <v>146</v>
      </c>
      <c r="G35" s="305" t="s">
        <v>146</v>
      </c>
      <c r="H35" s="305" t="s">
        <v>146</v>
      </c>
      <c r="I35" s="301">
        <f t="shared" ref="I35:AB35" si="14">I5/D5-1</f>
        <v>-2.1783850674124472E-2</v>
      </c>
      <c r="J35" s="301">
        <f t="shared" si="14"/>
        <v>-6.9964393174211326E-2</v>
      </c>
      <c r="K35" s="301">
        <f t="shared" si="14"/>
        <v>-6.6431596394233128E-2</v>
      </c>
      <c r="L35" s="301">
        <f t="shared" si="14"/>
        <v>-1.8247171825349962E-2</v>
      </c>
      <c r="M35" s="301">
        <f t="shared" si="14"/>
        <v>-4.4855627292616829E-2</v>
      </c>
      <c r="N35" s="301">
        <f t="shared" si="14"/>
        <v>7.2700970050130431E-2</v>
      </c>
      <c r="O35" s="301">
        <f t="shared" si="14"/>
        <v>0.15602345570926901</v>
      </c>
      <c r="P35" s="301">
        <f t="shared" si="14"/>
        <v>0.12518961314135035</v>
      </c>
      <c r="Q35" s="301">
        <f t="shared" si="14"/>
        <v>0.17507874705292492</v>
      </c>
      <c r="R35" s="309">
        <f t="shared" si="14"/>
        <v>0.13314970288935024</v>
      </c>
      <c r="S35" s="301">
        <f t="shared" si="14"/>
        <v>0.24778633880638146</v>
      </c>
      <c r="T35" s="301">
        <f t="shared" si="14"/>
        <v>0.14008064368598716</v>
      </c>
      <c r="U35" s="301">
        <f t="shared" si="14"/>
        <v>0.14728656167084653</v>
      </c>
      <c r="V35" s="301">
        <f t="shared" si="14"/>
        <v>0.18445127224827673</v>
      </c>
      <c r="W35" s="301">
        <f t="shared" si="14"/>
        <v>0.17799066495830762</v>
      </c>
      <c r="X35" s="301">
        <f t="shared" si="14"/>
        <v>4.3610529918084451E-2</v>
      </c>
      <c r="Y35" s="309">
        <f t="shared" si="14"/>
        <v>5.7985573517349565E-2</v>
      </c>
      <c r="Z35" s="309">
        <f t="shared" si="14"/>
        <v>0.13816407943815912</v>
      </c>
      <c r="AA35" s="309">
        <f t="shared" si="14"/>
        <v>1.0942253487346898E-2</v>
      </c>
      <c r="AB35" s="301">
        <f t="shared" si="14"/>
        <v>6.2261364953803744E-2</v>
      </c>
      <c r="AC35" s="270"/>
      <c r="AD35" s="270"/>
      <c r="AE35" s="270"/>
      <c r="AF35" s="270"/>
      <c r="AG35" s="310"/>
      <c r="AH35" s="310"/>
      <c r="AI35" s="310"/>
      <c r="AJ35" s="310"/>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row>
    <row r="36" spans="1:59" ht="15.75" customHeight="1" x14ac:dyDescent="0.2">
      <c r="A36" s="307"/>
      <c r="B36" s="307"/>
      <c r="C36" s="308" t="s">
        <v>189</v>
      </c>
      <c r="D36" s="305" t="s">
        <v>146</v>
      </c>
      <c r="E36" s="305" t="s">
        <v>146</v>
      </c>
      <c r="F36" s="305" t="s">
        <v>146</v>
      </c>
      <c r="G36" s="305" t="s">
        <v>146</v>
      </c>
      <c r="H36" s="305" t="s">
        <v>146</v>
      </c>
      <c r="I36" s="301">
        <f t="shared" ref="I36:AB36" si="15">I14/D14-1</f>
        <v>2.6123396172876845E-2</v>
      </c>
      <c r="J36" s="301">
        <f t="shared" si="15"/>
        <v>1.7700345114368465E-2</v>
      </c>
      <c r="K36" s="301">
        <f t="shared" si="15"/>
        <v>4.0108494315089782E-3</v>
      </c>
      <c r="L36" s="301">
        <f t="shared" si="15"/>
        <v>-0.16090046091307064</v>
      </c>
      <c r="M36" s="301">
        <f t="shared" si="15"/>
        <v>-2.5306104848976219E-2</v>
      </c>
      <c r="N36" s="301">
        <f t="shared" si="15"/>
        <v>4.4975580960122219E-2</v>
      </c>
      <c r="O36" s="301">
        <f t="shared" si="15"/>
        <v>0.46140393910078648</v>
      </c>
      <c r="P36" s="301">
        <f t="shared" si="15"/>
        <v>0.13646013882468577</v>
      </c>
      <c r="Q36" s="301">
        <f t="shared" si="15"/>
        <v>0.58194831694865212</v>
      </c>
      <c r="R36" s="309">
        <f t="shared" si="15"/>
        <v>0.2783294538398251</v>
      </c>
      <c r="S36" s="301">
        <f t="shared" si="15"/>
        <v>0.61419606825997741</v>
      </c>
      <c r="T36" s="301">
        <f t="shared" si="15"/>
        <v>0.14632036854239483</v>
      </c>
      <c r="U36" s="301">
        <f t="shared" si="15"/>
        <v>7.3881180877950481E-2</v>
      </c>
      <c r="V36" s="301">
        <f t="shared" si="15"/>
        <v>9.8879606165156675E-2</v>
      </c>
      <c r="W36" s="301">
        <f t="shared" si="15"/>
        <v>0.20755550152553193</v>
      </c>
      <c r="X36" s="301">
        <f t="shared" si="15"/>
        <v>4.1533628320297611E-2</v>
      </c>
      <c r="Y36" s="309">
        <f t="shared" si="15"/>
        <v>-8.7781706949608185E-2</v>
      </c>
      <c r="Z36" s="309">
        <f t="shared" si="15"/>
        <v>0.1318688364131011</v>
      </c>
      <c r="AA36" s="309">
        <f t="shared" si="15"/>
        <v>0.32231644479554622</v>
      </c>
      <c r="AB36" s="301">
        <f t="shared" si="15"/>
        <v>9.3363880396192478E-2</v>
      </c>
      <c r="AC36" s="270"/>
      <c r="AD36" s="270"/>
      <c r="AE36" s="270"/>
      <c r="AF36" s="270"/>
      <c r="AG36" s="310"/>
      <c r="AH36" s="310"/>
      <c r="AI36" s="310"/>
      <c r="AJ36" s="310"/>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row>
    <row r="37" spans="1:59" ht="15.75" customHeight="1" x14ac:dyDescent="0.2">
      <c r="A37" s="307"/>
      <c r="B37" s="307"/>
      <c r="C37" s="308" t="s">
        <v>190</v>
      </c>
      <c r="D37" s="305" t="s">
        <v>146</v>
      </c>
      <c r="E37" s="305" t="s">
        <v>146</v>
      </c>
      <c r="F37" s="305" t="s">
        <v>146</v>
      </c>
      <c r="G37" s="305" t="s">
        <v>146</v>
      </c>
      <c r="H37" s="305" t="s">
        <v>146</v>
      </c>
      <c r="I37" s="301">
        <f t="shared" ref="I37:AB37" si="16">I16/D16-1</f>
        <v>-0.14864796001423897</v>
      </c>
      <c r="J37" s="301">
        <f t="shared" si="16"/>
        <v>-0.1347963232926217</v>
      </c>
      <c r="K37" s="301">
        <f t="shared" si="16"/>
        <v>-0.10079067592451996</v>
      </c>
      <c r="L37" s="301">
        <f t="shared" si="16"/>
        <v>-0.45126075331465687</v>
      </c>
      <c r="M37" s="301">
        <f t="shared" si="16"/>
        <v>-0.19248571379370738</v>
      </c>
      <c r="N37" s="301">
        <f t="shared" si="16"/>
        <v>-3.8127769520876709E-2</v>
      </c>
      <c r="O37" s="301">
        <f t="shared" si="16"/>
        <v>0.65740312832913816</v>
      </c>
      <c r="P37" s="301">
        <f t="shared" si="16"/>
        <v>9.1041996036970829E-2</v>
      </c>
      <c r="Q37" s="301">
        <f t="shared" si="16"/>
        <v>1.1620908258066329</v>
      </c>
      <c r="R37" s="309">
        <f t="shared" si="16"/>
        <v>0.34055183270156286</v>
      </c>
      <c r="S37" s="309">
        <f t="shared" si="16"/>
        <v>1.0601515663082122</v>
      </c>
      <c r="T37" s="309">
        <f t="shared" si="16"/>
        <v>0.22713075478616651</v>
      </c>
      <c r="U37" s="309">
        <f t="shared" si="16"/>
        <v>0.13043008101144138</v>
      </c>
      <c r="V37" s="309">
        <f t="shared" si="16"/>
        <v>0.17038170538305275</v>
      </c>
      <c r="W37" s="309">
        <f t="shared" si="16"/>
        <v>0.33153381163715157</v>
      </c>
      <c r="X37" s="309">
        <f t="shared" si="16"/>
        <v>8.8851069014702855E-2</v>
      </c>
      <c r="Y37" s="309">
        <f t="shared" si="16"/>
        <v>-0.11011157700255625</v>
      </c>
      <c r="Z37" s="309">
        <f t="shared" si="16"/>
        <v>0.17889471011223357</v>
      </c>
      <c r="AA37" s="309">
        <f t="shared" si="16"/>
        <v>0.52739852833293011</v>
      </c>
      <c r="AB37" s="309">
        <f t="shared" si="16"/>
        <v>0.14921597517279372</v>
      </c>
      <c r="AC37" s="270"/>
      <c r="AD37" s="270"/>
      <c r="AE37" s="270"/>
      <c r="AF37" s="270"/>
      <c r="AG37" s="310"/>
      <c r="AH37" s="310"/>
      <c r="AI37" s="310"/>
      <c r="AJ37" s="310"/>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row>
    <row r="38" spans="1:59" ht="15.75" customHeight="1" x14ac:dyDescent="0.2">
      <c r="A38" s="307"/>
      <c r="B38" s="307"/>
      <c r="C38" s="308" t="s">
        <v>177</v>
      </c>
      <c r="D38" s="305" t="s">
        <v>146</v>
      </c>
      <c r="E38" s="305" t="s">
        <v>146</v>
      </c>
      <c r="F38" s="305" t="s">
        <v>146</v>
      </c>
      <c r="G38" s="305" t="s">
        <v>146</v>
      </c>
      <c r="H38" s="305" t="s">
        <v>146</v>
      </c>
      <c r="I38" s="301">
        <f t="shared" ref="I38:R38" si="17">I23/D23-1</f>
        <v>-0.326846543227303</v>
      </c>
      <c r="J38" s="301">
        <f t="shared" si="17"/>
        <v>4.1793626774408477</v>
      </c>
      <c r="K38" s="301">
        <f t="shared" si="17"/>
        <v>-0.41163363433645594</v>
      </c>
      <c r="L38" s="301">
        <f t="shared" si="17"/>
        <v>-0.35428549329445402</v>
      </c>
      <c r="M38" s="301">
        <f t="shared" si="17"/>
        <v>-0.21382733136933396</v>
      </c>
      <c r="N38" s="301">
        <f t="shared" si="17"/>
        <v>-0.85936929295202313</v>
      </c>
      <c r="O38" s="301">
        <f t="shared" si="17"/>
        <v>0.43797774255300181</v>
      </c>
      <c r="P38" s="301">
        <f t="shared" si="17"/>
        <v>0.55548695146933547</v>
      </c>
      <c r="Q38" s="301">
        <f t="shared" si="17"/>
        <v>0.68834087440935643</v>
      </c>
      <c r="R38" s="309">
        <f t="shared" si="17"/>
        <v>0.2151147442562269</v>
      </c>
      <c r="S38" s="301">
        <f t="shared" ref="S38:AB38" si="18">S15/N15-1</f>
        <v>0.17960906194444437</v>
      </c>
      <c r="T38" s="301">
        <f t="shared" si="18"/>
        <v>3.4219871588089479E-2</v>
      </c>
      <c r="U38" s="301">
        <f t="shared" si="18"/>
        <v>-1.2731960049627733E-2</v>
      </c>
      <c r="V38" s="301">
        <f t="shared" si="18"/>
        <v>1.9559902200489088E-2</v>
      </c>
      <c r="W38" s="301">
        <f t="shared" si="18"/>
        <v>5.1631041682539625E-2</v>
      </c>
      <c r="X38" s="301">
        <f t="shared" si="18"/>
        <v>-3.8998195306760075E-2</v>
      </c>
      <c r="Y38" s="309">
        <f t="shared" si="18"/>
        <v>-5.1027715066081947E-2</v>
      </c>
      <c r="Z38" s="309">
        <f t="shared" si="18"/>
        <v>4.9397102204791654E-2</v>
      </c>
      <c r="AA38" s="309">
        <f t="shared" si="18"/>
        <v>6.1157568585131772E-2</v>
      </c>
      <c r="AB38" s="301">
        <f t="shared" si="18"/>
        <v>4.4239461020241233E-3</v>
      </c>
      <c r="AC38" s="270"/>
      <c r="AD38" s="270"/>
      <c r="AE38" s="270"/>
      <c r="AF38" s="270"/>
      <c r="AG38" s="310"/>
      <c r="AH38" s="310"/>
      <c r="AI38" s="310"/>
      <c r="AJ38" s="310"/>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row>
    <row r="39" spans="1:59" ht="15.75" customHeight="1" x14ac:dyDescent="0.2">
      <c r="A39" s="307"/>
      <c r="B39" s="307"/>
      <c r="C39" s="308" t="s">
        <v>179</v>
      </c>
      <c r="D39" s="305" t="s">
        <v>146</v>
      </c>
      <c r="E39" s="305" t="s">
        <v>146</v>
      </c>
      <c r="F39" s="305" t="s">
        <v>146</v>
      </c>
      <c r="G39" s="305" t="s">
        <v>146</v>
      </c>
      <c r="H39" s="305" t="s">
        <v>146</v>
      </c>
      <c r="I39" s="301">
        <f t="shared" ref="I39:AB39" si="19">I25/D25-1</f>
        <v>-0.5304661157866204</v>
      </c>
      <c r="J39" s="301">
        <f t="shared" si="19"/>
        <v>-10.819969127322443</v>
      </c>
      <c r="K39" s="301">
        <f t="shared" si="19"/>
        <v>-0.54275263197563439</v>
      </c>
      <c r="L39" s="301">
        <f t="shared" si="19"/>
        <v>-0.16638361496618337</v>
      </c>
      <c r="M39" s="301">
        <f t="shared" si="19"/>
        <v>-0.25534880340283095</v>
      </c>
      <c r="N39" s="301">
        <f t="shared" si="19"/>
        <v>-2.4898787258749202</v>
      </c>
      <c r="O39" s="301">
        <f t="shared" si="19"/>
        <v>0.21996968153675489</v>
      </c>
      <c r="P39" s="301">
        <f t="shared" si="19"/>
        <v>1.0018843066263678</v>
      </c>
      <c r="Q39" s="301">
        <f t="shared" si="19"/>
        <v>0.44416066259850617</v>
      </c>
      <c r="R39" s="309">
        <f t="shared" si="19"/>
        <v>-2.8339316853367658E-2</v>
      </c>
      <c r="S39" s="309">
        <f t="shared" si="19"/>
        <v>-1.7761538703461524</v>
      </c>
      <c r="T39" s="309">
        <f t="shared" si="19"/>
        <v>3.1397948038693393</v>
      </c>
      <c r="U39" s="309">
        <f t="shared" si="19"/>
        <v>-0.36574890855643405</v>
      </c>
      <c r="V39" s="309">
        <f t="shared" si="19"/>
        <v>-0.39130723331780692</v>
      </c>
      <c r="W39" s="309">
        <f t="shared" si="19"/>
        <v>0.88846266457356049</v>
      </c>
      <c r="X39" s="309">
        <f t="shared" si="19"/>
        <v>4.384145399235269</v>
      </c>
      <c r="Y39" s="309">
        <f t="shared" si="19"/>
        <v>-0.86483946172048909</v>
      </c>
      <c r="Z39" s="309">
        <f t="shared" si="19"/>
        <v>0.90924862531237727</v>
      </c>
      <c r="AA39" s="309">
        <f t="shared" si="19"/>
        <v>1.6868877437590744</v>
      </c>
      <c r="AB39" s="309">
        <f t="shared" si="19"/>
        <v>0.51358557892636858</v>
      </c>
      <c r="AC39" s="270"/>
      <c r="AD39" s="270"/>
      <c r="AE39" s="270"/>
      <c r="AF39" s="270"/>
      <c r="AG39" s="310"/>
      <c r="AH39" s="310"/>
      <c r="AI39" s="310"/>
      <c r="AJ39" s="310"/>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row>
    <row r="40" spans="1:59" ht="15.75" customHeight="1" x14ac:dyDescent="0.2">
      <c r="A40" s="312"/>
      <c r="B40" s="312"/>
      <c r="C40" s="313" t="s">
        <v>191</v>
      </c>
      <c r="D40" s="301">
        <f t="shared" ref="D40:AB40" si="20">D16/D5</f>
        <v>0.22123991780899774</v>
      </c>
      <c r="E40" s="301">
        <f t="shared" si="20"/>
        <v>0.18739682576486361</v>
      </c>
      <c r="F40" s="301">
        <f t="shared" si="20"/>
        <v>0.27880201585364273</v>
      </c>
      <c r="G40" s="301">
        <f t="shared" si="20"/>
        <v>0.1809073379324021</v>
      </c>
      <c r="H40" s="301">
        <f t="shared" si="20"/>
        <v>0.21816774906968178</v>
      </c>
      <c r="I40" s="301">
        <f t="shared" si="20"/>
        <v>0.19254748092512405</v>
      </c>
      <c r="J40" s="301">
        <f t="shared" si="20"/>
        <v>0.17433356472062778</v>
      </c>
      <c r="K40" s="301">
        <f t="shared" si="20"/>
        <v>0.26854097809902217</v>
      </c>
      <c r="L40" s="301">
        <f t="shared" si="20"/>
        <v>0.10111603805761302</v>
      </c>
      <c r="M40" s="301">
        <f t="shared" si="20"/>
        <v>0.18444706287057816</v>
      </c>
      <c r="N40" s="301">
        <f t="shared" si="20"/>
        <v>0.17265396426548427</v>
      </c>
      <c r="O40" s="301">
        <f t="shared" si="20"/>
        <v>0.2499438866173016</v>
      </c>
      <c r="P40" s="301">
        <f t="shared" si="20"/>
        <v>0.26039120992674081</v>
      </c>
      <c r="Q40" s="301">
        <f t="shared" si="20"/>
        <v>0.18604885738473223</v>
      </c>
      <c r="R40" s="301">
        <f t="shared" si="20"/>
        <v>0.21820669196408771</v>
      </c>
      <c r="S40" s="301">
        <f t="shared" si="20"/>
        <v>0.28505948802990727</v>
      </c>
      <c r="T40" s="301">
        <f t="shared" si="20"/>
        <v>0.26902818843344534</v>
      </c>
      <c r="U40" s="301">
        <f t="shared" si="20"/>
        <v>0.25656541823646173</v>
      </c>
      <c r="V40" s="301">
        <f t="shared" si="20"/>
        <v>0.18383886622637555</v>
      </c>
      <c r="W40" s="301">
        <f t="shared" si="20"/>
        <v>0.24664846413359215</v>
      </c>
      <c r="X40" s="301">
        <f t="shared" si="20"/>
        <v>0.29741682301587302</v>
      </c>
      <c r="Y40" s="301">
        <f t="shared" si="20"/>
        <v>0.22628387034709588</v>
      </c>
      <c r="Z40" s="301">
        <f t="shared" si="20"/>
        <v>0.26574693387442427</v>
      </c>
      <c r="AA40" s="301">
        <f t="shared" si="20"/>
        <v>0.27775593784504415</v>
      </c>
      <c r="AB40" s="301">
        <f t="shared" si="20"/>
        <v>0.26683861861669506</v>
      </c>
      <c r="AC40" s="270"/>
      <c r="AD40" s="270"/>
      <c r="AE40" s="270"/>
      <c r="AF40" s="270"/>
      <c r="AG40" s="310"/>
      <c r="AH40" s="310"/>
      <c r="AI40" s="310"/>
      <c r="AJ40" s="310"/>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row>
    <row r="41" spans="1:59" ht="15.75" customHeight="1" x14ac:dyDescent="0.2">
      <c r="A41" s="312"/>
      <c r="B41" s="312"/>
      <c r="C41" s="313" t="s">
        <v>192</v>
      </c>
      <c r="D41" s="301">
        <f t="shared" ref="D41:AB41" si="21">D14/D5</f>
        <v>0.34234020910461449</v>
      </c>
      <c r="E41" s="301">
        <f t="shared" si="21"/>
        <v>0.31093365852347354</v>
      </c>
      <c r="F41" s="301">
        <f t="shared" si="21"/>
        <v>0.3962321023659528</v>
      </c>
      <c r="G41" s="301">
        <f t="shared" si="21"/>
        <v>0.30744923057062473</v>
      </c>
      <c r="H41" s="301">
        <f t="shared" si="21"/>
        <v>0.34025638421305138</v>
      </c>
      <c r="I41" s="301">
        <f t="shared" si="21"/>
        <v>0.35910600970454437</v>
      </c>
      <c r="J41" s="301">
        <f t="shared" si="21"/>
        <v>0.34024212542465188</v>
      </c>
      <c r="K41" s="301">
        <f t="shared" si="21"/>
        <v>0.42612981344692913</v>
      </c>
      <c r="L41" s="301">
        <f t="shared" si="21"/>
        <v>0.26277541582854347</v>
      </c>
      <c r="M41" s="301">
        <f t="shared" si="21"/>
        <v>0.34722061915997376</v>
      </c>
      <c r="N41" s="301">
        <f t="shared" si="21"/>
        <v>0.34982443532212021</v>
      </c>
      <c r="O41" s="301">
        <f t="shared" si="21"/>
        <v>0.43012205322299263</v>
      </c>
      <c r="P41" s="301">
        <f t="shared" si="21"/>
        <v>0.43039816693224103</v>
      </c>
      <c r="Q41" s="301">
        <f t="shared" si="21"/>
        <v>0.35376108013867752</v>
      </c>
      <c r="R41" s="309">
        <f t="shared" si="21"/>
        <v>0.39170671211483998</v>
      </c>
      <c r="S41" s="301">
        <f t="shared" si="21"/>
        <v>0.45254961568052171</v>
      </c>
      <c r="T41" s="301">
        <f t="shared" si="21"/>
        <v>0.43247613517469347</v>
      </c>
      <c r="U41" s="301">
        <f t="shared" si="21"/>
        <v>0.40286054695854029</v>
      </c>
      <c r="V41" s="301">
        <f t="shared" si="21"/>
        <v>0.32820331703596256</v>
      </c>
      <c r="W41" s="301">
        <f t="shared" si="21"/>
        <v>0.40153764309795598</v>
      </c>
      <c r="X41" s="301">
        <f t="shared" si="21"/>
        <v>0.45164899136432346</v>
      </c>
      <c r="Y41" s="309">
        <f t="shared" si="21"/>
        <v>0.37289037931065883</v>
      </c>
      <c r="Z41" s="309">
        <f t="shared" si="21"/>
        <v>0.40063230492021856</v>
      </c>
      <c r="AA41" s="309">
        <f t="shared" si="21"/>
        <v>0.42929122989568608</v>
      </c>
      <c r="AB41" s="301">
        <f t="shared" si="21"/>
        <v>0.41329447729826374</v>
      </c>
      <c r="AC41" s="270"/>
      <c r="AD41" s="270"/>
      <c r="AE41" s="270"/>
      <c r="AF41" s="270"/>
      <c r="AG41" s="310"/>
      <c r="AH41" s="310"/>
      <c r="AI41" s="310"/>
      <c r="AJ41" s="310"/>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row>
    <row r="42" spans="1:59" ht="15.75" customHeight="1" x14ac:dyDescent="0.2">
      <c r="A42" s="268"/>
      <c r="B42" s="268"/>
      <c r="C42" s="314" t="s">
        <v>193</v>
      </c>
      <c r="D42" s="315"/>
      <c r="E42" s="315"/>
      <c r="F42" s="315"/>
      <c r="G42" s="316"/>
      <c r="H42" s="315"/>
      <c r="I42" s="315"/>
      <c r="J42" s="315"/>
      <c r="K42" s="315"/>
      <c r="L42" s="315"/>
      <c r="M42" s="315"/>
      <c r="N42" s="315"/>
      <c r="O42" s="315"/>
      <c r="P42" s="315"/>
      <c r="Q42" s="315"/>
      <c r="R42" s="315"/>
      <c r="S42" s="315"/>
      <c r="T42" s="315"/>
      <c r="U42" s="315"/>
      <c r="V42" s="316"/>
      <c r="W42" s="317"/>
      <c r="X42" s="317"/>
      <c r="Y42" s="317"/>
      <c r="Z42" s="317"/>
      <c r="AA42" s="317"/>
      <c r="AB42" s="317"/>
      <c r="AC42" s="287"/>
      <c r="AD42" s="318"/>
      <c r="AE42" s="287"/>
      <c r="AF42" s="287"/>
      <c r="AG42" s="287"/>
      <c r="AH42" s="270"/>
      <c r="AI42" s="270"/>
      <c r="AJ42" s="270"/>
      <c r="AK42" s="270"/>
      <c r="AL42" s="270"/>
      <c r="AM42" s="270"/>
      <c r="AN42" s="270"/>
      <c r="AO42" s="270"/>
      <c r="AP42" s="270"/>
      <c r="AQ42" s="270"/>
      <c r="AR42" s="270"/>
      <c r="AS42" s="270"/>
      <c r="AT42" s="270"/>
      <c r="AU42" s="270"/>
      <c r="AV42" s="270"/>
      <c r="AW42" s="270"/>
      <c r="AX42" s="270"/>
      <c r="AY42" s="270"/>
      <c r="AZ42" s="270"/>
      <c r="BA42" s="270"/>
      <c r="BB42" s="268"/>
      <c r="BC42" s="268"/>
      <c r="BD42" s="268"/>
      <c r="BE42" s="268"/>
      <c r="BF42" s="268"/>
      <c r="BG42" s="268"/>
    </row>
    <row r="43" spans="1:59" ht="15.75" customHeight="1" x14ac:dyDescent="0.2">
      <c r="A43" s="268"/>
      <c r="B43" s="268"/>
      <c r="C43" s="319"/>
      <c r="D43" s="315"/>
      <c r="E43" s="315"/>
      <c r="F43" s="315"/>
      <c r="G43" s="316"/>
      <c r="H43" s="315"/>
      <c r="I43" s="315"/>
      <c r="J43" s="315"/>
      <c r="K43" s="315"/>
      <c r="L43" s="315"/>
      <c r="M43" s="315"/>
      <c r="N43" s="315"/>
      <c r="O43" s="315"/>
      <c r="P43" s="315"/>
      <c r="Q43" s="315"/>
      <c r="R43" s="315"/>
      <c r="S43" s="315"/>
      <c r="T43" s="315"/>
      <c r="U43" s="315"/>
      <c r="V43" s="316"/>
      <c r="W43" s="317"/>
      <c r="X43" s="317"/>
      <c r="Y43" s="317"/>
      <c r="Z43" s="317"/>
      <c r="AA43" s="317"/>
      <c r="AB43" s="317"/>
      <c r="AC43" s="287"/>
      <c r="AD43" s="318"/>
      <c r="AE43" s="287"/>
      <c r="AF43" s="287"/>
      <c r="AG43" s="287"/>
      <c r="AH43" s="270"/>
      <c r="AI43" s="270"/>
      <c r="AJ43" s="270"/>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row>
    <row r="44" spans="1:59" ht="15.75" customHeight="1" x14ac:dyDescent="0.2">
      <c r="A44" s="271"/>
      <c r="B44" s="273" t="s">
        <v>194</v>
      </c>
      <c r="C44" s="273"/>
      <c r="D44" s="277" t="s">
        <v>98</v>
      </c>
      <c r="E44" s="277" t="s">
        <v>99</v>
      </c>
      <c r="F44" s="277" t="s">
        <v>100</v>
      </c>
      <c r="G44" s="277" t="s">
        <v>101</v>
      </c>
      <c r="H44" s="159">
        <v>2018</v>
      </c>
      <c r="I44" s="277" t="s">
        <v>102</v>
      </c>
      <c r="J44" s="277" t="s">
        <v>103</v>
      </c>
      <c r="K44" s="277" t="s">
        <v>104</v>
      </c>
      <c r="L44" s="277" t="s">
        <v>105</v>
      </c>
      <c r="M44" s="159">
        <v>2019</v>
      </c>
      <c r="N44" s="277" t="s">
        <v>158</v>
      </c>
      <c r="O44" s="277" t="s">
        <v>107</v>
      </c>
      <c r="P44" s="277" t="s">
        <v>108</v>
      </c>
      <c r="Q44" s="277" t="s">
        <v>109</v>
      </c>
      <c r="R44" s="159">
        <v>2020</v>
      </c>
      <c r="S44" s="277" t="s">
        <v>110</v>
      </c>
      <c r="T44" s="277" t="s">
        <v>111</v>
      </c>
      <c r="U44" s="277" t="s">
        <v>112</v>
      </c>
      <c r="V44" s="277" t="s">
        <v>113</v>
      </c>
      <c r="W44" s="159">
        <v>2021</v>
      </c>
      <c r="X44" s="277" t="s">
        <v>114</v>
      </c>
      <c r="Y44" s="277" t="s">
        <v>115</v>
      </c>
      <c r="Z44" s="277" t="str">
        <f>$Z$4</f>
        <v>3Q22</v>
      </c>
      <c r="AA44" s="277" t="str">
        <f>$AA$4</f>
        <v>4Q22</v>
      </c>
      <c r="AB44" s="160">
        <v>2022</v>
      </c>
      <c r="AC44" s="270"/>
      <c r="AD44" s="270"/>
      <c r="AE44" s="270"/>
      <c r="AF44" s="270"/>
      <c r="AG44" s="270"/>
      <c r="AH44" s="270"/>
      <c r="AI44" s="270"/>
      <c r="AJ44" s="270"/>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row>
    <row r="45" spans="1:59" ht="15.75" customHeight="1" x14ac:dyDescent="0.2">
      <c r="A45" s="268"/>
      <c r="B45" s="268"/>
      <c r="C45" s="278" t="s">
        <v>195</v>
      </c>
      <c r="D45" s="320">
        <v>1136.3</v>
      </c>
      <c r="E45" s="320">
        <v>1246.7</v>
      </c>
      <c r="F45" s="320">
        <v>1256.2</v>
      </c>
      <c r="G45" s="320">
        <v>1191.2</v>
      </c>
      <c r="H45" s="320">
        <v>1191.2</v>
      </c>
      <c r="I45" s="320">
        <v>1179.5999999999999</v>
      </c>
      <c r="J45" s="320">
        <v>1265</v>
      </c>
      <c r="K45" s="320">
        <v>1304</v>
      </c>
      <c r="L45" s="320">
        <v>1351</v>
      </c>
      <c r="M45" s="320">
        <v>1351</v>
      </c>
      <c r="N45" s="320">
        <v>1686</v>
      </c>
      <c r="O45" s="320">
        <v>1818</v>
      </c>
      <c r="P45" s="320">
        <v>1871</v>
      </c>
      <c r="Q45" s="320">
        <v>1781</v>
      </c>
      <c r="R45" s="320">
        <v>1781</v>
      </c>
      <c r="S45" s="320">
        <v>1757.7794572299999</v>
      </c>
      <c r="T45" s="320">
        <v>1570.1960372800002</v>
      </c>
      <c r="U45" s="320">
        <v>1630.3723787700001</v>
      </c>
      <c r="V45" s="320">
        <v>1683.0701483300002</v>
      </c>
      <c r="W45" s="320">
        <v>1683.0701483300002</v>
      </c>
      <c r="X45" s="320">
        <v>1498.8659036099998</v>
      </c>
      <c r="Y45" s="320">
        <v>1605.7760105500001</v>
      </c>
      <c r="Z45" s="320">
        <v>1764.1978946499999</v>
      </c>
      <c r="AA45" s="320">
        <v>1679.53087714</v>
      </c>
      <c r="AB45" s="320">
        <v>1679.53087714</v>
      </c>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row>
    <row r="46" spans="1:59" ht="15.75" customHeight="1" x14ac:dyDescent="0.2">
      <c r="A46" s="268"/>
      <c r="B46" s="268"/>
      <c r="C46" s="307" t="s">
        <v>196</v>
      </c>
      <c r="D46" s="321">
        <v>73.970867999999996</v>
      </c>
      <c r="E46" s="321">
        <v>69.053538400000008</v>
      </c>
      <c r="F46" s="321">
        <v>64.910767300000003</v>
      </c>
      <c r="G46" s="321">
        <v>61.116377100000001</v>
      </c>
      <c r="H46" s="321">
        <v>61.116377100000001</v>
      </c>
      <c r="I46" s="321">
        <v>141.366906</v>
      </c>
      <c r="J46" s="321">
        <v>265.80662999999998</v>
      </c>
      <c r="K46" s="321">
        <v>241.458054</v>
      </c>
      <c r="L46" s="321">
        <v>431.04361799999998</v>
      </c>
      <c r="M46" s="321">
        <v>431.04361799999998</v>
      </c>
      <c r="N46" s="321">
        <v>522</v>
      </c>
      <c r="O46" s="321">
        <v>592</v>
      </c>
      <c r="P46" s="321">
        <v>606</v>
      </c>
      <c r="Q46" s="321">
        <v>626</v>
      </c>
      <c r="R46" s="321">
        <v>626</v>
      </c>
      <c r="S46" s="321">
        <v>493.1</v>
      </c>
      <c r="T46" s="321">
        <v>465.7</v>
      </c>
      <c r="U46" s="321">
        <v>467.9</v>
      </c>
      <c r="V46" s="321">
        <v>468.1</v>
      </c>
      <c r="W46" s="321">
        <v>468.1</v>
      </c>
      <c r="X46" s="321">
        <v>472.1</v>
      </c>
      <c r="Y46" s="321">
        <v>476.4</v>
      </c>
      <c r="Z46" s="321">
        <v>492.4</v>
      </c>
      <c r="AA46" s="321">
        <v>442.39728200000002</v>
      </c>
      <c r="AB46" s="321">
        <v>442.4</v>
      </c>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row>
    <row r="47" spans="1:59" ht="15.75" customHeight="1" x14ac:dyDescent="0.2">
      <c r="A47" s="268"/>
      <c r="B47" s="268"/>
      <c r="C47" s="307" t="s">
        <v>197</v>
      </c>
      <c r="D47" s="321">
        <v>1062.2750787</v>
      </c>
      <c r="E47" s="321">
        <v>1177.609293</v>
      </c>
      <c r="F47" s="321">
        <v>1191.3064517999999</v>
      </c>
      <c r="G47" s="321">
        <v>1130.0443142000001</v>
      </c>
      <c r="H47" s="321">
        <v>1130.0443142000001</v>
      </c>
      <c r="I47" s="321">
        <v>1038.2425459999999</v>
      </c>
      <c r="J47" s="321">
        <v>999</v>
      </c>
      <c r="K47" s="321">
        <v>1063</v>
      </c>
      <c r="L47" s="321">
        <v>919</v>
      </c>
      <c r="M47" s="321">
        <v>919</v>
      </c>
      <c r="N47" s="321">
        <v>1164</v>
      </c>
      <c r="O47" s="321">
        <v>1226</v>
      </c>
      <c r="P47" s="321">
        <v>1265</v>
      </c>
      <c r="Q47" s="321">
        <v>1155</v>
      </c>
      <c r="R47" s="321">
        <v>1155</v>
      </c>
      <c r="S47" s="321">
        <v>1264.7</v>
      </c>
      <c r="T47" s="321">
        <v>1104.5</v>
      </c>
      <c r="U47" s="321">
        <v>1162.5</v>
      </c>
      <c r="V47" s="321">
        <v>1214.9000000000001</v>
      </c>
      <c r="W47" s="321">
        <v>1214.9000000000001</v>
      </c>
      <c r="X47" s="321">
        <v>1026.8</v>
      </c>
      <c r="Y47" s="321">
        <v>1129.4000000000001</v>
      </c>
      <c r="Z47" s="321">
        <v>1271.8</v>
      </c>
      <c r="AA47" s="321">
        <v>1237.0999999999999</v>
      </c>
      <c r="AB47" s="321">
        <v>1237.0999999999999</v>
      </c>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row>
    <row r="48" spans="1:59" ht="15.75" customHeight="1" x14ac:dyDescent="0.2">
      <c r="A48" s="268"/>
      <c r="B48" s="268"/>
      <c r="C48" s="268"/>
      <c r="D48" s="322"/>
      <c r="E48" s="322"/>
      <c r="F48" s="322"/>
      <c r="G48" s="322"/>
      <c r="H48" s="320"/>
      <c r="I48" s="322"/>
      <c r="J48" s="322"/>
      <c r="K48" s="322"/>
      <c r="L48" s="322"/>
      <c r="M48" s="320"/>
      <c r="N48" s="322"/>
      <c r="O48" s="322"/>
      <c r="P48" s="322"/>
      <c r="Q48" s="322"/>
      <c r="R48" s="320"/>
      <c r="S48" s="322"/>
      <c r="T48" s="322"/>
      <c r="U48" s="322"/>
      <c r="V48" s="322"/>
      <c r="W48" s="320"/>
      <c r="X48" s="322"/>
      <c r="Y48" s="322"/>
      <c r="Z48" s="322"/>
      <c r="AA48" s="322"/>
      <c r="AB48" s="320"/>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row>
    <row r="49" spans="1:59" ht="15.75" customHeight="1" x14ac:dyDescent="0.2">
      <c r="A49" s="268"/>
      <c r="B49" s="268"/>
      <c r="C49" s="307" t="s">
        <v>198</v>
      </c>
      <c r="D49" s="321">
        <v>180.5</v>
      </c>
      <c r="E49" s="321">
        <v>205.2</v>
      </c>
      <c r="F49" s="321">
        <v>211.2</v>
      </c>
      <c r="G49" s="321">
        <v>233.5</v>
      </c>
      <c r="H49" s="321">
        <v>233.5</v>
      </c>
      <c r="I49" s="321">
        <v>194.7</v>
      </c>
      <c r="J49" s="321">
        <v>170</v>
      </c>
      <c r="K49" s="321">
        <v>183</v>
      </c>
      <c r="L49" s="321">
        <v>148</v>
      </c>
      <c r="M49" s="321">
        <v>148</v>
      </c>
      <c r="N49" s="321">
        <v>251</v>
      </c>
      <c r="O49" s="321">
        <v>268</v>
      </c>
      <c r="P49" s="321">
        <v>284</v>
      </c>
      <c r="Q49" s="321">
        <v>305</v>
      </c>
      <c r="R49" s="321">
        <v>305</v>
      </c>
      <c r="S49" s="321">
        <v>220.89054467</v>
      </c>
      <c r="T49" s="321">
        <v>222.66996149000002</v>
      </c>
      <c r="U49" s="321">
        <v>237.18343493999998</v>
      </c>
      <c r="V49" s="321">
        <v>252.72311392</v>
      </c>
      <c r="W49" s="321">
        <v>252.72311392</v>
      </c>
      <c r="X49" s="321">
        <v>237.10433750000001</v>
      </c>
      <c r="Y49" s="321">
        <v>303.06764039999996</v>
      </c>
      <c r="Z49" s="321">
        <v>327.9561673</v>
      </c>
      <c r="AA49" s="321">
        <v>312.43879613999997</v>
      </c>
      <c r="AB49" s="321">
        <v>312.43879613999997</v>
      </c>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row>
    <row r="50" spans="1:59" ht="15.75" customHeight="1" x14ac:dyDescent="0.2">
      <c r="A50" s="268"/>
      <c r="B50" s="268"/>
      <c r="C50" s="307" t="s">
        <v>199</v>
      </c>
      <c r="D50" s="321">
        <v>955.8</v>
      </c>
      <c r="E50" s="321">
        <v>1041.5</v>
      </c>
      <c r="F50" s="321">
        <v>1045</v>
      </c>
      <c r="G50" s="321">
        <v>957.7</v>
      </c>
      <c r="H50" s="321">
        <v>957.7</v>
      </c>
      <c r="I50" s="321">
        <v>984.9</v>
      </c>
      <c r="J50" s="321">
        <v>1095</v>
      </c>
      <c r="K50" s="321">
        <v>1121</v>
      </c>
      <c r="L50" s="321">
        <v>1203</v>
      </c>
      <c r="M50" s="321">
        <v>1203</v>
      </c>
      <c r="N50" s="321">
        <v>1435</v>
      </c>
      <c r="O50" s="321">
        <v>1550</v>
      </c>
      <c r="P50" s="321">
        <v>1587</v>
      </c>
      <c r="Q50" s="321">
        <v>1476</v>
      </c>
      <c r="R50" s="321">
        <v>1476</v>
      </c>
      <c r="S50" s="321">
        <v>1536.8889125599999</v>
      </c>
      <c r="T50" s="321">
        <v>1347.52607579</v>
      </c>
      <c r="U50" s="321">
        <v>1393.18894383</v>
      </c>
      <c r="V50" s="321">
        <v>1430.3470344100001</v>
      </c>
      <c r="W50" s="321">
        <v>1430.3470344100001</v>
      </c>
      <c r="X50" s="321">
        <v>1261.7615661099999</v>
      </c>
      <c r="Y50" s="321">
        <v>1302.7083701500001</v>
      </c>
      <c r="Z50" s="321">
        <v>1436.2417273499998</v>
      </c>
      <c r="AA50" s="321">
        <v>1367.092081</v>
      </c>
      <c r="AB50" s="321">
        <v>1367.092081</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row>
    <row r="51" spans="1:59" ht="15.75" customHeight="1" x14ac:dyDescent="0.2">
      <c r="A51" s="268"/>
      <c r="B51" s="268"/>
      <c r="C51" s="268"/>
      <c r="D51" s="322"/>
      <c r="E51" s="322"/>
      <c r="F51" s="322"/>
      <c r="G51" s="322"/>
      <c r="H51" s="320"/>
      <c r="I51" s="322"/>
      <c r="J51" s="322"/>
      <c r="K51" s="322"/>
      <c r="L51" s="322"/>
      <c r="M51" s="320"/>
      <c r="N51" s="322"/>
      <c r="O51" s="322"/>
      <c r="P51" s="322"/>
      <c r="Q51" s="322"/>
      <c r="R51" s="320"/>
      <c r="S51" s="322"/>
      <c r="T51" s="322"/>
      <c r="U51" s="322"/>
      <c r="V51" s="322"/>
      <c r="W51" s="320"/>
      <c r="X51" s="322"/>
      <c r="Y51" s="322"/>
      <c r="Z51" s="322"/>
      <c r="AA51" s="322"/>
      <c r="AB51" s="320"/>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row>
    <row r="52" spans="1:59" ht="15.75" customHeight="1" x14ac:dyDescent="0.2">
      <c r="A52" s="268"/>
      <c r="B52" s="268"/>
      <c r="C52" s="307" t="s">
        <v>200</v>
      </c>
      <c r="D52" s="321">
        <v>819.96629399999995</v>
      </c>
      <c r="E52" s="321">
        <v>931.15575899999999</v>
      </c>
      <c r="F52" s="321">
        <v>968.05886699999996</v>
      </c>
      <c r="G52" s="321">
        <v>923.73347100000001</v>
      </c>
      <c r="H52" s="321">
        <v>923.73347100000001</v>
      </c>
      <c r="I52" s="321">
        <v>917.16132800000003</v>
      </c>
      <c r="J52" s="321">
        <v>917</v>
      </c>
      <c r="K52" s="321">
        <v>972</v>
      </c>
      <c r="L52" s="321">
        <v>924</v>
      </c>
      <c r="M52" s="321">
        <v>924</v>
      </c>
      <c r="N52" s="321">
        <v>1168</v>
      </c>
      <c r="O52" s="321">
        <v>1230</v>
      </c>
      <c r="P52" s="321">
        <v>1269</v>
      </c>
      <c r="Q52" s="321">
        <v>1159</v>
      </c>
      <c r="R52" s="321">
        <v>1159</v>
      </c>
      <c r="S52" s="321">
        <v>1268.7</v>
      </c>
      <c r="T52" s="321">
        <v>1108.4000000000001</v>
      </c>
      <c r="U52" s="321">
        <v>1166.2</v>
      </c>
      <c r="V52" s="321">
        <v>1162.7</v>
      </c>
      <c r="W52" s="321">
        <v>1162.7</v>
      </c>
      <c r="X52" s="321">
        <v>982.4</v>
      </c>
      <c r="Y52" s="321">
        <v>1080.233418</v>
      </c>
      <c r="Z52" s="321">
        <v>1165.7180619999999</v>
      </c>
      <c r="AA52" s="321">
        <v>1134.2203529999999</v>
      </c>
      <c r="AB52" s="321">
        <v>1134.2203529999999</v>
      </c>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row>
    <row r="53" spans="1:59" ht="15.75" customHeight="1" x14ac:dyDescent="0.2">
      <c r="A53" s="268"/>
      <c r="B53" s="268"/>
      <c r="C53" s="307" t="s">
        <v>201</v>
      </c>
      <c r="D53" s="321">
        <v>316.33370600000001</v>
      </c>
      <c r="E53" s="321">
        <v>315.54424100000006</v>
      </c>
      <c r="F53" s="321">
        <v>288.14113300000008</v>
      </c>
      <c r="G53" s="321">
        <v>267.46652900000004</v>
      </c>
      <c r="H53" s="321">
        <v>267.46652900000004</v>
      </c>
      <c r="I53" s="321">
        <v>262.43867199999988</v>
      </c>
      <c r="J53" s="321">
        <v>348</v>
      </c>
      <c r="K53" s="321">
        <v>332</v>
      </c>
      <c r="L53" s="321">
        <v>427</v>
      </c>
      <c r="M53" s="321">
        <v>427</v>
      </c>
      <c r="N53" s="321">
        <v>518</v>
      </c>
      <c r="O53" s="321">
        <v>589</v>
      </c>
      <c r="P53" s="321">
        <v>601</v>
      </c>
      <c r="Q53" s="321">
        <v>622</v>
      </c>
      <c r="R53" s="321">
        <v>622</v>
      </c>
      <c r="S53" s="321">
        <v>489.07945722999989</v>
      </c>
      <c r="T53" s="321">
        <v>461.79603728000006</v>
      </c>
      <c r="U53" s="321">
        <v>464.17237877000002</v>
      </c>
      <c r="V53" s="321">
        <v>520.37014833000012</v>
      </c>
      <c r="W53" s="321">
        <v>520.37014833000012</v>
      </c>
      <c r="X53" s="321">
        <v>516.46590360999983</v>
      </c>
      <c r="Y53" s="321">
        <v>525.54259255000011</v>
      </c>
      <c r="Z53" s="321">
        <v>598.47983264999993</v>
      </c>
      <c r="AA53" s="321">
        <v>545.3105241400001</v>
      </c>
      <c r="AB53" s="321">
        <v>545.3105241400001</v>
      </c>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row>
    <row r="54" spans="1:59" ht="15.75" customHeight="1" x14ac:dyDescent="0.2">
      <c r="A54" s="289"/>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row>
    <row r="55" spans="1:59" ht="15.75" customHeight="1" x14ac:dyDescent="0.2">
      <c r="A55" s="268"/>
      <c r="B55" s="268"/>
      <c r="C55" s="307" t="s">
        <v>202</v>
      </c>
      <c r="D55" s="321">
        <v>399.06299999999987</v>
      </c>
      <c r="E55" s="321">
        <v>259.63200000000006</v>
      </c>
      <c r="F55" s="321">
        <v>290.84400000000005</v>
      </c>
      <c r="G55" s="321">
        <v>267.49</v>
      </c>
      <c r="H55" s="321">
        <v>267.49</v>
      </c>
      <c r="I55" s="321">
        <v>266.92100000000005</v>
      </c>
      <c r="J55" s="321">
        <v>209</v>
      </c>
      <c r="K55" s="321">
        <v>226</v>
      </c>
      <c r="L55" s="321">
        <v>313</v>
      </c>
      <c r="M55" s="321">
        <v>313</v>
      </c>
      <c r="N55" s="321">
        <v>348</v>
      </c>
      <c r="O55" s="321">
        <v>391</v>
      </c>
      <c r="P55" s="321">
        <v>413</v>
      </c>
      <c r="Q55" s="321">
        <v>303</v>
      </c>
      <c r="R55" s="321">
        <v>303</v>
      </c>
      <c r="S55" s="321">
        <v>193.54799711999999</v>
      </c>
      <c r="T55" s="321">
        <v>201.99941212999988</v>
      </c>
      <c r="U55" s="321">
        <v>208.1995212700001</v>
      </c>
      <c r="V55" s="321">
        <v>373.69484399000021</v>
      </c>
      <c r="W55" s="321">
        <v>373.69484399000021</v>
      </c>
      <c r="X55" s="321">
        <v>343.40224110999998</v>
      </c>
      <c r="Y55" s="321">
        <v>151.09132382999996</v>
      </c>
      <c r="Z55" s="321">
        <v>339.92449725000006</v>
      </c>
      <c r="AA55" s="321">
        <v>261.39474945000006</v>
      </c>
      <c r="AB55" s="321">
        <v>261.39474945000006</v>
      </c>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row>
    <row r="56" spans="1:59" ht="15.75" customHeight="1" x14ac:dyDescent="0.2">
      <c r="A56" s="268"/>
      <c r="B56" s="268"/>
      <c r="C56" s="278" t="s">
        <v>203</v>
      </c>
      <c r="D56" s="320">
        <f t="shared" ref="D56:AB56" si="22">D45-D55</f>
        <v>737.23700000000008</v>
      </c>
      <c r="E56" s="320">
        <f t="shared" si="22"/>
        <v>987.06799999999998</v>
      </c>
      <c r="F56" s="320">
        <f t="shared" si="22"/>
        <v>965.35599999999999</v>
      </c>
      <c r="G56" s="320">
        <f t="shared" si="22"/>
        <v>923.71</v>
      </c>
      <c r="H56" s="320">
        <f t="shared" si="22"/>
        <v>923.71</v>
      </c>
      <c r="I56" s="320">
        <f t="shared" si="22"/>
        <v>912.67899999999986</v>
      </c>
      <c r="J56" s="320">
        <f t="shared" si="22"/>
        <v>1056</v>
      </c>
      <c r="K56" s="320">
        <f t="shared" si="22"/>
        <v>1078</v>
      </c>
      <c r="L56" s="320">
        <f t="shared" si="22"/>
        <v>1038</v>
      </c>
      <c r="M56" s="320">
        <f t="shared" si="22"/>
        <v>1038</v>
      </c>
      <c r="N56" s="320">
        <f t="shared" si="22"/>
        <v>1338</v>
      </c>
      <c r="O56" s="320">
        <f t="shared" si="22"/>
        <v>1427</v>
      </c>
      <c r="P56" s="320">
        <f t="shared" si="22"/>
        <v>1458</v>
      </c>
      <c r="Q56" s="320">
        <f t="shared" si="22"/>
        <v>1478</v>
      </c>
      <c r="R56" s="320">
        <f t="shared" si="22"/>
        <v>1478</v>
      </c>
      <c r="S56" s="320">
        <f t="shared" si="22"/>
        <v>1564.2314601099999</v>
      </c>
      <c r="T56" s="320">
        <f t="shared" si="22"/>
        <v>1368.1966251500003</v>
      </c>
      <c r="U56" s="320">
        <f t="shared" si="22"/>
        <v>1422.1728575</v>
      </c>
      <c r="V56" s="320">
        <f t="shared" si="22"/>
        <v>1309.37530434</v>
      </c>
      <c r="W56" s="320">
        <f t="shared" si="22"/>
        <v>1309.37530434</v>
      </c>
      <c r="X56" s="320">
        <f t="shared" si="22"/>
        <v>1155.4636624999998</v>
      </c>
      <c r="Y56" s="320">
        <f t="shared" si="22"/>
        <v>1454.6846867200002</v>
      </c>
      <c r="Z56" s="320">
        <f t="shared" si="22"/>
        <v>1424.2733973999998</v>
      </c>
      <c r="AA56" s="320">
        <f t="shared" si="22"/>
        <v>1418.13612769</v>
      </c>
      <c r="AB56" s="320">
        <f t="shared" si="22"/>
        <v>1418.13612769</v>
      </c>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row>
    <row r="57" spans="1:59" ht="15.75" customHeight="1" x14ac:dyDescent="0.2">
      <c r="A57" s="268"/>
      <c r="B57" s="268"/>
      <c r="C57" s="323"/>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268"/>
      <c r="AD57" s="268"/>
      <c r="AE57" s="268"/>
      <c r="AF57" s="268"/>
      <c r="AG57" s="268"/>
      <c r="AH57" s="276"/>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row>
    <row r="58" spans="1:59" ht="15.75" customHeight="1" x14ac:dyDescent="0.2">
      <c r="A58" s="268"/>
      <c r="B58" s="268"/>
      <c r="C58" s="324" t="s">
        <v>204</v>
      </c>
      <c r="D58" s="325">
        <f t="shared" ref="D58:AB58" si="23">D46/D45</f>
        <v>6.5098009328522402E-2</v>
      </c>
      <c r="E58" s="325">
        <f t="shared" si="23"/>
        <v>5.5389057832678272E-2</v>
      </c>
      <c r="F58" s="325">
        <f t="shared" si="23"/>
        <v>5.1672319137080085E-2</v>
      </c>
      <c r="G58" s="325">
        <f t="shared" si="23"/>
        <v>5.1306562374076561E-2</v>
      </c>
      <c r="H58" s="325">
        <f t="shared" si="23"/>
        <v>5.1306562374076561E-2</v>
      </c>
      <c r="I58" s="325">
        <f t="shared" si="23"/>
        <v>0.11984308748728384</v>
      </c>
      <c r="J58" s="325">
        <f t="shared" si="23"/>
        <v>0.21012381818181816</v>
      </c>
      <c r="K58" s="325">
        <f t="shared" si="23"/>
        <v>0.18516721932515337</v>
      </c>
      <c r="L58" s="325">
        <f t="shared" si="23"/>
        <v>0.31905523168023686</v>
      </c>
      <c r="M58" s="325">
        <f t="shared" si="23"/>
        <v>0.31905523168023686</v>
      </c>
      <c r="N58" s="325">
        <f t="shared" si="23"/>
        <v>0.30960854092526691</v>
      </c>
      <c r="O58" s="325">
        <f t="shared" si="23"/>
        <v>0.32563256325632561</v>
      </c>
      <c r="P58" s="325">
        <f t="shared" si="23"/>
        <v>0.32389096739711382</v>
      </c>
      <c r="Q58" s="325">
        <f t="shared" si="23"/>
        <v>0.35148792813026392</v>
      </c>
      <c r="R58" s="325">
        <f t="shared" si="23"/>
        <v>0.35148792813026392</v>
      </c>
      <c r="S58" s="325">
        <f t="shared" si="23"/>
        <v>0.28052438431443077</v>
      </c>
      <c r="T58" s="325">
        <f t="shared" si="23"/>
        <v>0.29658717061005774</v>
      </c>
      <c r="U58" s="325">
        <f t="shared" si="23"/>
        <v>0.28698965101027857</v>
      </c>
      <c r="V58" s="325">
        <f t="shared" si="23"/>
        <v>0.27812269171577009</v>
      </c>
      <c r="W58" s="325">
        <f t="shared" si="23"/>
        <v>0.27812269171577009</v>
      </c>
      <c r="X58" s="325">
        <f t="shared" si="23"/>
        <v>0.31497147200623687</v>
      </c>
      <c r="Y58" s="325">
        <f t="shared" si="23"/>
        <v>0.29667898690106004</v>
      </c>
      <c r="Z58" s="325">
        <f t="shared" si="23"/>
        <v>0.27910701032646196</v>
      </c>
      <c r="AA58" s="325">
        <f t="shared" si="23"/>
        <v>0.26340526871011688</v>
      </c>
      <c r="AB58" s="325">
        <f t="shared" si="23"/>
        <v>0.26340688701915599</v>
      </c>
      <c r="AC58" s="287"/>
      <c r="AD58" s="318"/>
      <c r="AE58" s="287"/>
      <c r="AF58" s="287"/>
      <c r="AG58" s="287"/>
      <c r="AH58" s="270"/>
      <c r="AI58" s="270"/>
      <c r="AJ58" s="270"/>
      <c r="AK58" s="270"/>
      <c r="AL58" s="270"/>
      <c r="AM58" s="270"/>
      <c r="AN58" s="270"/>
      <c r="AO58" s="270"/>
      <c r="AP58" s="270"/>
      <c r="AQ58" s="270"/>
      <c r="AR58" s="270"/>
      <c r="AS58" s="270"/>
      <c r="AT58" s="270"/>
      <c r="AU58" s="270"/>
      <c r="AV58" s="270"/>
      <c r="AW58" s="270"/>
      <c r="AX58" s="270"/>
      <c r="AY58" s="270"/>
      <c r="AZ58" s="270"/>
      <c r="BA58" s="270"/>
      <c r="BB58" s="268"/>
      <c r="BC58" s="268"/>
      <c r="BD58" s="268"/>
      <c r="BE58" s="268"/>
      <c r="BF58" s="268"/>
      <c r="BG58" s="268"/>
    </row>
    <row r="59" spans="1:59" ht="15.75" customHeight="1" x14ac:dyDescent="0.2">
      <c r="A59" s="268"/>
      <c r="B59" s="268"/>
      <c r="C59" s="326" t="s">
        <v>205</v>
      </c>
      <c r="D59" s="325">
        <f t="shared" ref="D59:AB59" si="24">D47/D45</f>
        <v>0.93485442110358186</v>
      </c>
      <c r="E59" s="325">
        <f t="shared" si="24"/>
        <v>0.94458112857944965</v>
      </c>
      <c r="F59" s="325">
        <f t="shared" si="24"/>
        <v>0.94834138815475233</v>
      </c>
      <c r="G59" s="325">
        <f t="shared" si="24"/>
        <v>0.94866043838146419</v>
      </c>
      <c r="H59" s="325">
        <f t="shared" si="24"/>
        <v>0.94866043838146419</v>
      </c>
      <c r="I59" s="325">
        <f t="shared" si="24"/>
        <v>0.88016492539844016</v>
      </c>
      <c r="J59" s="325">
        <f t="shared" si="24"/>
        <v>0.78972332015810276</v>
      </c>
      <c r="K59" s="325">
        <f t="shared" si="24"/>
        <v>0.81518404907975461</v>
      </c>
      <c r="L59" s="325">
        <f t="shared" si="24"/>
        <v>0.68023686158401186</v>
      </c>
      <c r="M59" s="325">
        <f t="shared" si="24"/>
        <v>0.68023686158401186</v>
      </c>
      <c r="N59" s="325">
        <f t="shared" si="24"/>
        <v>0.69039145907473309</v>
      </c>
      <c r="O59" s="325">
        <f t="shared" si="24"/>
        <v>0.67436743674367439</v>
      </c>
      <c r="P59" s="325">
        <f t="shared" si="24"/>
        <v>0.67610903260288613</v>
      </c>
      <c r="Q59" s="325">
        <f t="shared" si="24"/>
        <v>0.64851207186973614</v>
      </c>
      <c r="R59" s="325">
        <f t="shared" si="24"/>
        <v>0.64851207186973614</v>
      </c>
      <c r="S59" s="325">
        <f t="shared" si="24"/>
        <v>0.71948730245885339</v>
      </c>
      <c r="T59" s="325">
        <f t="shared" si="24"/>
        <v>0.70341535310029801</v>
      </c>
      <c r="U59" s="325">
        <f t="shared" si="24"/>
        <v>0.71302729065921955</v>
      </c>
      <c r="V59" s="325">
        <f t="shared" si="24"/>
        <v>0.72183562949260638</v>
      </c>
      <c r="W59" s="325">
        <f t="shared" si="24"/>
        <v>0.72183562949260638</v>
      </c>
      <c r="X59" s="325">
        <f t="shared" si="24"/>
        <v>0.68505127611947469</v>
      </c>
      <c r="Y59" s="325">
        <f t="shared" si="24"/>
        <v>0.70333595257358794</v>
      </c>
      <c r="Z59" s="325">
        <f t="shared" si="24"/>
        <v>0.72089418304872932</v>
      </c>
      <c r="AA59" s="325">
        <f t="shared" si="24"/>
        <v>0.73657472859719231</v>
      </c>
      <c r="AB59" s="325">
        <f t="shared" si="24"/>
        <v>0.73657472859719231</v>
      </c>
      <c r="AC59" s="287"/>
      <c r="AD59" s="318"/>
      <c r="AE59" s="287"/>
      <c r="AF59" s="287"/>
      <c r="AG59" s="287"/>
      <c r="AH59" s="270"/>
      <c r="AI59" s="270"/>
      <c r="AJ59" s="270"/>
      <c r="AK59" s="270"/>
      <c r="AL59" s="270"/>
      <c r="AM59" s="270"/>
      <c r="AN59" s="270"/>
      <c r="AO59" s="270"/>
      <c r="AP59" s="270"/>
      <c r="AQ59" s="270"/>
      <c r="AR59" s="270"/>
      <c r="AS59" s="270"/>
      <c r="AT59" s="270"/>
      <c r="AU59" s="270"/>
      <c r="AV59" s="270"/>
      <c r="AW59" s="270"/>
      <c r="AX59" s="270"/>
      <c r="AY59" s="270"/>
      <c r="AZ59" s="270"/>
      <c r="BA59" s="270"/>
      <c r="BB59" s="268"/>
      <c r="BC59" s="268"/>
      <c r="BD59" s="268"/>
      <c r="BE59" s="268"/>
      <c r="BF59" s="268"/>
      <c r="BG59" s="268"/>
    </row>
    <row r="60" spans="1:59" ht="15.75" customHeight="1" x14ac:dyDescent="0.2">
      <c r="A60" s="268"/>
      <c r="B60" s="268"/>
      <c r="C60" s="314" t="s">
        <v>193</v>
      </c>
      <c r="D60" s="305"/>
      <c r="E60" s="305"/>
      <c r="F60" s="305"/>
      <c r="G60" s="305"/>
      <c r="H60" s="305"/>
      <c r="I60" s="305"/>
      <c r="J60" s="305"/>
      <c r="K60" s="305"/>
      <c r="L60" s="305"/>
      <c r="M60" s="305"/>
      <c r="N60" s="305"/>
      <c r="O60" s="305"/>
      <c r="P60" s="305"/>
      <c r="Q60" s="305"/>
      <c r="R60" s="306"/>
      <c r="S60" s="305"/>
      <c r="T60" s="305"/>
      <c r="U60" s="305"/>
      <c r="V60" s="305"/>
      <c r="W60" s="305"/>
      <c r="X60" s="305"/>
      <c r="Y60" s="305"/>
      <c r="Z60" s="305"/>
      <c r="AA60" s="305"/>
      <c r="AB60" s="305"/>
      <c r="AC60" s="270"/>
      <c r="AD60" s="270"/>
      <c r="AE60" s="270"/>
      <c r="AF60" s="270"/>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row>
    <row r="61" spans="1:59" ht="15.75" customHeight="1" x14ac:dyDescent="0.2">
      <c r="A61" s="268"/>
      <c r="B61" s="268"/>
      <c r="C61" s="319"/>
      <c r="D61" s="305"/>
      <c r="E61" s="305"/>
      <c r="F61" s="305"/>
      <c r="G61" s="305"/>
      <c r="H61" s="305"/>
      <c r="I61" s="305"/>
      <c r="J61" s="305"/>
      <c r="K61" s="305"/>
      <c r="L61" s="305"/>
      <c r="M61" s="305"/>
      <c r="N61" s="305"/>
      <c r="O61" s="305"/>
      <c r="P61" s="305"/>
      <c r="Q61" s="305"/>
      <c r="R61" s="306"/>
      <c r="S61" s="305"/>
      <c r="T61" s="305"/>
      <c r="U61" s="305"/>
      <c r="V61" s="305"/>
      <c r="W61" s="305"/>
      <c r="X61" s="305"/>
      <c r="Y61" s="305"/>
      <c r="Z61" s="305"/>
      <c r="AA61" s="305"/>
      <c r="AB61" s="305"/>
      <c r="AC61" s="270"/>
      <c r="AD61" s="270"/>
      <c r="AE61" s="270"/>
      <c r="AF61" s="270"/>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row>
    <row r="62" spans="1:59" ht="15.75" customHeight="1" x14ac:dyDescent="0.2">
      <c r="A62" s="271"/>
      <c r="B62" s="273" t="s">
        <v>206</v>
      </c>
      <c r="C62" s="273"/>
      <c r="D62" s="277" t="s">
        <v>98</v>
      </c>
      <c r="E62" s="277" t="s">
        <v>99</v>
      </c>
      <c r="F62" s="277" t="s">
        <v>100</v>
      </c>
      <c r="G62" s="277" t="s">
        <v>101</v>
      </c>
      <c r="H62" s="159">
        <v>2018</v>
      </c>
      <c r="I62" s="277" t="s">
        <v>102</v>
      </c>
      <c r="J62" s="277" t="s">
        <v>103</v>
      </c>
      <c r="K62" s="277" t="s">
        <v>104</v>
      </c>
      <c r="L62" s="277" t="s">
        <v>105</v>
      </c>
      <c r="M62" s="159">
        <v>2019</v>
      </c>
      <c r="N62" s="277" t="s">
        <v>158</v>
      </c>
      <c r="O62" s="277" t="s">
        <v>107</v>
      </c>
      <c r="P62" s="277" t="s">
        <v>108</v>
      </c>
      <c r="Q62" s="277" t="s">
        <v>109</v>
      </c>
      <c r="R62" s="159">
        <v>2020</v>
      </c>
      <c r="S62" s="277" t="s">
        <v>110</v>
      </c>
      <c r="T62" s="277" t="s">
        <v>111</v>
      </c>
      <c r="U62" s="277" t="s">
        <v>112</v>
      </c>
      <c r="V62" s="277" t="s">
        <v>113</v>
      </c>
      <c r="W62" s="159">
        <v>2021</v>
      </c>
      <c r="X62" s="277" t="s">
        <v>114</v>
      </c>
      <c r="Y62" s="277" t="s">
        <v>115</v>
      </c>
      <c r="Z62" s="277" t="str">
        <f>$Z$4</f>
        <v>3Q22</v>
      </c>
      <c r="AA62" s="277" t="str">
        <f>$AA$4</f>
        <v>4Q22</v>
      </c>
      <c r="AB62" s="160">
        <v>2022</v>
      </c>
      <c r="AC62" s="270"/>
      <c r="AD62" s="270"/>
      <c r="AE62" s="270"/>
      <c r="AF62" s="270"/>
      <c r="AG62" s="270"/>
      <c r="AH62" s="270"/>
      <c r="AI62" s="270"/>
      <c r="AJ62" s="270"/>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row>
    <row r="63" spans="1:59" ht="15.75" customHeight="1" x14ac:dyDescent="0.2">
      <c r="A63" s="307"/>
      <c r="B63" s="307"/>
      <c r="C63" s="308" t="s">
        <v>19</v>
      </c>
      <c r="D63" s="172">
        <v>151.97450458</v>
      </c>
      <c r="E63" s="172">
        <v>153.19945621000002</v>
      </c>
      <c r="F63" s="172">
        <v>191.01373483999998</v>
      </c>
      <c r="G63" s="172">
        <v>172.20713972000001</v>
      </c>
      <c r="H63" s="172">
        <v>668.39483534999999</v>
      </c>
      <c r="I63" s="172">
        <v>153.84225132999998</v>
      </c>
      <c r="J63" s="172">
        <v>155.97213138000001</v>
      </c>
      <c r="K63" s="172">
        <v>176.74051168999998</v>
      </c>
      <c r="L63" s="172">
        <v>175.81800849999999</v>
      </c>
      <c r="M63" s="172">
        <v>662.37290289999999</v>
      </c>
      <c r="N63" s="172">
        <v>165.3387156</v>
      </c>
      <c r="O63" s="172">
        <v>163.14163762000001</v>
      </c>
      <c r="P63" s="172">
        <v>174.55115107</v>
      </c>
      <c r="Q63" s="172">
        <v>174.40237180999998</v>
      </c>
      <c r="R63" s="172">
        <v>677.43387609999991</v>
      </c>
      <c r="S63" s="172">
        <v>184.77308292000001</v>
      </c>
      <c r="T63" s="172">
        <v>188.53314716000003</v>
      </c>
      <c r="U63" s="172">
        <v>191.25522752000001</v>
      </c>
      <c r="V63" s="172">
        <v>200.19993855000001</v>
      </c>
      <c r="W63" s="172">
        <f t="shared" ref="W63:W69" si="25">SUM(S63:V63)</f>
        <v>764.76139615000011</v>
      </c>
      <c r="X63" s="172">
        <v>182.0538913</v>
      </c>
      <c r="Y63" s="172">
        <v>188.46693643</v>
      </c>
      <c r="Z63" s="172">
        <v>199.16287352000001</v>
      </c>
      <c r="AA63" s="172">
        <v>198.55274614999999</v>
      </c>
      <c r="AB63" s="172">
        <f t="shared" ref="AB63:AB69" si="26">SUM(X63:AA63)</f>
        <v>768.23644739999997</v>
      </c>
      <c r="AC63" s="270"/>
      <c r="AD63" s="270"/>
      <c r="AE63" s="270"/>
      <c r="AF63" s="270"/>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row>
    <row r="64" spans="1:59" ht="15.75" customHeight="1" x14ac:dyDescent="0.2">
      <c r="A64" s="307"/>
      <c r="B64" s="307"/>
      <c r="C64" s="308" t="s">
        <v>27</v>
      </c>
      <c r="D64" s="172">
        <v>17.037530830000001</v>
      </c>
      <c r="E64" s="172">
        <v>19.618133219999997</v>
      </c>
      <c r="F64" s="172">
        <v>20.516277439999996</v>
      </c>
      <c r="G64" s="172">
        <v>18.723955759999999</v>
      </c>
      <c r="H64" s="172">
        <v>75.89589724999999</v>
      </c>
      <c r="I64" s="172">
        <v>19.935042360000001</v>
      </c>
      <c r="J64" s="172">
        <v>24.29726582</v>
      </c>
      <c r="K64" s="172">
        <v>16.690395429999999</v>
      </c>
      <c r="L64" s="172">
        <v>15.021225900000001</v>
      </c>
      <c r="M64" s="172">
        <v>75.943929510000004</v>
      </c>
      <c r="N64" s="172">
        <v>10.32955308</v>
      </c>
      <c r="O64" s="172">
        <v>11.88092131</v>
      </c>
      <c r="P64" s="172">
        <v>10.68923274</v>
      </c>
      <c r="Q64" s="172">
        <v>8.2146191200000001</v>
      </c>
      <c r="R64" s="172">
        <v>41.114326250000005</v>
      </c>
      <c r="S64" s="172">
        <v>8.0606307299999997</v>
      </c>
      <c r="T64" s="172">
        <v>9.0403167699999987</v>
      </c>
      <c r="U64" s="172">
        <v>9.6838037899999989</v>
      </c>
      <c r="V64" s="172">
        <v>12.290429880000001</v>
      </c>
      <c r="W64" s="172">
        <f t="shared" si="25"/>
        <v>39.075181169999993</v>
      </c>
      <c r="X64" s="172">
        <v>11.50371466</v>
      </c>
      <c r="Y64" s="172">
        <v>11.358109499999999</v>
      </c>
      <c r="Z64" s="172">
        <v>14.83575501</v>
      </c>
      <c r="AA64" s="172">
        <v>17.273622809999999</v>
      </c>
      <c r="AB64" s="172">
        <f t="shared" si="26"/>
        <v>54.971201979999996</v>
      </c>
      <c r="AC64" s="270"/>
      <c r="AD64" s="270"/>
      <c r="AE64" s="270"/>
      <c r="AF64" s="270"/>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row>
    <row r="65" spans="1:59" ht="15.75" customHeight="1" x14ac:dyDescent="0.2">
      <c r="A65" s="307"/>
      <c r="B65" s="307"/>
      <c r="C65" s="308" t="s">
        <v>21</v>
      </c>
      <c r="D65" s="172">
        <v>48.503792289999993</v>
      </c>
      <c r="E65" s="172">
        <v>49.893319379999895</v>
      </c>
      <c r="F65" s="172">
        <v>55.431284790000007</v>
      </c>
      <c r="G65" s="172">
        <v>53.696582599999999</v>
      </c>
      <c r="H65" s="172">
        <v>207.52497905999991</v>
      </c>
      <c r="I65" s="172">
        <v>53.571234140000001</v>
      </c>
      <c r="J65" s="172">
        <v>44.924755000000005</v>
      </c>
      <c r="K65" s="172">
        <v>43.741632729999999</v>
      </c>
      <c r="L65" s="172">
        <v>36.99686294</v>
      </c>
      <c r="M65" s="172">
        <v>179.23448481</v>
      </c>
      <c r="N65" s="172">
        <v>35.860346589999999</v>
      </c>
      <c r="O65" s="172">
        <v>35.954452400000001</v>
      </c>
      <c r="P65" s="172">
        <v>38.735448429999998</v>
      </c>
      <c r="Q65" s="172">
        <v>35.816100519999999</v>
      </c>
      <c r="R65" s="172">
        <v>146.36634794</v>
      </c>
      <c r="S65" s="172">
        <v>42.738869659999999</v>
      </c>
      <c r="T65" s="172">
        <v>43.355555379999998</v>
      </c>
      <c r="U65" s="172">
        <v>48.40839854</v>
      </c>
      <c r="V65" s="172">
        <v>55.149600739999997</v>
      </c>
      <c r="W65" s="172">
        <f t="shared" si="25"/>
        <v>189.65242432000002</v>
      </c>
      <c r="X65" s="172">
        <v>63.095396690000001</v>
      </c>
      <c r="Y65" s="172">
        <v>59.693902070000007</v>
      </c>
      <c r="Z65" s="172">
        <v>66.163430529999999</v>
      </c>
      <c r="AA65" s="172">
        <v>56.371018930000005</v>
      </c>
      <c r="AB65" s="172">
        <f t="shared" si="26"/>
        <v>245.32374822000003</v>
      </c>
      <c r="AC65" s="270"/>
      <c r="AD65" s="270"/>
      <c r="AE65" s="270"/>
      <c r="AF65" s="270"/>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row>
    <row r="66" spans="1:59" ht="15.75" customHeight="1" x14ac:dyDescent="0.2">
      <c r="A66" s="307"/>
      <c r="B66" s="307"/>
      <c r="C66" s="308" t="s">
        <v>207</v>
      </c>
      <c r="D66" s="172">
        <v>140.14951191</v>
      </c>
      <c r="E66" s="172">
        <v>155.63561142499901</v>
      </c>
      <c r="F66" s="172">
        <v>161.217129725001</v>
      </c>
      <c r="G66" s="172">
        <v>146.40601980000002</v>
      </c>
      <c r="H66" s="172">
        <v>603.40827286000012</v>
      </c>
      <c r="I66" s="172">
        <v>137.32483081999999</v>
      </c>
      <c r="J66" s="172">
        <v>147.71722498</v>
      </c>
      <c r="K66" s="172">
        <v>170.12914581000001</v>
      </c>
      <c r="L66" s="172">
        <v>175.50664115999999</v>
      </c>
      <c r="M66" s="172">
        <v>630.67784276999998</v>
      </c>
      <c r="N66" s="172">
        <v>182.49637002</v>
      </c>
      <c r="O66" s="172">
        <v>223.23219498</v>
      </c>
      <c r="P66" s="172">
        <v>237.3636037</v>
      </c>
      <c r="Q66" s="172">
        <v>254.36940172999999</v>
      </c>
      <c r="R66" s="172">
        <v>897.46157042999994</v>
      </c>
      <c r="S66" s="172">
        <v>246.49407238999999</v>
      </c>
      <c r="T66" s="172">
        <v>253.71552022</v>
      </c>
      <c r="U66" s="172">
        <v>278.21157765999999</v>
      </c>
      <c r="V66" s="172">
        <v>295.66862048000002</v>
      </c>
      <c r="W66" s="172">
        <f t="shared" si="25"/>
        <v>1074.08979075</v>
      </c>
      <c r="X66" s="172">
        <v>253.65488920000001</v>
      </c>
      <c r="Y66" s="172">
        <v>263.61897232000001</v>
      </c>
      <c r="Z66" s="172">
        <v>319.70605554000002</v>
      </c>
      <c r="AA66" s="172">
        <v>295.14092382000001</v>
      </c>
      <c r="AB66" s="172">
        <f t="shared" si="26"/>
        <v>1132.1208408800003</v>
      </c>
      <c r="AC66" s="270"/>
      <c r="AD66" s="270"/>
      <c r="AE66" s="270"/>
      <c r="AF66" s="270"/>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row>
    <row r="67" spans="1:59" ht="15.75" customHeight="1" x14ac:dyDescent="0.2">
      <c r="A67" s="307"/>
      <c r="B67" s="307"/>
      <c r="C67" s="308" t="s">
        <v>25</v>
      </c>
      <c r="D67" s="172">
        <v>7.6539371999999997</v>
      </c>
      <c r="E67" s="172">
        <v>9.3383706400000186</v>
      </c>
      <c r="F67" s="172">
        <v>9.8674366299999807</v>
      </c>
      <c r="G67" s="172">
        <v>9.4734990700000701</v>
      </c>
      <c r="H67" s="172">
        <v>36.333243540000069</v>
      </c>
      <c r="I67" s="172">
        <v>8.1110761199999999</v>
      </c>
      <c r="J67" s="172">
        <v>8.5174733499999995</v>
      </c>
      <c r="K67" s="172">
        <v>10.354238430000001</v>
      </c>
      <c r="L67" s="172">
        <v>9.5039064700000004</v>
      </c>
      <c r="M67" s="172">
        <v>36.486694369999995</v>
      </c>
      <c r="N67" s="172">
        <v>9.4110153499999996</v>
      </c>
      <c r="O67" s="172">
        <v>10.22864742</v>
      </c>
      <c r="P67" s="172">
        <v>10.665170029999999</v>
      </c>
      <c r="Q67" s="172">
        <v>11.48747103</v>
      </c>
      <c r="R67" s="172">
        <v>41.792303830000002</v>
      </c>
      <c r="S67" s="172">
        <v>11.387311279999999</v>
      </c>
      <c r="T67" s="172">
        <v>11.49110303</v>
      </c>
      <c r="U67" s="172">
        <v>11.85329567</v>
      </c>
      <c r="V67" s="172">
        <v>12.60479204</v>
      </c>
      <c r="W67" s="172">
        <f t="shared" si="25"/>
        <v>47.336502019999998</v>
      </c>
      <c r="X67" s="172">
        <v>11.91454628</v>
      </c>
      <c r="Y67" s="172">
        <v>11.162762710000001</v>
      </c>
      <c r="Z67" s="172">
        <v>14.000591009999999</v>
      </c>
      <c r="AA67" s="172">
        <v>14.122867730000001</v>
      </c>
      <c r="AB67" s="172">
        <f t="shared" si="26"/>
        <v>51.200767730000003</v>
      </c>
      <c r="AC67" s="270"/>
      <c r="AD67" s="270"/>
      <c r="AE67" s="270"/>
      <c r="AF67" s="270"/>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row>
    <row r="68" spans="1:59" ht="15.75" customHeight="1" x14ac:dyDescent="0.2">
      <c r="A68" s="307"/>
      <c r="B68" s="307"/>
      <c r="C68" s="308" t="s">
        <v>29</v>
      </c>
      <c r="D68" s="172">
        <v>21.962528239999997</v>
      </c>
      <c r="E68" s="172">
        <v>29.017377740000001</v>
      </c>
      <c r="F68" s="172">
        <v>12.654127890000201</v>
      </c>
      <c r="G68" s="172">
        <v>22.277691660000201</v>
      </c>
      <c r="H68" s="172">
        <v>85.911725530000396</v>
      </c>
      <c r="I68" s="172">
        <v>6.0613707199999993</v>
      </c>
      <c r="J68" s="172">
        <v>5.5312901200000004</v>
      </c>
      <c r="K68" s="172">
        <v>3.6937262099999999</v>
      </c>
      <c r="L68" s="172">
        <v>2.22361108</v>
      </c>
      <c r="M68" s="172">
        <v>17.50999813</v>
      </c>
      <c r="N68" s="172">
        <v>2.9505927799999996</v>
      </c>
      <c r="O68" s="172">
        <v>2.8982279599999998</v>
      </c>
      <c r="P68" s="172">
        <v>2.0925566899999999</v>
      </c>
      <c r="Q68" s="172">
        <v>3.4502772200000003</v>
      </c>
      <c r="R68" s="172">
        <v>11.39165465</v>
      </c>
      <c r="S68" s="172">
        <v>13.631755929999999</v>
      </c>
      <c r="T68" s="172">
        <v>3.8623366299999997</v>
      </c>
      <c r="U68" s="172">
        <v>4.5141950999999993</v>
      </c>
      <c r="V68" s="172">
        <v>1.7912096799999999</v>
      </c>
      <c r="W68" s="172">
        <f t="shared" si="25"/>
        <v>23.799497339999999</v>
      </c>
      <c r="X68" s="172">
        <v>6.99543099</v>
      </c>
      <c r="Y68" s="172">
        <v>8.0176481800000001</v>
      </c>
      <c r="Z68" s="172">
        <v>5.8269877599999997</v>
      </c>
      <c r="AA68" s="172">
        <v>2.3144622500000001</v>
      </c>
      <c r="AB68" s="172">
        <f t="shared" si="26"/>
        <v>23.154529179999997</v>
      </c>
      <c r="AC68" s="270"/>
      <c r="AD68" s="270"/>
      <c r="AE68" s="270"/>
      <c r="AF68" s="270"/>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row>
    <row r="69" spans="1:59" ht="15.75" customHeight="1" x14ac:dyDescent="0.2">
      <c r="A69" s="307"/>
      <c r="B69" s="307"/>
      <c r="C69" s="308" t="s">
        <v>208</v>
      </c>
      <c r="D69" s="172">
        <v>5.0036999999990099E-4</v>
      </c>
      <c r="E69" s="172">
        <v>-0.63202581999999996</v>
      </c>
      <c r="F69" s="172">
        <v>0.63238503000000001</v>
      </c>
      <c r="G69" s="172">
        <v>1.3000000000101901E-7</v>
      </c>
      <c r="H69" s="172">
        <v>8.5970999999997199E-4</v>
      </c>
      <c r="I69" s="172">
        <v>2E-8</v>
      </c>
      <c r="J69" s="172">
        <v>8.9999999999999999E-8</v>
      </c>
      <c r="K69" s="172">
        <v>-4.2199999999999994E-6</v>
      </c>
      <c r="L69" s="172">
        <v>4.1799999999999998E-6</v>
      </c>
      <c r="M69" s="172">
        <v>7.0000000000000177E-8</v>
      </c>
      <c r="N69" s="172">
        <v>1.6696500000000002E-3</v>
      </c>
      <c r="O69" s="172">
        <v>-1.0825699999999999E-3</v>
      </c>
      <c r="P69" s="172">
        <v>1.0826099999999999E-3</v>
      </c>
      <c r="Q69" s="172">
        <v>-1.0000000000000001E-7</v>
      </c>
      <c r="R69" s="172">
        <v>1.6695900000000001E-3</v>
      </c>
      <c r="S69" s="172">
        <v>0</v>
      </c>
      <c r="T69" s="172">
        <v>-5.4500000000000003E-6</v>
      </c>
      <c r="U69" s="172">
        <v>4.7429999999999998E-5</v>
      </c>
      <c r="V69" s="172">
        <v>-4.1999999999999998E-5</v>
      </c>
      <c r="W69" s="172">
        <f t="shared" si="25"/>
        <v>-1.999999999999642E-8</v>
      </c>
      <c r="X69" s="172">
        <v>1E-8</v>
      </c>
      <c r="Y69" s="172">
        <v>-2.7478324700000001</v>
      </c>
      <c r="Z69" s="172">
        <v>-0.6180371899999999</v>
      </c>
      <c r="AA69" s="172">
        <v>0.2502973</v>
      </c>
      <c r="AB69" s="172">
        <f t="shared" si="26"/>
        <v>-3.1155723499999999</v>
      </c>
      <c r="AC69" s="270"/>
      <c r="AD69" s="270"/>
      <c r="AE69" s="270"/>
      <c r="AF69" s="270"/>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row>
    <row r="70" spans="1:59" ht="15.75" customHeight="1" x14ac:dyDescent="0.2">
      <c r="A70" s="278"/>
      <c r="B70" s="278"/>
      <c r="C70" s="327" t="s">
        <v>159</v>
      </c>
      <c r="D70" s="207">
        <f t="shared" ref="D70:AB70" si="27">SUM(D63,D64,D66,D68,D67,D65,D69)</f>
        <v>387.28230541999994</v>
      </c>
      <c r="E70" s="207">
        <f t="shared" si="27"/>
        <v>416.07024279499893</v>
      </c>
      <c r="F70" s="207">
        <f t="shared" si="27"/>
        <v>451.33237634500125</v>
      </c>
      <c r="G70" s="207">
        <f t="shared" si="27"/>
        <v>422.78488874000027</v>
      </c>
      <c r="H70" s="207">
        <f t="shared" si="27"/>
        <v>1677.4698133000004</v>
      </c>
      <c r="I70" s="207">
        <f t="shared" si="27"/>
        <v>378.84580550999999</v>
      </c>
      <c r="J70" s="207">
        <f t="shared" si="27"/>
        <v>386.96014074000004</v>
      </c>
      <c r="K70" s="207">
        <f t="shared" si="27"/>
        <v>421.34964608000001</v>
      </c>
      <c r="L70" s="207">
        <f t="shared" si="27"/>
        <v>415.07026023000003</v>
      </c>
      <c r="M70" s="207">
        <f t="shared" si="27"/>
        <v>1602.2258525599996</v>
      </c>
      <c r="N70" s="207">
        <f t="shared" si="27"/>
        <v>406.38826307000005</v>
      </c>
      <c r="O70" s="207">
        <f t="shared" si="27"/>
        <v>447.33499911999996</v>
      </c>
      <c r="P70" s="207">
        <f t="shared" si="27"/>
        <v>474.09824527000006</v>
      </c>
      <c r="Q70" s="207">
        <f t="shared" si="27"/>
        <v>487.74024132999995</v>
      </c>
      <c r="R70" s="207">
        <f t="shared" si="27"/>
        <v>1815.5617487899997</v>
      </c>
      <c r="S70" s="207">
        <f t="shared" si="27"/>
        <v>507.08572290999996</v>
      </c>
      <c r="T70" s="207">
        <f t="shared" si="27"/>
        <v>509.99797374000002</v>
      </c>
      <c r="U70" s="207">
        <f t="shared" si="27"/>
        <v>543.92654571000003</v>
      </c>
      <c r="V70" s="207">
        <f t="shared" si="27"/>
        <v>577.70454937</v>
      </c>
      <c r="W70" s="207">
        <f t="shared" si="27"/>
        <v>2138.7147917300003</v>
      </c>
      <c r="X70" s="207">
        <f t="shared" si="27"/>
        <v>529.21786913000005</v>
      </c>
      <c r="Y70" s="207">
        <f t="shared" si="27"/>
        <v>539.57049873999995</v>
      </c>
      <c r="Z70" s="207">
        <f t="shared" si="27"/>
        <v>619.07765617999996</v>
      </c>
      <c r="AA70" s="207">
        <f t="shared" si="27"/>
        <v>584.0259389900001</v>
      </c>
      <c r="AB70" s="207">
        <f t="shared" si="27"/>
        <v>2271.8919630400005</v>
      </c>
      <c r="AC70" s="328"/>
      <c r="AD70" s="328"/>
      <c r="AE70" s="328"/>
      <c r="AF70" s="328"/>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row>
    <row r="71" spans="1:59" ht="15.75" customHeight="1" x14ac:dyDescent="0.2">
      <c r="A71" s="268"/>
      <c r="B71" s="268"/>
      <c r="C71" s="304"/>
      <c r="D71" s="305"/>
      <c r="E71" s="305"/>
      <c r="F71" s="305"/>
      <c r="G71" s="305"/>
      <c r="H71" s="305"/>
      <c r="I71" s="305"/>
      <c r="J71" s="305"/>
      <c r="K71" s="305"/>
      <c r="L71" s="305"/>
      <c r="M71" s="305"/>
      <c r="N71" s="305"/>
      <c r="O71" s="305"/>
      <c r="P71" s="305"/>
      <c r="Q71" s="305"/>
      <c r="R71" s="306"/>
      <c r="S71" s="305"/>
      <c r="T71" s="305"/>
      <c r="U71" s="305"/>
      <c r="V71" s="305"/>
      <c r="W71" s="305"/>
      <c r="X71" s="305"/>
      <c r="Y71" s="305"/>
      <c r="Z71" s="305"/>
      <c r="AA71" s="305"/>
      <c r="AB71" s="305"/>
      <c r="AC71" s="270"/>
      <c r="AD71" s="270"/>
      <c r="AE71" s="270"/>
      <c r="AF71" s="270"/>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row>
    <row r="72" spans="1:59" ht="15.75" customHeight="1" x14ac:dyDescent="0.2">
      <c r="A72" s="210"/>
      <c r="B72" s="211" t="s">
        <v>209</v>
      </c>
      <c r="C72" s="211"/>
      <c r="D72" s="277" t="s">
        <v>98</v>
      </c>
      <c r="E72" s="277" t="s">
        <v>99</v>
      </c>
      <c r="F72" s="277" t="s">
        <v>100</v>
      </c>
      <c r="G72" s="277" t="s">
        <v>101</v>
      </c>
      <c r="H72" s="159">
        <v>2018</v>
      </c>
      <c r="I72" s="277" t="s">
        <v>102</v>
      </c>
      <c r="J72" s="277" t="s">
        <v>103</v>
      </c>
      <c r="K72" s="277" t="s">
        <v>104</v>
      </c>
      <c r="L72" s="277" t="s">
        <v>105</v>
      </c>
      <c r="M72" s="159">
        <v>2019</v>
      </c>
      <c r="N72" s="277" t="s">
        <v>158</v>
      </c>
      <c r="O72" s="277" t="s">
        <v>107</v>
      </c>
      <c r="P72" s="277" t="s">
        <v>108</v>
      </c>
      <c r="Q72" s="277" t="s">
        <v>109</v>
      </c>
      <c r="R72" s="159">
        <v>2020</v>
      </c>
      <c r="S72" s="277" t="s">
        <v>110</v>
      </c>
      <c r="T72" s="277" t="s">
        <v>111</v>
      </c>
      <c r="U72" s="277" t="s">
        <v>112</v>
      </c>
      <c r="V72" s="277" t="s">
        <v>113</v>
      </c>
      <c r="W72" s="159">
        <v>2021</v>
      </c>
      <c r="X72" s="277" t="s">
        <v>114</v>
      </c>
      <c r="Y72" s="277" t="s">
        <v>115</v>
      </c>
      <c r="Z72" s="277" t="str">
        <f>$Z$4</f>
        <v>3Q22</v>
      </c>
      <c r="AA72" s="277" t="str">
        <f>$AA$4</f>
        <v>4Q22</v>
      </c>
      <c r="AB72" s="160">
        <v>2022</v>
      </c>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row>
    <row r="73" spans="1:59" ht="15.75" customHeight="1" x14ac:dyDescent="0.2">
      <c r="A73" s="307"/>
      <c r="B73" s="307"/>
      <c r="C73" s="308" t="s">
        <v>19</v>
      </c>
      <c r="D73" s="140">
        <f t="shared" ref="D73:AB73" si="28">D63/$D$70</f>
        <v>0.39241272439541663</v>
      </c>
      <c r="E73" s="140">
        <f t="shared" si="28"/>
        <v>0.39557566680940476</v>
      </c>
      <c r="F73" s="140">
        <f t="shared" si="28"/>
        <v>0.49321575544963098</v>
      </c>
      <c r="G73" s="140">
        <f t="shared" si="28"/>
        <v>0.44465532586944506</v>
      </c>
      <c r="H73" s="140">
        <f t="shared" si="28"/>
        <v>1.7258594725238974</v>
      </c>
      <c r="I73" s="140">
        <f t="shared" si="28"/>
        <v>0.39723542536538331</v>
      </c>
      <c r="J73" s="140">
        <f t="shared" si="28"/>
        <v>0.40273497961868238</v>
      </c>
      <c r="K73" s="140">
        <f t="shared" si="28"/>
        <v>0.45636092642634013</v>
      </c>
      <c r="L73" s="140">
        <f t="shared" si="28"/>
        <v>0.45397893484787244</v>
      </c>
      <c r="M73" s="140">
        <f t="shared" si="28"/>
        <v>1.7103102662582783</v>
      </c>
      <c r="N73" s="140">
        <f t="shared" si="28"/>
        <v>0.42692039704910728</v>
      </c>
      <c r="O73" s="140">
        <f t="shared" si="28"/>
        <v>0.42124733130545727</v>
      </c>
      <c r="P73" s="140">
        <f t="shared" si="28"/>
        <v>0.45070778764524955</v>
      </c>
      <c r="Q73" s="140">
        <f t="shared" si="28"/>
        <v>0.45032362534834652</v>
      </c>
      <c r="R73" s="140">
        <f t="shared" si="28"/>
        <v>1.7491991413481605</v>
      </c>
      <c r="S73" s="140">
        <f t="shared" si="28"/>
        <v>0.4771017945671886</v>
      </c>
      <c r="T73" s="140">
        <f t="shared" si="28"/>
        <v>0.48681064051077566</v>
      </c>
      <c r="U73" s="140">
        <f t="shared" si="28"/>
        <v>0.49383931267551073</v>
      </c>
      <c r="V73" s="140">
        <f t="shared" si="28"/>
        <v>0.51693541312941516</v>
      </c>
      <c r="W73" s="140">
        <f t="shared" si="28"/>
        <v>1.9746871608828904</v>
      </c>
      <c r="X73" s="140">
        <f t="shared" si="28"/>
        <v>0.47008058140576853</v>
      </c>
      <c r="Y73" s="140">
        <f t="shared" si="28"/>
        <v>0.48663967806536207</v>
      </c>
      <c r="Z73" s="140">
        <f t="shared" si="28"/>
        <v>0.51425761190925523</v>
      </c>
      <c r="AA73" s="140">
        <f t="shared" si="28"/>
        <v>0.51268220461214586</v>
      </c>
      <c r="AB73" s="140">
        <f t="shared" si="28"/>
        <v>1.9836600759925318</v>
      </c>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row>
    <row r="74" spans="1:59" ht="15.75" customHeight="1" x14ac:dyDescent="0.2">
      <c r="A74" s="307"/>
      <c r="B74" s="307"/>
      <c r="C74" s="308" t="s">
        <v>27</v>
      </c>
      <c r="D74" s="140">
        <f t="shared" ref="D74:AB74" si="29">D64/$D$70</f>
        <v>4.3992536172090639E-2</v>
      </c>
      <c r="E74" s="140">
        <f t="shared" si="29"/>
        <v>5.0655898669897975E-2</v>
      </c>
      <c r="F74" s="140">
        <f t="shared" si="29"/>
        <v>5.2974993055131973E-2</v>
      </c>
      <c r="G74" s="140">
        <f t="shared" si="29"/>
        <v>4.8347046838853748E-2</v>
      </c>
      <c r="H74" s="140">
        <f t="shared" si="29"/>
        <v>0.19597047473597431</v>
      </c>
      <c r="I74" s="140">
        <f t="shared" si="29"/>
        <v>5.1474188417621726E-2</v>
      </c>
      <c r="J74" s="140">
        <f t="shared" si="29"/>
        <v>6.2737867131962305E-2</v>
      </c>
      <c r="K74" s="140">
        <f t="shared" si="29"/>
        <v>4.3096199326482516E-2</v>
      </c>
      <c r="L74" s="140">
        <f t="shared" si="29"/>
        <v>3.87862437549523E-2</v>
      </c>
      <c r="M74" s="140">
        <f t="shared" si="29"/>
        <v>0.19609449863101885</v>
      </c>
      <c r="N74" s="140">
        <f t="shared" si="29"/>
        <v>2.6671895243955971E-2</v>
      </c>
      <c r="O74" s="140">
        <f t="shared" si="29"/>
        <v>3.0677676577852885E-2</v>
      </c>
      <c r="P74" s="140">
        <f t="shared" si="29"/>
        <v>2.7600622570162971E-2</v>
      </c>
      <c r="Q74" s="140">
        <f t="shared" si="29"/>
        <v>2.1210933226322875E-2</v>
      </c>
      <c r="R74" s="140">
        <f t="shared" si="29"/>
        <v>0.10616112761829472</v>
      </c>
      <c r="S74" s="140">
        <f t="shared" si="29"/>
        <v>2.0813320456916837E-2</v>
      </c>
      <c r="T74" s="140">
        <f t="shared" si="29"/>
        <v>2.3342963630099123E-2</v>
      </c>
      <c r="U74" s="140">
        <f t="shared" si="29"/>
        <v>2.5004508738136401E-2</v>
      </c>
      <c r="V74" s="140">
        <f t="shared" si="29"/>
        <v>3.1735066921457396E-2</v>
      </c>
      <c r="W74" s="140">
        <f t="shared" si="29"/>
        <v>0.10089585974660975</v>
      </c>
      <c r="X74" s="140">
        <f t="shared" si="29"/>
        <v>2.9703692885024661E-2</v>
      </c>
      <c r="Y74" s="140">
        <f t="shared" si="29"/>
        <v>2.932772641828383E-2</v>
      </c>
      <c r="Z74" s="140">
        <f t="shared" si="29"/>
        <v>3.8307340155680283E-2</v>
      </c>
      <c r="AA74" s="140">
        <f t="shared" si="29"/>
        <v>4.4602148273381867E-2</v>
      </c>
      <c r="AB74" s="140">
        <f t="shared" si="29"/>
        <v>0.14194090773237064</v>
      </c>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row>
    <row r="75" spans="1:59" ht="15.75" customHeight="1" x14ac:dyDescent="0.2">
      <c r="A75" s="307"/>
      <c r="B75" s="307"/>
      <c r="C75" s="308" t="s">
        <v>21</v>
      </c>
      <c r="D75" s="140">
        <f t="shared" ref="D75:AB75" si="30">D65/$D$70</f>
        <v>0.1252414365727311</v>
      </c>
      <c r="E75" s="140">
        <f t="shared" si="30"/>
        <v>0.12882932858471699</v>
      </c>
      <c r="F75" s="140">
        <f t="shared" si="30"/>
        <v>0.14312888560680789</v>
      </c>
      <c r="G75" s="140">
        <f t="shared" si="30"/>
        <v>0.13864971843153828</v>
      </c>
      <c r="H75" s="140">
        <f t="shared" si="30"/>
        <v>0.53584936919579429</v>
      </c>
      <c r="I75" s="140">
        <f t="shared" si="30"/>
        <v>0.13832605670404452</v>
      </c>
      <c r="J75" s="140">
        <f t="shared" si="30"/>
        <v>0.11600001954977004</v>
      </c>
      <c r="K75" s="140">
        <f t="shared" si="30"/>
        <v>0.11294508454901669</v>
      </c>
      <c r="L75" s="140">
        <f t="shared" si="30"/>
        <v>9.5529443050277343E-2</v>
      </c>
      <c r="M75" s="140">
        <f t="shared" si="30"/>
        <v>0.46280060385310856</v>
      </c>
      <c r="N75" s="140">
        <f t="shared" si="30"/>
        <v>9.259484899809757E-2</v>
      </c>
      <c r="O75" s="140">
        <f t="shared" si="30"/>
        <v>9.2837839211394158E-2</v>
      </c>
      <c r="P75" s="140">
        <f t="shared" si="30"/>
        <v>0.10001863727802429</v>
      </c>
      <c r="Q75" s="140">
        <f t="shared" si="30"/>
        <v>9.2480601408210864E-2</v>
      </c>
      <c r="R75" s="140">
        <f t="shared" si="30"/>
        <v>0.37793192689572691</v>
      </c>
      <c r="S75" s="140">
        <f t="shared" si="30"/>
        <v>0.11035585427444342</v>
      </c>
      <c r="T75" s="140">
        <f t="shared" si="30"/>
        <v>0.11194819585930156</v>
      </c>
      <c r="U75" s="140">
        <f t="shared" si="30"/>
        <v>0.12499512077501722</v>
      </c>
      <c r="V75" s="140">
        <f t="shared" si="30"/>
        <v>0.14240155041473262</v>
      </c>
      <c r="W75" s="140">
        <f t="shared" si="30"/>
        <v>0.4897007213234949</v>
      </c>
      <c r="X75" s="140">
        <f t="shared" si="30"/>
        <v>0.16291835647273969</v>
      </c>
      <c r="Y75" s="140">
        <f t="shared" si="30"/>
        <v>0.15413537162577867</v>
      </c>
      <c r="Z75" s="140">
        <f t="shared" si="30"/>
        <v>0.17084031365245844</v>
      </c>
      <c r="AA75" s="140">
        <f t="shared" si="30"/>
        <v>0.14555536914826708</v>
      </c>
      <c r="AB75" s="140">
        <f t="shared" si="30"/>
        <v>0.63344941089924389</v>
      </c>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row>
    <row r="76" spans="1:59" ht="15.75" customHeight="1" x14ac:dyDescent="0.2">
      <c r="A76" s="307"/>
      <c r="B76" s="307"/>
      <c r="C76" s="308" t="s">
        <v>23</v>
      </c>
      <c r="D76" s="140">
        <f t="shared" ref="D76:AB76" si="31">D66/$D$70</f>
        <v>0.36187946092195111</v>
      </c>
      <c r="E76" s="140">
        <f t="shared" si="31"/>
        <v>0.40186605286863103</v>
      </c>
      <c r="F76" s="140">
        <f t="shared" si="31"/>
        <v>0.41627806762347236</v>
      </c>
      <c r="G76" s="140">
        <f t="shared" si="31"/>
        <v>0.37803436343735253</v>
      </c>
      <c r="H76" s="140">
        <f t="shared" si="31"/>
        <v>1.5580579448514071</v>
      </c>
      <c r="I76" s="140">
        <f t="shared" si="31"/>
        <v>0.35458586384697838</v>
      </c>
      <c r="J76" s="140">
        <f t="shared" si="31"/>
        <v>0.38142002077735931</v>
      </c>
      <c r="K76" s="140">
        <f t="shared" si="31"/>
        <v>0.43928974659841052</v>
      </c>
      <c r="L76" s="140">
        <f t="shared" si="31"/>
        <v>0.45317495455844936</v>
      </c>
      <c r="M76" s="140">
        <f t="shared" si="31"/>
        <v>1.6284705857811976</v>
      </c>
      <c r="N76" s="140">
        <f t="shared" si="31"/>
        <v>0.47122310383400118</v>
      </c>
      <c r="O76" s="140">
        <f t="shared" si="31"/>
        <v>0.57640690487500879</v>
      </c>
      <c r="P76" s="140">
        <f t="shared" si="31"/>
        <v>0.61289555545943131</v>
      </c>
      <c r="Q76" s="140">
        <f t="shared" si="31"/>
        <v>0.65680615450308644</v>
      </c>
      <c r="R76" s="140">
        <f t="shared" si="31"/>
        <v>2.3173317186715274</v>
      </c>
      <c r="S76" s="140">
        <f t="shared" si="31"/>
        <v>0.63647129998020968</v>
      </c>
      <c r="T76" s="140">
        <f t="shared" si="31"/>
        <v>0.6551177698264592</v>
      </c>
      <c r="U76" s="140">
        <f t="shared" si="31"/>
        <v>0.71836893595818962</v>
      </c>
      <c r="V76" s="140">
        <f t="shared" si="31"/>
        <v>0.76344469226228473</v>
      </c>
      <c r="W76" s="140">
        <f t="shared" si="31"/>
        <v>2.7734026980271436</v>
      </c>
      <c r="X76" s="140">
        <f t="shared" si="31"/>
        <v>0.65496121472659674</v>
      </c>
      <c r="Y76" s="140">
        <f t="shared" si="31"/>
        <v>0.68068943153524786</v>
      </c>
      <c r="Z76" s="140">
        <f t="shared" si="31"/>
        <v>0.82551165148969352</v>
      </c>
      <c r="AA76" s="140">
        <f t="shared" si="31"/>
        <v>0.7620821289522266</v>
      </c>
      <c r="AB76" s="140">
        <f t="shared" si="31"/>
        <v>2.9232444267037652</v>
      </c>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row>
    <row r="77" spans="1:59" ht="15.75" customHeight="1" x14ac:dyDescent="0.2">
      <c r="A77" s="307"/>
      <c r="B77" s="307"/>
      <c r="C77" s="308" t="s">
        <v>25</v>
      </c>
      <c r="D77" s="140">
        <f t="shared" ref="D77:AB77" si="32">D67/$D$70</f>
        <v>1.9763198816169659E-2</v>
      </c>
      <c r="E77" s="140">
        <f t="shared" si="32"/>
        <v>2.4112567265041303E-2</v>
      </c>
      <c r="F77" s="140">
        <f t="shared" si="32"/>
        <v>2.5478666316290755E-2</v>
      </c>
      <c r="G77" s="140">
        <f t="shared" si="32"/>
        <v>2.446148181163673E-2</v>
      </c>
      <c r="H77" s="140">
        <f t="shared" si="32"/>
        <v>9.3815914209138443E-2</v>
      </c>
      <c r="I77" s="140">
        <f t="shared" si="32"/>
        <v>2.0943575284710463E-2</v>
      </c>
      <c r="J77" s="140">
        <f t="shared" si="32"/>
        <v>2.1992931850482993E-2</v>
      </c>
      <c r="K77" s="140">
        <f t="shared" si="32"/>
        <v>2.6735635181604888E-2</v>
      </c>
      <c r="L77" s="140">
        <f t="shared" si="32"/>
        <v>2.4539996630347477E-2</v>
      </c>
      <c r="M77" s="140">
        <f t="shared" si="32"/>
        <v>9.4212138947145807E-2</v>
      </c>
      <c r="N77" s="140">
        <f t="shared" si="32"/>
        <v>2.4300142862953528E-2</v>
      </c>
      <c r="O77" s="140">
        <f t="shared" si="32"/>
        <v>2.6411347166783762E-2</v>
      </c>
      <c r="P77" s="140">
        <f t="shared" si="32"/>
        <v>2.7538490348620069E-2</v>
      </c>
      <c r="Q77" s="140">
        <f t="shared" si="32"/>
        <v>2.9661750276822139E-2</v>
      </c>
      <c r="R77" s="140">
        <f t="shared" si="32"/>
        <v>0.10791173065517951</v>
      </c>
      <c r="S77" s="140">
        <f t="shared" si="32"/>
        <v>2.9403128210700683E-2</v>
      </c>
      <c r="T77" s="140">
        <f t="shared" si="32"/>
        <v>2.9671128448634201E-2</v>
      </c>
      <c r="U77" s="140">
        <f t="shared" si="32"/>
        <v>3.0606344529852291E-2</v>
      </c>
      <c r="V77" s="140">
        <f t="shared" si="32"/>
        <v>3.2546780122914093E-2</v>
      </c>
      <c r="W77" s="140">
        <f t="shared" si="32"/>
        <v>0.12222738131210127</v>
      </c>
      <c r="X77" s="140">
        <f t="shared" si="32"/>
        <v>3.0764499470428714E-2</v>
      </c>
      <c r="Y77" s="140">
        <f t="shared" si="32"/>
        <v>2.8823322299463713E-2</v>
      </c>
      <c r="Z77" s="140">
        <f t="shared" si="32"/>
        <v>3.6150866729675754E-2</v>
      </c>
      <c r="AA77" s="140">
        <f t="shared" si="32"/>
        <v>3.6466596930329755E-2</v>
      </c>
      <c r="AB77" s="140">
        <f t="shared" si="32"/>
        <v>0.13220528542989793</v>
      </c>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row>
    <row r="78" spans="1:59" ht="15.75" customHeight="1" x14ac:dyDescent="0.2">
      <c r="A78" s="307"/>
      <c r="B78" s="307"/>
      <c r="C78" s="308" t="s">
        <v>29</v>
      </c>
      <c r="D78" s="140">
        <f t="shared" ref="D78:AB78" si="33">D68/$D$70</f>
        <v>5.6709351118383974E-2</v>
      </c>
      <c r="E78" s="140">
        <f t="shared" si="33"/>
        <v>7.4925648122578778E-2</v>
      </c>
      <c r="F78" s="140">
        <f t="shared" si="33"/>
        <v>3.2674170012175104E-2</v>
      </c>
      <c r="G78" s="140">
        <f t="shared" si="33"/>
        <v>5.7523133249892451E-2</v>
      </c>
      <c r="H78" s="140">
        <f t="shared" si="33"/>
        <v>0.22183230250303029</v>
      </c>
      <c r="I78" s="140">
        <f t="shared" si="33"/>
        <v>1.5651039655495139E-2</v>
      </c>
      <c r="J78" s="140">
        <f t="shared" si="33"/>
        <v>1.428232078406326E-2</v>
      </c>
      <c r="K78" s="140">
        <f t="shared" si="33"/>
        <v>9.5375547973828231E-3</v>
      </c>
      <c r="L78" s="140">
        <f t="shared" si="33"/>
        <v>5.7415767487454354E-3</v>
      </c>
      <c r="M78" s="140">
        <f t="shared" si="33"/>
        <v>4.5212491985686658E-2</v>
      </c>
      <c r="N78" s="140">
        <f t="shared" si="33"/>
        <v>7.6187131162631884E-3</v>
      </c>
      <c r="O78" s="140">
        <f t="shared" si="33"/>
        <v>7.4835021363987425E-3</v>
      </c>
      <c r="P78" s="140">
        <f t="shared" si="33"/>
        <v>5.4031817635733807E-3</v>
      </c>
      <c r="Q78" s="140">
        <f t="shared" si="33"/>
        <v>8.9089461917405272E-3</v>
      </c>
      <c r="R78" s="140">
        <f t="shared" si="33"/>
        <v>2.9414343207975837E-2</v>
      </c>
      <c r="S78" s="140">
        <f t="shared" si="33"/>
        <v>3.519849923227613E-2</v>
      </c>
      <c r="T78" s="140">
        <f t="shared" si="33"/>
        <v>9.9729230485017199E-3</v>
      </c>
      <c r="U78" s="140">
        <f t="shared" si="33"/>
        <v>1.1656084042116112E-2</v>
      </c>
      <c r="V78" s="140">
        <f t="shared" si="33"/>
        <v>4.6250749257895187E-3</v>
      </c>
      <c r="W78" s="140">
        <f t="shared" si="33"/>
        <v>6.1452581248683483E-2</v>
      </c>
      <c r="X78" s="140">
        <f t="shared" si="33"/>
        <v>1.8062872721266193E-2</v>
      </c>
      <c r="Y78" s="140">
        <f t="shared" si="33"/>
        <v>2.0702335396668898E-2</v>
      </c>
      <c r="Z78" s="140">
        <f t="shared" si="33"/>
        <v>1.5045840407505185E-2</v>
      </c>
      <c r="AA78" s="140">
        <f t="shared" si="33"/>
        <v>5.9761631698871751E-3</v>
      </c>
      <c r="AB78" s="140">
        <f t="shared" si="33"/>
        <v>5.9787211695327448E-2</v>
      </c>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row>
    <row r="79" spans="1:59" ht="15.75" customHeight="1" x14ac:dyDescent="0.2">
      <c r="A79" s="307"/>
      <c r="B79" s="307"/>
      <c r="C79" s="308" t="s">
        <v>208</v>
      </c>
      <c r="D79" s="140">
        <f t="shared" ref="D79:AB79" si="34">D69/$D$70</f>
        <v>1.2920032570485235E-6</v>
      </c>
      <c r="E79" s="140">
        <f t="shared" si="34"/>
        <v>-1.6319511920757147E-3</v>
      </c>
      <c r="F79" s="140">
        <f t="shared" si="34"/>
        <v>1.6328787066948259E-3</v>
      </c>
      <c r="G79" s="140">
        <f t="shared" si="34"/>
        <v>3.356724492228908E-10</v>
      </c>
      <c r="H79" s="140">
        <f t="shared" si="34"/>
        <v>2.2198535486087691E-6</v>
      </c>
      <c r="I79" s="140">
        <f t="shared" si="34"/>
        <v>5.1641915264655322E-11</v>
      </c>
      <c r="J79" s="140">
        <f t="shared" si="34"/>
        <v>2.3238861869094896E-10</v>
      </c>
      <c r="K79" s="140">
        <f t="shared" si="34"/>
        <v>-1.0896444120842271E-8</v>
      </c>
      <c r="L79" s="140">
        <f t="shared" si="34"/>
        <v>1.0793160290312962E-8</v>
      </c>
      <c r="M79" s="140">
        <f t="shared" si="34"/>
        <v>1.8074670342629408E-10</v>
      </c>
      <c r="N79" s="140">
        <f t="shared" si="34"/>
        <v>4.3111961910815885E-6</v>
      </c>
      <c r="O79" s="140">
        <f t="shared" si="34"/>
        <v>-2.7952994104028954E-6</v>
      </c>
      <c r="P79" s="140">
        <f t="shared" si="34"/>
        <v>2.7954026942334247E-6</v>
      </c>
      <c r="Q79" s="140">
        <f t="shared" si="34"/>
        <v>-2.5820957632327665E-10</v>
      </c>
      <c r="R79" s="140">
        <f t="shared" si="34"/>
        <v>4.3110412653357943E-6</v>
      </c>
      <c r="S79" s="140">
        <f t="shared" si="34"/>
        <v>0</v>
      </c>
      <c r="T79" s="140">
        <f t="shared" si="34"/>
        <v>-1.4072421909618576E-8</v>
      </c>
      <c r="U79" s="140">
        <f t="shared" si="34"/>
        <v>1.2246880205013009E-7</v>
      </c>
      <c r="V79" s="140">
        <f t="shared" si="34"/>
        <v>-1.0844802205577617E-7</v>
      </c>
      <c r="W79" s="140">
        <f t="shared" si="34"/>
        <v>-5.164191526464608E-11</v>
      </c>
      <c r="X79" s="140">
        <f t="shared" si="34"/>
        <v>2.5820957632327661E-11</v>
      </c>
      <c r="Y79" s="140">
        <f t="shared" si="34"/>
        <v>-7.0951665788604274E-3</v>
      </c>
      <c r="Z79" s="140">
        <f t="shared" si="34"/>
        <v>-1.5958312098192839E-3</v>
      </c>
      <c r="AA79" s="140">
        <f t="shared" si="34"/>
        <v>6.4629159787860059E-4</v>
      </c>
      <c r="AB79" s="140">
        <f t="shared" si="34"/>
        <v>-8.0447061649801532E-3</v>
      </c>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row>
    <row r="80" spans="1:59" ht="15.75" customHeight="1" x14ac:dyDescent="0.2">
      <c r="A80" s="307"/>
      <c r="B80" s="268"/>
      <c r="C80" s="304"/>
      <c r="D80" s="305"/>
      <c r="E80" s="305"/>
      <c r="F80" s="305"/>
      <c r="G80" s="305"/>
      <c r="H80" s="305"/>
      <c r="I80" s="305"/>
      <c r="J80" s="305"/>
      <c r="K80" s="305"/>
      <c r="L80" s="305"/>
      <c r="M80" s="305"/>
      <c r="N80" s="305"/>
      <c r="O80" s="305"/>
      <c r="P80" s="305"/>
      <c r="Q80" s="305"/>
      <c r="R80" s="306"/>
      <c r="S80" s="305"/>
      <c r="T80" s="305"/>
      <c r="U80" s="305"/>
      <c r="V80" s="305"/>
      <c r="W80" s="305"/>
      <c r="X80" s="305"/>
      <c r="Y80" s="305"/>
      <c r="Z80" s="305"/>
      <c r="AA80" s="305"/>
      <c r="AB80" s="305"/>
      <c r="AC80" s="270"/>
      <c r="AD80" s="270"/>
      <c r="AE80" s="270"/>
      <c r="AF80" s="270"/>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row>
    <row r="81" spans="1:59" ht="15.75" customHeight="1" x14ac:dyDescent="0.2">
      <c r="A81" s="307"/>
      <c r="B81" s="211" t="s">
        <v>210</v>
      </c>
      <c r="C81" s="211"/>
      <c r="D81" s="277" t="s">
        <v>98</v>
      </c>
      <c r="E81" s="277" t="s">
        <v>99</v>
      </c>
      <c r="F81" s="277" t="s">
        <v>100</v>
      </c>
      <c r="G81" s="277" t="s">
        <v>101</v>
      </c>
      <c r="H81" s="159">
        <v>2018</v>
      </c>
      <c r="I81" s="277" t="s">
        <v>102</v>
      </c>
      <c r="J81" s="277" t="s">
        <v>103</v>
      </c>
      <c r="K81" s="277" t="s">
        <v>104</v>
      </c>
      <c r="L81" s="277" t="s">
        <v>105</v>
      </c>
      <c r="M81" s="159">
        <v>2019</v>
      </c>
      <c r="N81" s="277" t="s">
        <v>158</v>
      </c>
      <c r="O81" s="277" t="s">
        <v>107</v>
      </c>
      <c r="P81" s="277" t="s">
        <v>108</v>
      </c>
      <c r="Q81" s="277" t="s">
        <v>109</v>
      </c>
      <c r="R81" s="159">
        <v>2020</v>
      </c>
      <c r="S81" s="277" t="s">
        <v>110</v>
      </c>
      <c r="T81" s="277" t="s">
        <v>111</v>
      </c>
      <c r="U81" s="277" t="s">
        <v>112</v>
      </c>
      <c r="V81" s="277" t="s">
        <v>113</v>
      </c>
      <c r="W81" s="159">
        <v>2021</v>
      </c>
      <c r="X81" s="277" t="s">
        <v>114</v>
      </c>
      <c r="Y81" s="277" t="s">
        <v>115</v>
      </c>
      <c r="Z81" s="277" t="str">
        <f>$Z$4</f>
        <v>3Q22</v>
      </c>
      <c r="AA81" s="277" t="str">
        <f>$AA$4</f>
        <v>4Q22</v>
      </c>
      <c r="AB81" s="160">
        <v>2022</v>
      </c>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row>
    <row r="82" spans="1:59" ht="15.75" customHeight="1" x14ac:dyDescent="0.2">
      <c r="A82" s="307"/>
      <c r="B82" s="307"/>
      <c r="C82" s="308" t="s">
        <v>19</v>
      </c>
      <c r="D82" s="330" t="s">
        <v>146</v>
      </c>
      <c r="E82" s="331" t="s">
        <v>146</v>
      </c>
      <c r="F82" s="330" t="s">
        <v>146</v>
      </c>
      <c r="G82" s="330" t="s">
        <v>146</v>
      </c>
      <c r="H82" s="330" t="s">
        <v>146</v>
      </c>
      <c r="I82" s="325">
        <f t="shared" ref="I82:AB82" si="35">I63/D63-1</f>
        <v>1.2289868982706897E-2</v>
      </c>
      <c r="J82" s="325">
        <f t="shared" si="35"/>
        <v>1.8098466134235602E-2</v>
      </c>
      <c r="K82" s="325">
        <f t="shared" si="35"/>
        <v>-7.4723543633947398E-2</v>
      </c>
      <c r="L82" s="325">
        <f t="shared" si="35"/>
        <v>2.0968171156382054E-2</v>
      </c>
      <c r="M82" s="325">
        <f t="shared" si="35"/>
        <v>-9.0095436581981714E-3</v>
      </c>
      <c r="N82" s="325">
        <f t="shared" si="35"/>
        <v>7.4728913355144977E-2</v>
      </c>
      <c r="O82" s="325">
        <f t="shared" si="35"/>
        <v>4.5966585033916818E-2</v>
      </c>
      <c r="P82" s="325">
        <f t="shared" si="35"/>
        <v>-1.2387429452733967E-2</v>
      </c>
      <c r="Q82" s="325">
        <f t="shared" si="35"/>
        <v>-8.0517161016530059E-3</v>
      </c>
      <c r="R82" s="325">
        <f t="shared" si="35"/>
        <v>2.2737906599228364E-2</v>
      </c>
      <c r="S82" s="325">
        <f t="shared" si="35"/>
        <v>0.11754275004178161</v>
      </c>
      <c r="T82" s="325">
        <f t="shared" si="35"/>
        <v>0.15564088917106211</v>
      </c>
      <c r="U82" s="325">
        <f t="shared" si="35"/>
        <v>9.5697314784828791E-2</v>
      </c>
      <c r="V82" s="325">
        <f t="shared" si="35"/>
        <v>0.14791981595356285</v>
      </c>
      <c r="W82" s="325">
        <f t="shared" si="35"/>
        <v>0.12890929008857133</v>
      </c>
      <c r="X82" s="325">
        <f t="shared" si="35"/>
        <v>-1.4716383885727047E-2</v>
      </c>
      <c r="Y82" s="325">
        <f t="shared" si="35"/>
        <v>-3.5118880153117704E-4</v>
      </c>
      <c r="Z82" s="325">
        <f t="shared" si="35"/>
        <v>4.1346038498074833E-2</v>
      </c>
      <c r="AA82" s="325">
        <f t="shared" si="35"/>
        <v>-8.2277367911810506E-3</v>
      </c>
      <c r="AB82" s="325">
        <f t="shared" si="35"/>
        <v>4.5439679192675886E-3</v>
      </c>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row>
    <row r="83" spans="1:59" ht="15.75" customHeight="1" x14ac:dyDescent="0.2">
      <c r="A83" s="307"/>
      <c r="B83" s="307"/>
      <c r="C83" s="308" t="s">
        <v>27</v>
      </c>
      <c r="D83" s="330" t="s">
        <v>146</v>
      </c>
      <c r="E83" s="330" t="s">
        <v>146</v>
      </c>
      <c r="F83" s="330" t="s">
        <v>146</v>
      </c>
      <c r="G83" s="330" t="s">
        <v>146</v>
      </c>
      <c r="H83" s="330" t="s">
        <v>146</v>
      </c>
      <c r="I83" s="325">
        <f t="shared" ref="I83:AB83" si="36">I64/D64-1</f>
        <v>0.1700663998152836</v>
      </c>
      <c r="J83" s="325">
        <f t="shared" si="36"/>
        <v>0.23851059361906013</v>
      </c>
      <c r="K83" s="325">
        <f t="shared" si="36"/>
        <v>-0.18648032135404768</v>
      </c>
      <c r="L83" s="325">
        <f t="shared" si="36"/>
        <v>-0.19775361080002885</v>
      </c>
      <c r="M83" s="325">
        <f t="shared" si="36"/>
        <v>6.3287030973224745E-4</v>
      </c>
      <c r="N83" s="325">
        <f t="shared" si="36"/>
        <v>-0.48183942158425397</v>
      </c>
      <c r="O83" s="325">
        <f t="shared" si="36"/>
        <v>-0.5110181780116031</v>
      </c>
      <c r="P83" s="325">
        <f t="shared" si="36"/>
        <v>-0.35955784961291359</v>
      </c>
      <c r="Q83" s="325">
        <f t="shared" si="36"/>
        <v>-0.45313257555097419</v>
      </c>
      <c r="R83" s="325">
        <f t="shared" si="36"/>
        <v>-0.45862261124391479</v>
      </c>
      <c r="S83" s="325">
        <f t="shared" si="36"/>
        <v>-0.21965348669276608</v>
      </c>
      <c r="T83" s="325">
        <f t="shared" si="36"/>
        <v>-0.23908958454333884</v>
      </c>
      <c r="U83" s="325">
        <f t="shared" si="36"/>
        <v>-9.4059973662805718E-2</v>
      </c>
      <c r="V83" s="325">
        <f t="shared" si="36"/>
        <v>0.49616551911417184</v>
      </c>
      <c r="W83" s="325">
        <f t="shared" si="36"/>
        <v>-4.9596947487373977E-2</v>
      </c>
      <c r="X83" s="325">
        <f t="shared" si="36"/>
        <v>0.42714820283052468</v>
      </c>
      <c r="Y83" s="325">
        <f t="shared" si="36"/>
        <v>0.25638401717200021</v>
      </c>
      <c r="Z83" s="325">
        <f t="shared" si="36"/>
        <v>0.53201730763278943</v>
      </c>
      <c r="AA83" s="325">
        <f t="shared" si="36"/>
        <v>0.40545310283321001</v>
      </c>
      <c r="AB83" s="325">
        <f t="shared" si="36"/>
        <v>0.40680606804720809</v>
      </c>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row>
    <row r="84" spans="1:59" ht="15.75" customHeight="1" x14ac:dyDescent="0.2">
      <c r="A84" s="307"/>
      <c r="B84" s="307"/>
      <c r="C84" s="308" t="s">
        <v>21</v>
      </c>
      <c r="D84" s="330" t="s">
        <v>146</v>
      </c>
      <c r="E84" s="330" t="s">
        <v>146</v>
      </c>
      <c r="F84" s="330" t="s">
        <v>146</v>
      </c>
      <c r="G84" s="330" t="s">
        <v>146</v>
      </c>
      <c r="H84" s="330" t="s">
        <v>146</v>
      </c>
      <c r="I84" s="325">
        <f t="shared" ref="I84:AB84" si="37">I65/D65-1</f>
        <v>0.10447516803845369</v>
      </c>
      <c r="J84" s="325">
        <f t="shared" si="37"/>
        <v>-9.9583760746765893E-2</v>
      </c>
      <c r="K84" s="325">
        <f t="shared" si="37"/>
        <v>-0.21088546123882845</v>
      </c>
      <c r="L84" s="325">
        <f t="shared" si="37"/>
        <v>-0.31100153587800206</v>
      </c>
      <c r="M84" s="325">
        <f t="shared" si="37"/>
        <v>-0.13632332058600294</v>
      </c>
      <c r="N84" s="325">
        <f t="shared" si="37"/>
        <v>-0.33060443415799201</v>
      </c>
      <c r="O84" s="325">
        <f t="shared" si="37"/>
        <v>-0.19967393478272732</v>
      </c>
      <c r="P84" s="325">
        <f t="shared" si="37"/>
        <v>-0.11444895829337742</v>
      </c>
      <c r="Q84" s="325">
        <f t="shared" si="37"/>
        <v>-3.191520378132906E-2</v>
      </c>
      <c r="R84" s="325">
        <f t="shared" si="37"/>
        <v>-0.18338065303025997</v>
      </c>
      <c r="S84" s="325">
        <f t="shared" si="37"/>
        <v>0.19181418263029681</v>
      </c>
      <c r="T84" s="325">
        <f t="shared" si="37"/>
        <v>0.20584663333657116</v>
      </c>
      <c r="U84" s="325">
        <f t="shared" si="37"/>
        <v>0.2497182942771472</v>
      </c>
      <c r="V84" s="325">
        <f t="shared" si="37"/>
        <v>0.53979913891530473</v>
      </c>
      <c r="W84" s="325">
        <f t="shared" si="37"/>
        <v>0.295737900065282</v>
      </c>
      <c r="X84" s="325">
        <f t="shared" si="37"/>
        <v>0.47630007980889588</v>
      </c>
      <c r="Y84" s="325">
        <f t="shared" si="37"/>
        <v>0.37684551718456172</v>
      </c>
      <c r="Z84" s="325">
        <f t="shared" si="37"/>
        <v>0.36677585967503057</v>
      </c>
      <c r="AA84" s="325">
        <f t="shared" si="37"/>
        <v>2.2147362331022435E-2</v>
      </c>
      <c r="AB84" s="325">
        <f t="shared" si="37"/>
        <v>0.29354396127341853</v>
      </c>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row>
    <row r="85" spans="1:59" ht="15.75" customHeight="1" x14ac:dyDescent="0.2">
      <c r="A85" s="307"/>
      <c r="B85" s="307"/>
      <c r="C85" s="308" t="s">
        <v>23</v>
      </c>
      <c r="D85" s="330" t="s">
        <v>146</v>
      </c>
      <c r="E85" s="330" t="s">
        <v>146</v>
      </c>
      <c r="F85" s="330" t="s">
        <v>146</v>
      </c>
      <c r="G85" s="330" t="s">
        <v>146</v>
      </c>
      <c r="H85" s="330" t="s">
        <v>146</v>
      </c>
      <c r="I85" s="325">
        <f t="shared" ref="I85:AB85" si="38">I66/D66-1</f>
        <v>-2.0154769370969605E-2</v>
      </c>
      <c r="J85" s="325">
        <f t="shared" si="38"/>
        <v>-5.0877728898279129E-2</v>
      </c>
      <c r="K85" s="325">
        <f t="shared" si="38"/>
        <v>5.5279585365406447E-2</v>
      </c>
      <c r="L85" s="325">
        <f t="shared" si="38"/>
        <v>0.19876656301259521</v>
      </c>
      <c r="M85" s="325">
        <f t="shared" si="38"/>
        <v>4.5192568840246583E-2</v>
      </c>
      <c r="N85" s="325">
        <f t="shared" si="38"/>
        <v>0.32893933988681989</v>
      </c>
      <c r="O85" s="325">
        <f t="shared" si="38"/>
        <v>0.51121302888152864</v>
      </c>
      <c r="P85" s="325">
        <f t="shared" si="38"/>
        <v>0.39519658768572974</v>
      </c>
      <c r="Q85" s="325">
        <f t="shared" si="38"/>
        <v>0.4493434553174831</v>
      </c>
      <c r="R85" s="325">
        <f t="shared" si="38"/>
        <v>0.42301109943590087</v>
      </c>
      <c r="S85" s="325">
        <f t="shared" si="38"/>
        <v>0.3506793168707214</v>
      </c>
      <c r="T85" s="325">
        <f t="shared" si="38"/>
        <v>0.13655434084107387</v>
      </c>
      <c r="U85" s="325">
        <f t="shared" si="38"/>
        <v>0.17209030080124288</v>
      </c>
      <c r="V85" s="325">
        <f t="shared" si="38"/>
        <v>0.16235922429788552</v>
      </c>
      <c r="W85" s="325">
        <f t="shared" si="38"/>
        <v>0.19680867252663803</v>
      </c>
      <c r="X85" s="325">
        <f t="shared" si="38"/>
        <v>2.9050665359085182E-2</v>
      </c>
      <c r="Y85" s="325">
        <f t="shared" si="38"/>
        <v>3.9033686592813144E-2</v>
      </c>
      <c r="Z85" s="325">
        <f t="shared" si="38"/>
        <v>0.14914720023158079</v>
      </c>
      <c r="AA85" s="325">
        <f t="shared" si="38"/>
        <v>-1.7847570673659163E-3</v>
      </c>
      <c r="AB85" s="325">
        <f t="shared" si="38"/>
        <v>5.402811816084685E-2</v>
      </c>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row>
    <row r="86" spans="1:59" ht="15.75" customHeight="1" x14ac:dyDescent="0.2">
      <c r="A86" s="307"/>
      <c r="B86" s="307"/>
      <c r="C86" s="308" t="s">
        <v>25</v>
      </c>
      <c r="D86" s="330" t="s">
        <v>146</v>
      </c>
      <c r="E86" s="330" t="s">
        <v>146</v>
      </c>
      <c r="F86" s="330" t="s">
        <v>146</v>
      </c>
      <c r="G86" s="330" t="s">
        <v>146</v>
      </c>
      <c r="H86" s="330" t="s">
        <v>146</v>
      </c>
      <c r="I86" s="325">
        <f t="shared" ref="I86:AB86" si="39">I67/D67-1</f>
        <v>5.9725982596251281E-2</v>
      </c>
      <c r="J86" s="325">
        <f t="shared" si="39"/>
        <v>-8.7905837286408772E-2</v>
      </c>
      <c r="K86" s="325">
        <f t="shared" si="39"/>
        <v>4.9334170388284582E-2</v>
      </c>
      <c r="L86" s="325">
        <f t="shared" si="39"/>
        <v>3.2097327265510067E-3</v>
      </c>
      <c r="M86" s="325">
        <f t="shared" si="39"/>
        <v>4.2234277771262541E-3</v>
      </c>
      <c r="N86" s="325">
        <f t="shared" si="39"/>
        <v>0.16026717179914707</v>
      </c>
      <c r="O86" s="325">
        <f t="shared" si="39"/>
        <v>0.20090160540390767</v>
      </c>
      <c r="P86" s="325">
        <f t="shared" si="39"/>
        <v>3.0029403137860511E-2</v>
      </c>
      <c r="Q86" s="325">
        <f t="shared" si="39"/>
        <v>0.20871044620034018</v>
      </c>
      <c r="R86" s="325">
        <f t="shared" si="39"/>
        <v>0.1454121715219665</v>
      </c>
      <c r="S86" s="325">
        <f t="shared" si="39"/>
        <v>0.20999816241931857</v>
      </c>
      <c r="T86" s="325">
        <f t="shared" si="39"/>
        <v>0.12342351419128295</v>
      </c>
      <c r="U86" s="325">
        <f t="shared" si="39"/>
        <v>0.1114024095872761</v>
      </c>
      <c r="V86" s="325">
        <f t="shared" si="39"/>
        <v>9.7264315799540979E-2</v>
      </c>
      <c r="W86" s="325">
        <f t="shared" si="39"/>
        <v>0.1326607456854334</v>
      </c>
      <c r="X86" s="325">
        <f t="shared" si="39"/>
        <v>4.6300218465618492E-2</v>
      </c>
      <c r="Y86" s="325">
        <f t="shared" si="39"/>
        <v>-2.8573438001799789E-2</v>
      </c>
      <c r="Z86" s="325">
        <f t="shared" si="39"/>
        <v>0.18115597550094686</v>
      </c>
      <c r="AA86" s="325">
        <f t="shared" si="39"/>
        <v>0.12043639317352839</v>
      </c>
      <c r="AB86" s="325">
        <f t="shared" si="39"/>
        <v>8.1633951498303103E-2</v>
      </c>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row>
    <row r="87" spans="1:59" ht="15.75" customHeight="1" x14ac:dyDescent="0.2">
      <c r="A87" s="307"/>
      <c r="B87" s="307"/>
      <c r="C87" s="308" t="s">
        <v>29</v>
      </c>
      <c r="D87" s="330" t="s">
        <v>146</v>
      </c>
      <c r="E87" s="330" t="s">
        <v>146</v>
      </c>
      <c r="F87" s="330" t="s">
        <v>146</v>
      </c>
      <c r="G87" s="330" t="s">
        <v>146</v>
      </c>
      <c r="H87" s="330" t="s">
        <v>146</v>
      </c>
      <c r="I87" s="325">
        <f t="shared" ref="I87:AB87" si="40">I68/D68-1</f>
        <v>-0.72401307109258384</v>
      </c>
      <c r="J87" s="325">
        <f t="shared" si="40"/>
        <v>-0.80938008356367763</v>
      </c>
      <c r="K87" s="325">
        <f t="shared" si="40"/>
        <v>-0.70810108431740049</v>
      </c>
      <c r="L87" s="325">
        <f t="shared" si="40"/>
        <v>-0.90018664797338432</v>
      </c>
      <c r="M87" s="325">
        <f t="shared" si="40"/>
        <v>-0.79618616641699846</v>
      </c>
      <c r="N87" s="325">
        <f t="shared" si="40"/>
        <v>-0.51321360855486498</v>
      </c>
      <c r="O87" s="325">
        <f t="shared" si="40"/>
        <v>-0.47603038402910614</v>
      </c>
      <c r="P87" s="325">
        <f t="shared" si="40"/>
        <v>-0.43348354181345783</v>
      </c>
      <c r="Q87" s="325">
        <f t="shared" si="40"/>
        <v>0.55165498635669707</v>
      </c>
      <c r="R87" s="325">
        <f t="shared" si="40"/>
        <v>-0.34941999619733832</v>
      </c>
      <c r="S87" s="325">
        <f t="shared" si="40"/>
        <v>3.6200058586193657</v>
      </c>
      <c r="T87" s="325">
        <f t="shared" si="40"/>
        <v>0.33265453349639196</v>
      </c>
      <c r="U87" s="325">
        <f t="shared" si="40"/>
        <v>1.1572629891331641</v>
      </c>
      <c r="V87" s="325">
        <f t="shared" si="40"/>
        <v>-0.48085050394878126</v>
      </c>
      <c r="W87" s="325">
        <f t="shared" si="40"/>
        <v>1.0892046038281191</v>
      </c>
      <c r="X87" s="325">
        <f t="shared" si="40"/>
        <v>-0.48682832747871829</v>
      </c>
      <c r="Y87" s="325">
        <f t="shared" si="40"/>
        <v>1.0758543203418292</v>
      </c>
      <c r="Z87" s="325">
        <f t="shared" si="40"/>
        <v>0.29081433808653956</v>
      </c>
      <c r="AA87" s="325">
        <f t="shared" si="40"/>
        <v>0.29212245547936089</v>
      </c>
      <c r="AB87" s="325">
        <f t="shared" si="40"/>
        <v>-2.7100074879144564E-2</v>
      </c>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307"/>
    </row>
    <row r="88" spans="1:59" ht="15.75" customHeight="1" x14ac:dyDescent="0.2">
      <c r="A88" s="307"/>
      <c r="B88" s="307"/>
      <c r="C88" s="308" t="s">
        <v>159</v>
      </c>
      <c r="D88" s="301" t="s">
        <v>146</v>
      </c>
      <c r="E88" s="301" t="s">
        <v>146</v>
      </c>
      <c r="F88" s="301" t="s">
        <v>146</v>
      </c>
      <c r="G88" s="301" t="s">
        <v>146</v>
      </c>
      <c r="H88" s="301" t="s">
        <v>146</v>
      </c>
      <c r="I88" s="325">
        <f t="shared" ref="I88:AB88" si="41">I70/D70-1</f>
        <v>-2.1783850674124472E-2</v>
      </c>
      <c r="J88" s="325">
        <f t="shared" si="41"/>
        <v>-6.9964393174211326E-2</v>
      </c>
      <c r="K88" s="325">
        <f t="shared" si="41"/>
        <v>-6.6431596394233128E-2</v>
      </c>
      <c r="L88" s="325">
        <f t="shared" si="41"/>
        <v>-1.8247171825349962E-2</v>
      </c>
      <c r="M88" s="325">
        <f t="shared" si="41"/>
        <v>-4.4855627292617162E-2</v>
      </c>
      <c r="N88" s="325">
        <f t="shared" si="41"/>
        <v>7.2700970050130431E-2</v>
      </c>
      <c r="O88" s="325">
        <f t="shared" si="41"/>
        <v>0.15602345570926901</v>
      </c>
      <c r="P88" s="325">
        <f t="shared" si="41"/>
        <v>0.12518961314135035</v>
      </c>
      <c r="Q88" s="325">
        <f t="shared" si="41"/>
        <v>0.17507874705292492</v>
      </c>
      <c r="R88" s="325">
        <f t="shared" si="41"/>
        <v>0.13314970288935046</v>
      </c>
      <c r="S88" s="325">
        <f t="shared" si="41"/>
        <v>0.24778633880638146</v>
      </c>
      <c r="T88" s="325">
        <f t="shared" si="41"/>
        <v>0.14008064368598716</v>
      </c>
      <c r="U88" s="325">
        <f t="shared" si="41"/>
        <v>0.14728656167084653</v>
      </c>
      <c r="V88" s="325">
        <f t="shared" si="41"/>
        <v>0.18445127224827673</v>
      </c>
      <c r="W88" s="325">
        <f t="shared" si="41"/>
        <v>0.17799066495830806</v>
      </c>
      <c r="X88" s="325">
        <f t="shared" si="41"/>
        <v>4.3645768792287987E-2</v>
      </c>
      <c r="Y88" s="325">
        <f t="shared" si="41"/>
        <v>5.7985573517349343E-2</v>
      </c>
      <c r="Z88" s="325">
        <f t="shared" si="41"/>
        <v>0.13816407943815912</v>
      </c>
      <c r="AA88" s="325">
        <f t="shared" si="41"/>
        <v>1.0942253487346898E-2</v>
      </c>
      <c r="AB88" s="325">
        <f t="shared" si="41"/>
        <v>6.2269720032316123E-2</v>
      </c>
      <c r="AC88" s="270"/>
      <c r="AD88" s="270"/>
      <c r="AE88" s="270"/>
      <c r="AF88" s="270"/>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row>
    <row r="89" spans="1:59" ht="15.75" customHeight="1" x14ac:dyDescent="0.2">
      <c r="A89" s="268"/>
      <c r="B89" s="268"/>
      <c r="C89" s="304"/>
      <c r="D89" s="305"/>
      <c r="E89" s="305"/>
      <c r="F89" s="305"/>
      <c r="G89" s="305"/>
      <c r="H89" s="305"/>
      <c r="I89" s="305"/>
      <c r="J89" s="305"/>
      <c r="K89" s="305"/>
      <c r="L89" s="305"/>
      <c r="M89" s="305"/>
      <c r="N89" s="305"/>
      <c r="O89" s="305"/>
      <c r="P89" s="305"/>
      <c r="Q89" s="305"/>
      <c r="R89" s="306"/>
      <c r="S89" s="305"/>
      <c r="T89" s="305"/>
      <c r="U89" s="305"/>
      <c r="V89" s="305"/>
      <c r="W89" s="305"/>
      <c r="X89" s="305"/>
      <c r="Y89" s="305"/>
      <c r="Z89" s="305"/>
      <c r="AA89" s="305"/>
      <c r="AB89" s="305"/>
      <c r="AC89" s="270"/>
      <c r="AD89" s="270"/>
      <c r="AE89" s="270"/>
      <c r="AF89" s="270"/>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row>
    <row r="90" spans="1:59" ht="15.75" customHeight="1" x14ac:dyDescent="0.2">
      <c r="A90" s="307"/>
      <c r="B90" s="211" t="s">
        <v>211</v>
      </c>
      <c r="C90" s="211"/>
      <c r="D90" s="277" t="s">
        <v>98</v>
      </c>
      <c r="E90" s="277" t="s">
        <v>99</v>
      </c>
      <c r="F90" s="277" t="s">
        <v>100</v>
      </c>
      <c r="G90" s="277" t="s">
        <v>101</v>
      </c>
      <c r="H90" s="159">
        <v>2018</v>
      </c>
      <c r="I90" s="277" t="s">
        <v>102</v>
      </c>
      <c r="J90" s="277" t="s">
        <v>103</v>
      </c>
      <c r="K90" s="277" t="s">
        <v>104</v>
      </c>
      <c r="L90" s="277" t="s">
        <v>105</v>
      </c>
      <c r="M90" s="159">
        <v>2019</v>
      </c>
      <c r="N90" s="277" t="s">
        <v>158</v>
      </c>
      <c r="O90" s="277" t="s">
        <v>107</v>
      </c>
      <c r="P90" s="277" t="s">
        <v>108</v>
      </c>
      <c r="Q90" s="277" t="s">
        <v>109</v>
      </c>
      <c r="R90" s="159">
        <v>2020</v>
      </c>
      <c r="S90" s="277" t="s">
        <v>110</v>
      </c>
      <c r="T90" s="277" t="s">
        <v>111</v>
      </c>
      <c r="U90" s="277" t="s">
        <v>112</v>
      </c>
      <c r="V90" s="277" t="s">
        <v>113</v>
      </c>
      <c r="W90" s="159">
        <v>2021</v>
      </c>
      <c r="X90" s="277" t="s">
        <v>114</v>
      </c>
      <c r="Y90" s="277" t="s">
        <v>115</v>
      </c>
      <c r="Z90" s="277" t="str">
        <f>$Z$4</f>
        <v>3Q22</v>
      </c>
      <c r="AA90" s="277" t="str">
        <f>$AA$4</f>
        <v>4Q22</v>
      </c>
      <c r="AB90" s="160">
        <v>2022</v>
      </c>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row>
    <row r="91" spans="1:59" ht="15.75" customHeight="1" x14ac:dyDescent="0.2">
      <c r="A91" s="307"/>
      <c r="B91" s="307"/>
      <c r="C91" s="308" t="s">
        <v>19</v>
      </c>
      <c r="D91" s="172">
        <v>71.391250388341007</v>
      </c>
      <c r="E91" s="172">
        <v>66.904699821846123</v>
      </c>
      <c r="F91" s="172">
        <v>94.769922190669803</v>
      </c>
      <c r="G91" s="172">
        <v>72.450135763611286</v>
      </c>
      <c r="H91" s="172">
        <v>305.51600816446819</v>
      </c>
      <c r="I91" s="172">
        <v>76.384921810000009</v>
      </c>
      <c r="J91" s="172">
        <v>74.16784057000001</v>
      </c>
      <c r="K91" s="172">
        <v>92.225276269999995</v>
      </c>
      <c r="L91" s="172">
        <v>94.275412500000002</v>
      </c>
      <c r="M91" s="172">
        <v>337.05345115</v>
      </c>
      <c r="N91" s="172">
        <v>88.732993210000004</v>
      </c>
      <c r="O91" s="172">
        <v>80.695711670000009</v>
      </c>
      <c r="P91" s="172">
        <v>90.707938010000007</v>
      </c>
      <c r="Q91" s="172">
        <v>91.21214123</v>
      </c>
      <c r="R91" s="172">
        <v>351.34878412</v>
      </c>
      <c r="S91" s="172">
        <v>112.82515959999999</v>
      </c>
      <c r="T91" s="172">
        <v>108.03041313999999</v>
      </c>
      <c r="U91" s="172">
        <v>108.43273812999999</v>
      </c>
      <c r="V91" s="172">
        <v>101.72981003</v>
      </c>
      <c r="W91" s="172">
        <f t="shared" ref="W91:W98" si="42">SUM(S91:V91)</f>
        <v>431.01812089999999</v>
      </c>
      <c r="X91" s="172">
        <v>99.853074489999997</v>
      </c>
      <c r="Y91" s="172">
        <v>98.51247214</v>
      </c>
      <c r="Z91" s="172">
        <v>108.45719898</v>
      </c>
      <c r="AA91" s="172">
        <v>105.76548987</v>
      </c>
      <c r="AB91" s="172">
        <f t="shared" ref="AB91:AB98" si="43">SUM(X91:AA91)</f>
        <v>412.58823547999998</v>
      </c>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row>
    <row r="92" spans="1:59" ht="15.75" customHeight="1" x14ac:dyDescent="0.2">
      <c r="A92" s="307"/>
      <c r="B92" s="307"/>
      <c r="C92" s="308" t="s">
        <v>27</v>
      </c>
      <c r="D92" s="172">
        <v>5.9536616196960024</v>
      </c>
      <c r="E92" s="172">
        <v>4.4709827707529977</v>
      </c>
      <c r="F92" s="172">
        <v>4.610889041826006</v>
      </c>
      <c r="G92" s="172">
        <v>3.0277068724409868</v>
      </c>
      <c r="H92" s="172">
        <v>18.063240304715993</v>
      </c>
      <c r="I92" s="172">
        <v>4.29385759</v>
      </c>
      <c r="J92" s="172">
        <v>4.9000622699999994</v>
      </c>
      <c r="K92" s="172">
        <v>1.5056698799999999</v>
      </c>
      <c r="L92" s="172">
        <v>-55.833561070000002</v>
      </c>
      <c r="M92" s="172">
        <v>-45.133971330000001</v>
      </c>
      <c r="N92" s="172">
        <v>-1.46130746</v>
      </c>
      <c r="O92" s="172">
        <v>0.22645161</v>
      </c>
      <c r="P92" s="172">
        <v>-1.8209869400000001</v>
      </c>
      <c r="Q92" s="172">
        <v>0.55860237999999995</v>
      </c>
      <c r="R92" s="172">
        <v>-2.4972404099999999</v>
      </c>
      <c r="S92" s="172">
        <v>-1.0996547299999999</v>
      </c>
      <c r="T92" s="172">
        <v>-0.84111980000000008</v>
      </c>
      <c r="U92" s="172">
        <v>-0.3089325</v>
      </c>
      <c r="V92" s="172">
        <v>0.41035790999999999</v>
      </c>
      <c r="W92" s="172">
        <f t="shared" si="42"/>
        <v>-1.8393491200000001</v>
      </c>
      <c r="X92" s="172">
        <v>-0.34999016999999999</v>
      </c>
      <c r="Y92" s="172">
        <v>0.89018571999999996</v>
      </c>
      <c r="Z92" s="172">
        <v>-0.19638498999999998</v>
      </c>
      <c r="AA92" s="172">
        <v>0.95112015000000005</v>
      </c>
      <c r="AB92" s="172">
        <f t="shared" si="43"/>
        <v>1.29493071</v>
      </c>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row>
    <row r="93" spans="1:59" ht="15.75" customHeight="1" x14ac:dyDescent="0.2">
      <c r="A93" s="307"/>
      <c r="B93" s="307"/>
      <c r="C93" s="308" t="s">
        <v>21</v>
      </c>
      <c r="D93" s="172">
        <v>5.6530081095839986</v>
      </c>
      <c r="E93" s="172">
        <v>5.3585679014109022</v>
      </c>
      <c r="F93" s="172">
        <v>9.7490411802250989</v>
      </c>
      <c r="G93" s="172">
        <v>5.4001289217338968</v>
      </c>
      <c r="H93" s="172">
        <v>26.160746112953895</v>
      </c>
      <c r="I93" s="172">
        <v>16.042227480000001</v>
      </c>
      <c r="J93" s="172">
        <v>6.6186363600000018</v>
      </c>
      <c r="K93" s="172">
        <v>10.877141050000001</v>
      </c>
      <c r="L93" s="172">
        <v>6.4100234199999999</v>
      </c>
      <c r="M93" s="172">
        <v>39.948028310000005</v>
      </c>
      <c r="N93" s="172">
        <v>4.4332442899999984</v>
      </c>
      <c r="O93" s="172">
        <v>7.5024601399999993</v>
      </c>
      <c r="P93" s="172">
        <v>7.8583731300000004</v>
      </c>
      <c r="Q93" s="172">
        <v>3.25135197</v>
      </c>
      <c r="R93" s="172">
        <v>23.04542953</v>
      </c>
      <c r="S93" s="172">
        <v>10.21820129</v>
      </c>
      <c r="T93" s="172">
        <v>9.5024208800000007</v>
      </c>
      <c r="U93" s="172">
        <v>9.2950490099999996</v>
      </c>
      <c r="V93" s="172">
        <v>9.6844691600000008</v>
      </c>
      <c r="W93" s="172">
        <f t="shared" si="42"/>
        <v>38.700140339999997</v>
      </c>
      <c r="X93" s="172">
        <v>18.971786139999999</v>
      </c>
      <c r="Y93" s="172">
        <v>11.726319800000001</v>
      </c>
      <c r="Z93" s="172">
        <v>16.130470200000001</v>
      </c>
      <c r="AA93" s="172">
        <v>11.89874017</v>
      </c>
      <c r="AB93" s="172">
        <f t="shared" si="43"/>
        <v>58.727316309999992</v>
      </c>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row>
    <row r="94" spans="1:59" ht="15.75" customHeight="1" x14ac:dyDescent="0.2">
      <c r="A94" s="307"/>
      <c r="B94" s="307"/>
      <c r="C94" s="308" t="s">
        <v>23</v>
      </c>
      <c r="D94" s="172">
        <v>63.357870976671904</v>
      </c>
      <c r="E94" s="172">
        <v>72.59862797004449</v>
      </c>
      <c r="F94" s="172">
        <v>84.887974606452886</v>
      </c>
      <c r="G94" s="172">
        <v>70.100649311589635</v>
      </c>
      <c r="H94" s="172">
        <v>290.9451228647589</v>
      </c>
      <c r="I94" s="172">
        <v>57.948849850000002</v>
      </c>
      <c r="J94" s="172">
        <v>63.959369899999999</v>
      </c>
      <c r="K94" s="172">
        <v>92.252803079999993</v>
      </c>
      <c r="L94" s="172">
        <v>85.667191119999998</v>
      </c>
      <c r="M94" s="172">
        <v>299.82821394999996</v>
      </c>
      <c r="N94" s="172">
        <v>87.946863329999999</v>
      </c>
      <c r="O94" s="172">
        <v>121.16379848999999</v>
      </c>
      <c r="P94" s="172">
        <v>120.26788782999999</v>
      </c>
      <c r="Q94" s="172">
        <v>110.85328189000001</v>
      </c>
      <c r="R94" s="172">
        <v>440.23183153999997</v>
      </c>
      <c r="S94" s="172">
        <v>130.82170440000002</v>
      </c>
      <c r="T94" s="172">
        <v>125.85111778</v>
      </c>
      <c r="U94" s="172">
        <v>139.26215680000001</v>
      </c>
      <c r="V94" s="172">
        <v>138.33186470999999</v>
      </c>
      <c r="W94" s="172">
        <f t="shared" si="42"/>
        <v>534.26684369000009</v>
      </c>
      <c r="X94" s="172">
        <v>119.28388852</v>
      </c>
      <c r="Y94" s="172">
        <v>130.59097259999999</v>
      </c>
      <c r="Z94" s="172">
        <v>161.38878099000001</v>
      </c>
      <c r="AA94" s="172">
        <v>144.67189930000001</v>
      </c>
      <c r="AB94" s="172">
        <f t="shared" si="43"/>
        <v>555.93554141000004</v>
      </c>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row>
    <row r="95" spans="1:59" ht="15.75" customHeight="1" x14ac:dyDescent="0.2">
      <c r="A95" s="307"/>
      <c r="B95" s="307"/>
      <c r="C95" s="308" t="s">
        <v>25</v>
      </c>
      <c r="D95" s="172">
        <v>-0.70688927234900156</v>
      </c>
      <c r="E95" s="172">
        <v>0.85488747777201957</v>
      </c>
      <c r="F95" s="172">
        <v>1.5594598886289812</v>
      </c>
      <c r="G95" s="172">
        <v>2.9977434158650453</v>
      </c>
      <c r="H95" s="172">
        <v>4.7052015099170443</v>
      </c>
      <c r="I95" s="172">
        <v>0.50174646000000001</v>
      </c>
      <c r="J95" s="172">
        <v>0.35358305000000001</v>
      </c>
      <c r="K95" s="172">
        <v>2.41290307</v>
      </c>
      <c r="L95" s="172">
        <v>2.8033614600000001</v>
      </c>
      <c r="M95" s="172">
        <v>6.0715940400000008</v>
      </c>
      <c r="N95" s="172">
        <v>0.12394871</v>
      </c>
      <c r="O95" s="172">
        <v>4.16512452</v>
      </c>
      <c r="P95" s="172">
        <v>4.42932171</v>
      </c>
      <c r="Q95" s="172">
        <v>3.98884953</v>
      </c>
      <c r="R95" s="172">
        <v>12.707244469999999</v>
      </c>
      <c r="S95" s="172">
        <v>2.5691450099999997</v>
      </c>
      <c r="T95" s="172">
        <v>2.6878682700000001</v>
      </c>
      <c r="U95" s="172">
        <v>2.8457232400000003</v>
      </c>
      <c r="V95" s="172">
        <v>2.81997461</v>
      </c>
      <c r="W95" s="172">
        <f t="shared" si="42"/>
        <v>10.92271113</v>
      </c>
      <c r="X95" s="172">
        <v>2.82679401</v>
      </c>
      <c r="Y95" s="172">
        <v>2.7969750499999999</v>
      </c>
      <c r="Z95" s="172">
        <v>2.0927581399999999</v>
      </c>
      <c r="AA95" s="172">
        <v>2.8958625599999999</v>
      </c>
      <c r="AB95" s="172">
        <f t="shared" si="43"/>
        <v>10.612389759999999</v>
      </c>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row>
    <row r="96" spans="1:59" ht="15.75" customHeight="1" x14ac:dyDescent="0.2">
      <c r="A96" s="307"/>
      <c r="B96" s="307"/>
      <c r="C96" s="308" t="s">
        <v>29</v>
      </c>
      <c r="D96" s="172">
        <v>1.9025613706179967</v>
      </c>
      <c r="E96" s="172">
        <v>1.0186354182230104</v>
      </c>
      <c r="F96" s="172">
        <v>2.1170314551381999</v>
      </c>
      <c r="G96" s="172">
        <v>4.8977933657711317</v>
      </c>
      <c r="H96" s="172">
        <v>9.9360216097503375</v>
      </c>
      <c r="I96" s="172">
        <v>0.58798238000000003</v>
      </c>
      <c r="J96" s="172">
        <v>-2.6126995000000002</v>
      </c>
      <c r="K96" s="172">
        <v>4.0903700000000003E-3</v>
      </c>
      <c r="L96" s="172">
        <v>-2.2431772000000003</v>
      </c>
      <c r="M96" s="172">
        <v>-4.2638039499999998</v>
      </c>
      <c r="N96" s="172">
        <v>-0.77879606999999995</v>
      </c>
      <c r="O96" s="172">
        <v>1.75167695</v>
      </c>
      <c r="P96" s="172">
        <v>-0.73673170999999993</v>
      </c>
      <c r="Q96" s="172">
        <v>-14.32981968</v>
      </c>
      <c r="R96" s="172">
        <v>-14.093670509999999</v>
      </c>
      <c r="S96" s="172">
        <v>0.75599305000000006</v>
      </c>
      <c r="T96" s="172">
        <v>0.78040506999999992</v>
      </c>
      <c r="U96" s="172">
        <v>-9.7012639999999997E-2</v>
      </c>
      <c r="V96" s="172">
        <v>1.8923639699999999</v>
      </c>
      <c r="W96" s="172">
        <f t="shared" si="42"/>
        <v>3.3317494499999998</v>
      </c>
      <c r="X96" s="172">
        <v>2.0893066199999999</v>
      </c>
      <c r="Y96" s="172">
        <v>1.94832038</v>
      </c>
      <c r="Z96" s="172">
        <v>0.15455194</v>
      </c>
      <c r="AA96" s="172">
        <v>2.0282970800000002</v>
      </c>
      <c r="AB96" s="172">
        <f t="shared" si="43"/>
        <v>6.2204760199999996</v>
      </c>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row>
    <row r="97" spans="1:59" ht="15.75" customHeight="1" x14ac:dyDescent="0.2">
      <c r="A97" s="307"/>
      <c r="B97" s="307"/>
      <c r="C97" s="308" t="s">
        <v>208</v>
      </c>
      <c r="D97" s="172">
        <v>-13.395355068122198</v>
      </c>
      <c r="E97" s="172">
        <v>-18.907906819969771</v>
      </c>
      <c r="F97" s="172">
        <v>-16.756291836664634</v>
      </c>
      <c r="G97" s="172">
        <v>-20.400467584130901</v>
      </c>
      <c r="H97" s="172">
        <v>-69.460021308887491</v>
      </c>
      <c r="I97" s="172">
        <v>-15.02114302</v>
      </c>
      <c r="J97" s="172">
        <v>-18.187849789999998</v>
      </c>
      <c r="K97" s="172">
        <v>-17.64778355</v>
      </c>
      <c r="L97" s="172">
        <v>-28.829342870000001</v>
      </c>
      <c r="M97" s="172">
        <v>-79.686119230000003</v>
      </c>
      <c r="N97" s="172">
        <v>-18.032401359999998</v>
      </c>
      <c r="O97" s="172">
        <v>-17.096575079999997</v>
      </c>
      <c r="P97" s="172">
        <v>-17.054786320000002</v>
      </c>
      <c r="Q97" s="172">
        <v>-28.290892719999999</v>
      </c>
      <c r="R97" s="172">
        <v>-80.474655479999996</v>
      </c>
      <c r="S97" s="172">
        <v>-16.401625970000001</v>
      </c>
      <c r="T97" s="172">
        <v>-27.632106440000001</v>
      </c>
      <c r="U97" s="172">
        <v>-24.671390769999999</v>
      </c>
      <c r="V97" s="172">
        <v>-57.222634679999999</v>
      </c>
      <c r="W97" s="172">
        <f t="shared" si="42"/>
        <v>-125.92775786</v>
      </c>
      <c r="X97" s="172">
        <v>-25.090489059999999</v>
      </c>
      <c r="Y97" s="172">
        <v>-27.077906519999999</v>
      </c>
      <c r="Z97" s="172">
        <v>-27.167793030000002</v>
      </c>
      <c r="AA97" s="172">
        <v>-44.386718969999997</v>
      </c>
      <c r="AB97" s="172">
        <f t="shared" si="43"/>
        <v>-123.72290758</v>
      </c>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row>
    <row r="98" spans="1:59" ht="15.75" customHeight="1" x14ac:dyDescent="0.2">
      <c r="A98" s="307"/>
      <c r="B98" s="307"/>
      <c r="C98" s="308" t="s">
        <v>212</v>
      </c>
      <c r="D98" s="172">
        <v>-1.6</v>
      </c>
      <c r="E98" s="172">
        <v>-2.9</v>
      </c>
      <c r="F98" s="172">
        <v>-2.1</v>
      </c>
      <c r="G98" s="172">
        <v>-8.5</v>
      </c>
      <c r="H98" s="172">
        <f>SUM(D98:G98)</f>
        <v>-15.1</v>
      </c>
      <c r="I98" s="172">
        <v>-4.8</v>
      </c>
      <c r="J98" s="172">
        <v>2.5</v>
      </c>
      <c r="K98" s="172">
        <v>-2.1</v>
      </c>
      <c r="L98" s="172">
        <v>6.8</v>
      </c>
      <c r="M98" s="172">
        <f>SUM(I98:L98)</f>
        <v>2.3999999999999995</v>
      </c>
      <c r="N98" s="172">
        <v>-18.8</v>
      </c>
      <c r="O98" s="172">
        <v>-6</v>
      </c>
      <c r="P98" s="172">
        <v>0.4</v>
      </c>
      <c r="Q98" s="172">
        <v>5.3</v>
      </c>
      <c r="R98" s="172">
        <f>SUM(N98:Q98)</f>
        <v>-19.100000000000001</v>
      </c>
      <c r="S98" s="172">
        <v>-10.207473</v>
      </c>
      <c r="T98" s="172">
        <v>2.2175699999999998</v>
      </c>
      <c r="U98" s="172">
        <v>-15.666905</v>
      </c>
      <c r="V98" s="172">
        <v>-8.0072926500000001</v>
      </c>
      <c r="W98" s="172">
        <f t="shared" si="42"/>
        <v>-31.664100649999998</v>
      </c>
      <c r="X98" s="172">
        <v>21.428275679999999</v>
      </c>
      <c r="Y98" s="172">
        <v>-18.186691230000001</v>
      </c>
      <c r="Z98" s="172">
        <v>-12.859271869999999</v>
      </c>
      <c r="AA98" s="172">
        <v>26.697567840000001</v>
      </c>
      <c r="AB98" s="172">
        <f t="shared" si="43"/>
        <v>17.079880420000002</v>
      </c>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row>
    <row r="99" spans="1:59" ht="15.75" customHeight="1" x14ac:dyDescent="0.2">
      <c r="A99" s="278"/>
      <c r="B99" s="278"/>
      <c r="C99" s="332" t="s">
        <v>189</v>
      </c>
      <c r="D99" s="215">
        <f t="shared" ref="D99:AB99" si="44">SUM(D91,D92,D94,D96,D95,D93,D97,D98)</f>
        <v>132.5561081244397</v>
      </c>
      <c r="E99" s="215">
        <f t="shared" si="44"/>
        <v>129.39849454007975</v>
      </c>
      <c r="F99" s="215">
        <f t="shared" si="44"/>
        <v>178.83802652627637</v>
      </c>
      <c r="G99" s="215">
        <f t="shared" si="44"/>
        <v>129.97369006688109</v>
      </c>
      <c r="H99" s="215">
        <f t="shared" si="44"/>
        <v>570.76631925767686</v>
      </c>
      <c r="I99" s="215">
        <f t="shared" si="44"/>
        <v>135.93844254999999</v>
      </c>
      <c r="J99" s="215">
        <f t="shared" si="44"/>
        <v>131.69894286000002</v>
      </c>
      <c r="K99" s="215">
        <f t="shared" si="44"/>
        <v>179.53010017</v>
      </c>
      <c r="L99" s="215">
        <f t="shared" si="44"/>
        <v>109.04990735999998</v>
      </c>
      <c r="M99" s="215">
        <f t="shared" si="44"/>
        <v>556.21739293999997</v>
      </c>
      <c r="N99" s="215">
        <f t="shared" si="44"/>
        <v>142.16454465000001</v>
      </c>
      <c r="O99" s="215">
        <f t="shared" si="44"/>
        <v>192.40864829999998</v>
      </c>
      <c r="P99" s="215">
        <f t="shared" si="44"/>
        <v>204.05101571000003</v>
      </c>
      <c r="Q99" s="215">
        <f t="shared" si="44"/>
        <v>172.54351460000004</v>
      </c>
      <c r="R99" s="215">
        <f t="shared" si="44"/>
        <v>711.16772325999989</v>
      </c>
      <c r="S99" s="215">
        <f t="shared" si="44"/>
        <v>229.48144965</v>
      </c>
      <c r="T99" s="215">
        <f t="shared" si="44"/>
        <v>220.59656889999997</v>
      </c>
      <c r="U99" s="215">
        <f t="shared" si="44"/>
        <v>219.09142627</v>
      </c>
      <c r="V99" s="215">
        <f t="shared" si="44"/>
        <v>189.63891305999996</v>
      </c>
      <c r="W99" s="215">
        <f t="shared" si="44"/>
        <v>858.80835788000002</v>
      </c>
      <c r="X99" s="215">
        <f t="shared" si="44"/>
        <v>239.01264622999997</v>
      </c>
      <c r="Y99" s="215">
        <f t="shared" si="44"/>
        <v>201.20064793999998</v>
      </c>
      <c r="Z99" s="215">
        <f t="shared" si="44"/>
        <v>248.00031036000001</v>
      </c>
      <c r="AA99" s="215">
        <f t="shared" si="44"/>
        <v>250.52225799999999</v>
      </c>
      <c r="AB99" s="215">
        <f t="shared" si="44"/>
        <v>938.73586253000008</v>
      </c>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row>
    <row r="100" spans="1:59" ht="15.75" customHeight="1" x14ac:dyDescent="0.2">
      <c r="A100" s="307"/>
      <c r="B100" s="307"/>
      <c r="C100" s="319"/>
      <c r="D100" s="292"/>
      <c r="E100" s="292"/>
      <c r="F100" s="292"/>
      <c r="G100" s="292"/>
      <c r="H100" s="333"/>
      <c r="I100" s="292"/>
      <c r="J100" s="292"/>
      <c r="K100" s="292"/>
      <c r="L100" s="292"/>
      <c r="M100" s="333"/>
      <c r="N100" s="292"/>
      <c r="O100" s="292"/>
      <c r="P100" s="292"/>
      <c r="Q100" s="292"/>
      <c r="R100" s="333"/>
      <c r="S100" s="292"/>
      <c r="T100" s="292"/>
      <c r="U100" s="292"/>
      <c r="V100" s="292"/>
      <c r="W100" s="333"/>
      <c r="X100" s="292"/>
      <c r="Y100" s="292"/>
      <c r="Z100" s="292"/>
      <c r="AA100" s="292"/>
      <c r="AB100" s="333"/>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row>
    <row r="101" spans="1:59" ht="15.75" customHeight="1" x14ac:dyDescent="0.2">
      <c r="A101" s="307"/>
      <c r="B101" s="307"/>
      <c r="C101" s="314" t="s">
        <v>193</v>
      </c>
      <c r="D101" s="292"/>
      <c r="E101" s="292"/>
      <c r="F101" s="292"/>
      <c r="G101" s="292"/>
      <c r="H101" s="333"/>
      <c r="I101" s="292"/>
      <c r="J101" s="292"/>
      <c r="K101" s="292"/>
      <c r="L101" s="292"/>
      <c r="M101" s="333"/>
      <c r="N101" s="292"/>
      <c r="O101" s="292"/>
      <c r="P101" s="292"/>
      <c r="Q101" s="292"/>
      <c r="R101" s="333"/>
      <c r="S101" s="292"/>
      <c r="T101" s="292"/>
      <c r="U101" s="292"/>
      <c r="V101" s="292"/>
      <c r="W101" s="333"/>
      <c r="X101" s="292"/>
      <c r="Y101" s="292"/>
      <c r="Z101" s="292"/>
      <c r="AA101" s="292"/>
      <c r="AB101" s="333"/>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row>
    <row r="102" spans="1:59" ht="15.75" customHeight="1" x14ac:dyDescent="0.2">
      <c r="A102" s="268"/>
      <c r="B102" s="268"/>
      <c r="C102" s="304"/>
      <c r="D102" s="305"/>
      <c r="E102" s="305"/>
      <c r="F102" s="305"/>
      <c r="G102" s="305"/>
      <c r="H102" s="305"/>
      <c r="I102" s="305"/>
      <c r="J102" s="305"/>
      <c r="K102" s="305"/>
      <c r="L102" s="305"/>
      <c r="M102" s="305"/>
      <c r="N102" s="305"/>
      <c r="O102" s="305"/>
      <c r="P102" s="305"/>
      <c r="Q102" s="305"/>
      <c r="R102" s="306"/>
      <c r="S102" s="305"/>
      <c r="T102" s="305"/>
      <c r="U102" s="305"/>
      <c r="V102" s="305"/>
      <c r="W102" s="305"/>
      <c r="X102" s="305"/>
      <c r="Y102" s="305"/>
      <c r="Z102" s="305"/>
      <c r="AA102" s="305"/>
      <c r="AB102" s="305"/>
      <c r="AC102" s="270"/>
      <c r="AD102" s="270"/>
      <c r="AE102" s="270"/>
      <c r="AF102" s="270"/>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row>
    <row r="103" spans="1:59" ht="15.75" customHeight="1" x14ac:dyDescent="0.2">
      <c r="A103" s="210"/>
      <c r="B103" s="211" t="s">
        <v>213</v>
      </c>
      <c r="C103" s="211"/>
      <c r="D103" s="277" t="s">
        <v>98</v>
      </c>
      <c r="E103" s="277" t="s">
        <v>99</v>
      </c>
      <c r="F103" s="277" t="s">
        <v>100</v>
      </c>
      <c r="G103" s="277" t="s">
        <v>101</v>
      </c>
      <c r="H103" s="159">
        <v>2018</v>
      </c>
      <c r="I103" s="277" t="s">
        <v>102</v>
      </c>
      <c r="J103" s="277" t="s">
        <v>103</v>
      </c>
      <c r="K103" s="277" t="s">
        <v>104</v>
      </c>
      <c r="L103" s="277" t="s">
        <v>105</v>
      </c>
      <c r="M103" s="159">
        <v>2019</v>
      </c>
      <c r="N103" s="277" t="s">
        <v>158</v>
      </c>
      <c r="O103" s="277" t="s">
        <v>107</v>
      </c>
      <c r="P103" s="277" t="s">
        <v>108</v>
      </c>
      <c r="Q103" s="277" t="s">
        <v>109</v>
      </c>
      <c r="R103" s="159">
        <v>2020</v>
      </c>
      <c r="S103" s="277" t="s">
        <v>110</v>
      </c>
      <c r="T103" s="277" t="s">
        <v>111</v>
      </c>
      <c r="U103" s="277" t="s">
        <v>112</v>
      </c>
      <c r="V103" s="277" t="s">
        <v>113</v>
      </c>
      <c r="W103" s="159">
        <v>2021</v>
      </c>
      <c r="X103" s="277" t="s">
        <v>114</v>
      </c>
      <c r="Y103" s="277" t="s">
        <v>115</v>
      </c>
      <c r="Z103" s="277" t="str">
        <f>$Z$4</f>
        <v>3Q22</v>
      </c>
      <c r="AA103" s="277" t="str">
        <f>$AA$4</f>
        <v>4Q22</v>
      </c>
      <c r="AB103" s="160">
        <v>2022</v>
      </c>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row>
    <row r="104" spans="1:59" ht="15.75" customHeight="1" x14ac:dyDescent="0.2">
      <c r="A104" s="307"/>
      <c r="B104" s="307"/>
      <c r="C104" s="308" t="s">
        <v>214</v>
      </c>
      <c r="D104" s="325">
        <f t="shared" ref="D104:AB104" si="45">D91/D$99</f>
        <v>0.53857382657403485</v>
      </c>
      <c r="E104" s="325">
        <f t="shared" si="45"/>
        <v>0.51704388107176269</v>
      </c>
      <c r="F104" s="325">
        <f t="shared" si="45"/>
        <v>0.52992042034609133</v>
      </c>
      <c r="G104" s="325">
        <f t="shared" si="45"/>
        <v>0.55742154990237125</v>
      </c>
      <c r="H104" s="325">
        <f t="shared" si="45"/>
        <v>0.53527336469645581</v>
      </c>
      <c r="I104" s="325">
        <f t="shared" si="45"/>
        <v>0.56190817238401569</v>
      </c>
      <c r="J104" s="325">
        <f t="shared" si="45"/>
        <v>0.56316200388064375</v>
      </c>
      <c r="K104" s="325">
        <f t="shared" si="45"/>
        <v>0.51370369750069966</v>
      </c>
      <c r="L104" s="325">
        <f t="shared" si="45"/>
        <v>0.86451620897553072</v>
      </c>
      <c r="M104" s="325">
        <f t="shared" si="45"/>
        <v>0.60597431045519012</v>
      </c>
      <c r="N104" s="325">
        <f t="shared" si="45"/>
        <v>0.62415698251948082</v>
      </c>
      <c r="O104" s="325">
        <f t="shared" si="45"/>
        <v>0.41939752907665956</v>
      </c>
      <c r="P104" s="325">
        <f t="shared" si="45"/>
        <v>0.44453558682067679</v>
      </c>
      <c r="Q104" s="325">
        <f t="shared" si="45"/>
        <v>0.52863268400121011</v>
      </c>
      <c r="R104" s="325">
        <f t="shared" si="45"/>
        <v>0.49404489634233356</v>
      </c>
      <c r="S104" s="325">
        <f t="shared" si="45"/>
        <v>0.49165263585391505</v>
      </c>
      <c r="T104" s="325">
        <f t="shared" si="45"/>
        <v>0.48971937178665703</v>
      </c>
      <c r="U104" s="325">
        <f t="shared" si="45"/>
        <v>0.49492004308909643</v>
      </c>
      <c r="V104" s="325">
        <f t="shared" si="45"/>
        <v>0.53643953336630679</v>
      </c>
      <c r="W104" s="325">
        <f t="shared" si="45"/>
        <v>0.50187928068607068</v>
      </c>
      <c r="X104" s="325">
        <f t="shared" si="45"/>
        <v>0.41777318508039185</v>
      </c>
      <c r="Y104" s="325">
        <f t="shared" si="45"/>
        <v>0.48962303625074505</v>
      </c>
      <c r="Z104" s="325">
        <f t="shared" si="45"/>
        <v>0.43732686794852121</v>
      </c>
      <c r="AA104" s="325">
        <f t="shared" si="45"/>
        <v>0.42218001192532761</v>
      </c>
      <c r="AB104" s="325">
        <f t="shared" si="45"/>
        <v>0.43951472607856668</v>
      </c>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7"/>
      <c r="AZ104" s="307"/>
      <c r="BA104" s="307"/>
      <c r="BB104" s="307"/>
      <c r="BC104" s="307"/>
      <c r="BD104" s="307"/>
      <c r="BE104" s="307"/>
      <c r="BF104" s="307"/>
      <c r="BG104" s="307"/>
    </row>
    <row r="105" spans="1:59" ht="15.75" customHeight="1" x14ac:dyDescent="0.2">
      <c r="A105" s="307"/>
      <c r="B105" s="307"/>
      <c r="C105" s="308" t="s">
        <v>215</v>
      </c>
      <c r="D105" s="325">
        <f t="shared" ref="D105:AB105" si="46">D92/D$99</f>
        <v>4.4914275954050217E-2</v>
      </c>
      <c r="E105" s="325">
        <f t="shared" si="46"/>
        <v>3.4552046271049623E-2</v>
      </c>
      <c r="F105" s="325">
        <f t="shared" si="46"/>
        <v>2.5782486708152842E-2</v>
      </c>
      <c r="G105" s="325">
        <f t="shared" si="46"/>
        <v>2.3294767355477922E-2</v>
      </c>
      <c r="H105" s="325">
        <f t="shared" si="46"/>
        <v>3.1647347951800228E-2</v>
      </c>
      <c r="I105" s="325">
        <f t="shared" si="46"/>
        <v>3.1586779349930108E-2</v>
      </c>
      <c r="J105" s="325">
        <f t="shared" si="46"/>
        <v>3.7206542160394672E-2</v>
      </c>
      <c r="K105" s="325">
        <f t="shared" si="46"/>
        <v>8.3867266746593273E-3</v>
      </c>
      <c r="L105" s="325">
        <f t="shared" si="46"/>
        <v>-0.51200007796136848</v>
      </c>
      <c r="M105" s="325">
        <f t="shared" si="46"/>
        <v>-8.114448038281441E-2</v>
      </c>
      <c r="N105" s="325">
        <f t="shared" si="46"/>
        <v>-1.0278986674192537E-2</v>
      </c>
      <c r="O105" s="325">
        <f t="shared" si="46"/>
        <v>1.1769305174210301E-3</v>
      </c>
      <c r="P105" s="325">
        <f t="shared" si="46"/>
        <v>-8.9241748376690782E-3</v>
      </c>
      <c r="Q105" s="325">
        <f t="shared" si="46"/>
        <v>3.2374579902060244E-3</v>
      </c>
      <c r="R105" s="325">
        <f t="shared" si="46"/>
        <v>-3.5114647759218109E-3</v>
      </c>
      <c r="S105" s="325">
        <f t="shared" si="46"/>
        <v>-4.7919112053596002E-3</v>
      </c>
      <c r="T105" s="325">
        <f t="shared" si="46"/>
        <v>-3.8129323778435258E-3</v>
      </c>
      <c r="U105" s="325">
        <f t="shared" si="46"/>
        <v>-1.4100620241491479E-3</v>
      </c>
      <c r="V105" s="325">
        <f t="shared" si="46"/>
        <v>2.1638908564623896E-3</v>
      </c>
      <c r="W105" s="325">
        <f t="shared" si="46"/>
        <v>-2.1417457144228321E-3</v>
      </c>
      <c r="X105" s="325">
        <f t="shared" si="46"/>
        <v>-1.4643165352146565E-3</v>
      </c>
      <c r="Y105" s="325">
        <f t="shared" si="46"/>
        <v>4.4243680580266431E-3</v>
      </c>
      <c r="Z105" s="325">
        <f t="shared" si="46"/>
        <v>-7.9187396868546389E-4</v>
      </c>
      <c r="AA105" s="325">
        <f t="shared" si="46"/>
        <v>3.7965494866328406E-3</v>
      </c>
      <c r="AB105" s="325">
        <f t="shared" si="46"/>
        <v>1.3794409712973086E-3</v>
      </c>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7"/>
      <c r="AZ105" s="307"/>
      <c r="BA105" s="307"/>
      <c r="BB105" s="307"/>
      <c r="BC105" s="307"/>
      <c r="BD105" s="307"/>
      <c r="BE105" s="307"/>
      <c r="BF105" s="307"/>
      <c r="BG105" s="307"/>
    </row>
    <row r="106" spans="1:59" ht="15.75" customHeight="1" x14ac:dyDescent="0.2">
      <c r="A106" s="307"/>
      <c r="B106" s="307"/>
      <c r="C106" s="308" t="s">
        <v>216</v>
      </c>
      <c r="D106" s="325">
        <f t="shared" ref="D106:AB106" si="47">D93/D$99</f>
        <v>4.2646153312506159E-2</v>
      </c>
      <c r="E106" s="325">
        <f t="shared" si="47"/>
        <v>4.1411362013575398E-2</v>
      </c>
      <c r="F106" s="325">
        <f t="shared" si="47"/>
        <v>5.4513245139129786E-2</v>
      </c>
      <c r="G106" s="325">
        <f t="shared" si="47"/>
        <v>4.1547861870776547E-2</v>
      </c>
      <c r="H106" s="325">
        <f t="shared" si="47"/>
        <v>4.5834425105843402E-2</v>
      </c>
      <c r="I106" s="325">
        <f t="shared" si="47"/>
        <v>0.11801097010582164</v>
      </c>
      <c r="J106" s="325">
        <f t="shared" si="47"/>
        <v>5.0255804764020112E-2</v>
      </c>
      <c r="K106" s="325">
        <f t="shared" si="47"/>
        <v>6.0586726346725461E-2</v>
      </c>
      <c r="L106" s="325">
        <f t="shared" si="47"/>
        <v>5.8780640673439279E-2</v>
      </c>
      <c r="M106" s="325">
        <f t="shared" si="47"/>
        <v>7.1820890207777557E-2</v>
      </c>
      <c r="N106" s="325">
        <f t="shared" si="47"/>
        <v>3.1183895400321942E-2</v>
      </c>
      <c r="O106" s="325">
        <f t="shared" si="47"/>
        <v>3.8992322883025003E-2</v>
      </c>
      <c r="P106" s="325">
        <f t="shared" si="47"/>
        <v>3.8511805994479453E-2</v>
      </c>
      <c r="Q106" s="325">
        <f t="shared" si="47"/>
        <v>1.8843663742085379E-2</v>
      </c>
      <c r="R106" s="325">
        <f t="shared" si="47"/>
        <v>3.2405055483057534E-2</v>
      </c>
      <c r="S106" s="325">
        <f t="shared" si="47"/>
        <v>4.452735201727448E-2</v>
      </c>
      <c r="T106" s="325">
        <f t="shared" si="47"/>
        <v>4.3076013953361185E-2</v>
      </c>
      <c r="U106" s="325">
        <f t="shared" si="47"/>
        <v>4.2425434752271556E-2</v>
      </c>
      <c r="V106" s="325">
        <f t="shared" si="47"/>
        <v>5.1067942774676869E-2</v>
      </c>
      <c r="W106" s="325">
        <f t="shared" si="47"/>
        <v>4.5062603297821545E-2</v>
      </c>
      <c r="X106" s="325">
        <f t="shared" si="47"/>
        <v>7.9375658314512779E-2</v>
      </c>
      <c r="Y106" s="325">
        <f t="shared" si="47"/>
        <v>5.8281719865519048E-2</v>
      </c>
      <c r="Z106" s="325">
        <f t="shared" si="47"/>
        <v>6.5042137151299653E-2</v>
      </c>
      <c r="AA106" s="325">
        <f t="shared" si="47"/>
        <v>4.7495740558110414E-2</v>
      </c>
      <c r="AB106" s="325">
        <f t="shared" si="47"/>
        <v>6.2560000799078017E-2</v>
      </c>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c r="AY106" s="307"/>
      <c r="AZ106" s="307"/>
      <c r="BA106" s="307"/>
      <c r="BB106" s="307"/>
      <c r="BC106" s="307"/>
      <c r="BD106" s="307"/>
      <c r="BE106" s="307"/>
      <c r="BF106" s="307"/>
      <c r="BG106" s="307"/>
    </row>
    <row r="107" spans="1:59" ht="15.75" customHeight="1" x14ac:dyDescent="0.2">
      <c r="A107" s="307"/>
      <c r="B107" s="307"/>
      <c r="C107" s="308" t="s">
        <v>217</v>
      </c>
      <c r="D107" s="325">
        <f t="shared" ref="D107:AB107" si="48">D94/D$99</f>
        <v>0.47797021105352183</v>
      </c>
      <c r="E107" s="325">
        <f t="shared" si="48"/>
        <v>0.56104692893129349</v>
      </c>
      <c r="F107" s="325">
        <f t="shared" si="48"/>
        <v>0.47466400885373472</v>
      </c>
      <c r="G107" s="325">
        <f t="shared" si="48"/>
        <v>0.53934491877177337</v>
      </c>
      <c r="H107" s="325">
        <f t="shared" si="48"/>
        <v>0.50974472923201597</v>
      </c>
      <c r="I107" s="325">
        <f t="shared" si="48"/>
        <v>0.42628743395147867</v>
      </c>
      <c r="J107" s="325">
        <f t="shared" si="48"/>
        <v>0.48564831661550051</v>
      </c>
      <c r="K107" s="325">
        <f t="shared" si="48"/>
        <v>0.51385702449140447</v>
      </c>
      <c r="L107" s="325">
        <f t="shared" si="48"/>
        <v>0.78557784407089859</v>
      </c>
      <c r="M107" s="325">
        <f t="shared" si="48"/>
        <v>0.53904861256710623</v>
      </c>
      <c r="N107" s="325">
        <f t="shared" si="48"/>
        <v>0.61862726424875858</v>
      </c>
      <c r="O107" s="325">
        <f t="shared" si="48"/>
        <v>0.62972116669664269</v>
      </c>
      <c r="P107" s="325">
        <f t="shared" si="48"/>
        <v>0.58940107409671649</v>
      </c>
      <c r="Q107" s="325">
        <f t="shared" si="48"/>
        <v>0.64246565364676989</v>
      </c>
      <c r="R107" s="325">
        <f t="shared" si="48"/>
        <v>0.61902673186850055</v>
      </c>
      <c r="S107" s="325">
        <f t="shared" si="48"/>
        <v>0.57007529192240314</v>
      </c>
      <c r="T107" s="325">
        <f t="shared" si="48"/>
        <v>0.57050351420946332</v>
      </c>
      <c r="U107" s="325">
        <f t="shared" si="48"/>
        <v>0.63563489987225053</v>
      </c>
      <c r="V107" s="325">
        <f t="shared" si="48"/>
        <v>0.72944873221369444</v>
      </c>
      <c r="W107" s="325">
        <f t="shared" si="48"/>
        <v>0.62210252006496236</v>
      </c>
      <c r="X107" s="325">
        <f t="shared" si="48"/>
        <v>0.49906936056100593</v>
      </c>
      <c r="Y107" s="325">
        <f t="shared" si="48"/>
        <v>0.64905840978674934</v>
      </c>
      <c r="Z107" s="325">
        <f t="shared" si="48"/>
        <v>0.65076039927420359</v>
      </c>
      <c r="AA107" s="325">
        <f t="shared" si="48"/>
        <v>0.57748122045107864</v>
      </c>
      <c r="AB107" s="325">
        <f t="shared" si="48"/>
        <v>0.59221721849604259</v>
      </c>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07"/>
      <c r="AY107" s="307"/>
      <c r="AZ107" s="307"/>
      <c r="BA107" s="307"/>
      <c r="BB107" s="307"/>
      <c r="BC107" s="307"/>
      <c r="BD107" s="307"/>
      <c r="BE107" s="307"/>
      <c r="BF107" s="307"/>
      <c r="BG107" s="307"/>
    </row>
    <row r="108" spans="1:59" ht="15.75" customHeight="1" x14ac:dyDescent="0.2">
      <c r="A108" s="307"/>
      <c r="B108" s="307"/>
      <c r="C108" s="308" t="s">
        <v>218</v>
      </c>
      <c r="D108" s="325">
        <f t="shared" ref="D108:AB108" si="49">D95/D$99</f>
        <v>-5.3327551808129061E-3</v>
      </c>
      <c r="E108" s="325">
        <f t="shared" si="49"/>
        <v>6.6066261497905419E-3</v>
      </c>
      <c r="F108" s="325">
        <f t="shared" si="49"/>
        <v>8.7199569292935163E-3</v>
      </c>
      <c r="G108" s="325">
        <f t="shared" si="49"/>
        <v>2.3064232571395674E-2</v>
      </c>
      <c r="H108" s="325">
        <f t="shared" si="49"/>
        <v>8.2436565563933431E-3</v>
      </c>
      <c r="I108" s="325">
        <f t="shared" si="49"/>
        <v>3.6909828492072867E-3</v>
      </c>
      <c r="J108" s="325">
        <f t="shared" si="49"/>
        <v>2.6847827501232835E-3</v>
      </c>
      <c r="K108" s="325">
        <f t="shared" si="49"/>
        <v>1.3440103178882999E-2</v>
      </c>
      <c r="L108" s="325">
        <f t="shared" si="49"/>
        <v>2.5707142058777083E-2</v>
      </c>
      <c r="M108" s="325">
        <f t="shared" si="49"/>
        <v>1.091586512228134E-2</v>
      </c>
      <c r="N108" s="325">
        <f t="shared" si="49"/>
        <v>8.7186794924960917E-4</v>
      </c>
      <c r="O108" s="325">
        <f t="shared" si="49"/>
        <v>2.1647283304572752E-2</v>
      </c>
      <c r="P108" s="325">
        <f t="shared" si="49"/>
        <v>2.1706932918653096E-2</v>
      </c>
      <c r="Q108" s="325">
        <f t="shared" si="49"/>
        <v>2.311793369485473E-2</v>
      </c>
      <c r="R108" s="325">
        <f t="shared" si="49"/>
        <v>1.7868140038400315E-2</v>
      </c>
      <c r="S108" s="325">
        <f t="shared" si="49"/>
        <v>1.119543655453808E-2</v>
      </c>
      <c r="T108" s="325">
        <f t="shared" si="49"/>
        <v>1.2184542504006282E-2</v>
      </c>
      <c r="U108" s="325">
        <f t="shared" si="49"/>
        <v>1.2988747613030911E-2</v>
      </c>
      <c r="V108" s="325">
        <f t="shared" si="49"/>
        <v>1.4870231876449253E-2</v>
      </c>
      <c r="W108" s="325">
        <f t="shared" si="49"/>
        <v>1.2718449965907543E-2</v>
      </c>
      <c r="X108" s="325">
        <f t="shared" si="49"/>
        <v>1.1826964198705195E-2</v>
      </c>
      <c r="Y108" s="325">
        <f t="shared" si="49"/>
        <v>1.3901421683463392E-2</v>
      </c>
      <c r="Z108" s="325">
        <f t="shared" si="49"/>
        <v>8.4385303266843858E-3</v>
      </c>
      <c r="AA108" s="325">
        <f t="shared" si="49"/>
        <v>1.1559302487206546E-2</v>
      </c>
      <c r="AB108" s="325">
        <f t="shared" si="49"/>
        <v>1.1304979583285973E-2</v>
      </c>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307"/>
      <c r="AZ108" s="307"/>
      <c r="BA108" s="307"/>
      <c r="BB108" s="307"/>
      <c r="BC108" s="307"/>
      <c r="BD108" s="307"/>
      <c r="BE108" s="307"/>
      <c r="BF108" s="307"/>
      <c r="BG108" s="307"/>
    </row>
    <row r="109" spans="1:59" ht="15.75" customHeight="1" x14ac:dyDescent="0.2">
      <c r="A109" s="307"/>
      <c r="B109" s="307"/>
      <c r="C109" s="308" t="s">
        <v>219</v>
      </c>
      <c r="D109" s="325">
        <f t="shared" ref="D109:AB109" si="50">D96/D$99</f>
        <v>1.4352875906947487E-2</v>
      </c>
      <c r="E109" s="325">
        <f t="shared" si="50"/>
        <v>7.8720809066870501E-3</v>
      </c>
      <c r="F109" s="325">
        <f t="shared" si="50"/>
        <v>1.1837703067178211E-2</v>
      </c>
      <c r="G109" s="325">
        <f t="shared" si="50"/>
        <v>3.7682960014837265E-2</v>
      </c>
      <c r="H109" s="325">
        <f t="shared" si="50"/>
        <v>1.7408212913951997E-2</v>
      </c>
      <c r="I109" s="325">
        <f t="shared" si="50"/>
        <v>4.32535763225132E-3</v>
      </c>
      <c r="J109" s="325">
        <f t="shared" si="50"/>
        <v>-1.983842423683977E-2</v>
      </c>
      <c r="K109" s="325">
        <f t="shared" si="50"/>
        <v>2.2783756017106667E-5</v>
      </c>
      <c r="L109" s="325">
        <f t="shared" si="50"/>
        <v>-2.0570188955729533E-2</v>
      </c>
      <c r="M109" s="325">
        <f t="shared" si="50"/>
        <v>-7.6657148879555855E-3</v>
      </c>
      <c r="N109" s="325">
        <f t="shared" si="50"/>
        <v>-5.4781314983798944E-3</v>
      </c>
      <c r="O109" s="325">
        <f t="shared" si="50"/>
        <v>9.1039408336200042E-3</v>
      </c>
      <c r="P109" s="325">
        <f t="shared" si="50"/>
        <v>-3.6105270411741185E-3</v>
      </c>
      <c r="Q109" s="325">
        <f t="shared" si="50"/>
        <v>-8.3050468244026343E-2</v>
      </c>
      <c r="R109" s="325">
        <f t="shared" si="50"/>
        <v>-1.9817646455317844E-2</v>
      </c>
      <c r="S109" s="325">
        <f t="shared" si="50"/>
        <v>3.2943536445016529E-3</v>
      </c>
      <c r="T109" s="325">
        <f t="shared" si="50"/>
        <v>3.5377026664171296E-3</v>
      </c>
      <c r="U109" s="325">
        <f t="shared" si="50"/>
        <v>-4.4279523690920374E-4</v>
      </c>
      <c r="V109" s="325">
        <f t="shared" si="50"/>
        <v>9.9787746062501102E-3</v>
      </c>
      <c r="W109" s="325">
        <f t="shared" si="50"/>
        <v>3.8795028243839473E-3</v>
      </c>
      <c r="X109" s="325">
        <f t="shared" si="50"/>
        <v>8.7414061680630775E-3</v>
      </c>
      <c r="Y109" s="325">
        <f t="shared" si="50"/>
        <v>9.6834697102019685E-3</v>
      </c>
      <c r="Z109" s="325">
        <f t="shared" si="50"/>
        <v>6.2319252655632031E-4</v>
      </c>
      <c r="AA109" s="325">
        <f t="shared" si="50"/>
        <v>8.0962749425641869E-3</v>
      </c>
      <c r="AB109" s="325">
        <f t="shared" si="50"/>
        <v>6.626439095695256E-3</v>
      </c>
      <c r="AC109" s="307"/>
      <c r="AD109" s="307"/>
      <c r="AE109" s="307"/>
      <c r="AF109" s="307"/>
      <c r="AG109" s="307"/>
      <c r="AH109" s="307"/>
      <c r="AI109" s="307"/>
      <c r="AJ109" s="307"/>
      <c r="AK109" s="307"/>
      <c r="AL109" s="307"/>
      <c r="AM109" s="307"/>
      <c r="AN109" s="307"/>
      <c r="AO109" s="307"/>
      <c r="AP109" s="307"/>
      <c r="AQ109" s="307"/>
      <c r="AR109" s="307"/>
      <c r="AS109" s="307"/>
      <c r="AT109" s="307"/>
      <c r="AU109" s="307"/>
      <c r="AV109" s="307"/>
      <c r="AW109" s="307"/>
      <c r="AX109" s="307"/>
      <c r="AY109" s="307"/>
      <c r="AZ109" s="307"/>
      <c r="BA109" s="307"/>
      <c r="BB109" s="307"/>
      <c r="BC109" s="307"/>
      <c r="BD109" s="307"/>
      <c r="BE109" s="307"/>
      <c r="BF109" s="307"/>
      <c r="BG109" s="307"/>
    </row>
    <row r="110" spans="1:59" ht="15.75" customHeight="1" x14ac:dyDescent="0.2">
      <c r="A110" s="307"/>
      <c r="B110" s="307"/>
      <c r="C110" s="308" t="s">
        <v>220</v>
      </c>
      <c r="D110" s="325">
        <f t="shared" ref="D110:AB110" si="51">D97/D$99</f>
        <v>-0.1010542272072973</v>
      </c>
      <c r="E110" s="325">
        <f t="shared" si="51"/>
        <v>-0.14612153632214983</v>
      </c>
      <c r="F110" s="325">
        <f t="shared" si="51"/>
        <v>-9.3695351945760036E-2</v>
      </c>
      <c r="G110" s="325">
        <f t="shared" si="51"/>
        <v>-0.15695843961676667</v>
      </c>
      <c r="H110" s="325">
        <f t="shared" si="51"/>
        <v>-0.1216960758988465</v>
      </c>
      <c r="I110" s="325">
        <f t="shared" si="51"/>
        <v>-0.11049959627479931</v>
      </c>
      <c r="J110" s="325">
        <f t="shared" si="51"/>
        <v>-0.13810171437240948</v>
      </c>
      <c r="K110" s="325">
        <f t="shared" si="51"/>
        <v>-9.8299859094876152E-2</v>
      </c>
      <c r="L110" s="325">
        <f t="shared" si="51"/>
        <v>-0.26436833893702821</v>
      </c>
      <c r="M110" s="325">
        <f t="shared" si="51"/>
        <v>-0.14326434275778907</v>
      </c>
      <c r="N110" s="325">
        <f t="shared" si="51"/>
        <v>-0.12684176215943724</v>
      </c>
      <c r="O110" s="325">
        <f t="shared" si="51"/>
        <v>-8.8855543818089383E-2</v>
      </c>
      <c r="P110" s="325">
        <f t="shared" si="51"/>
        <v>-8.3580992040924146E-2</v>
      </c>
      <c r="Q110" s="325">
        <f t="shared" si="51"/>
        <v>-0.16396381391433643</v>
      </c>
      <c r="R110" s="325">
        <f t="shared" si="51"/>
        <v>-0.11315847562808866</v>
      </c>
      <c r="S110" s="325">
        <f t="shared" si="51"/>
        <v>-7.1472556910440452E-2</v>
      </c>
      <c r="T110" s="325">
        <f t="shared" si="51"/>
        <v>-0.12526081696459243</v>
      </c>
      <c r="U110" s="325">
        <f t="shared" si="51"/>
        <v>-0.11260774184561613</v>
      </c>
      <c r="V110" s="325">
        <f t="shared" si="51"/>
        <v>-0.30174521545530741</v>
      </c>
      <c r="W110" s="325">
        <f t="shared" si="51"/>
        <v>-0.14663080151066216</v>
      </c>
      <c r="X110" s="325">
        <f t="shared" si="51"/>
        <v>-0.10497557119155787</v>
      </c>
      <c r="Y110" s="325">
        <f t="shared" si="51"/>
        <v>-0.13458160695424251</v>
      </c>
      <c r="Z110" s="325">
        <f t="shared" si="51"/>
        <v>-0.10954741544703284</v>
      </c>
      <c r="AA110" s="325">
        <f t="shared" si="51"/>
        <v>-0.17717674798380589</v>
      </c>
      <c r="AB110" s="325">
        <f t="shared" si="51"/>
        <v>-0.13179735910648249</v>
      </c>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7"/>
      <c r="AX110" s="307"/>
      <c r="AY110" s="307"/>
      <c r="AZ110" s="307"/>
      <c r="BA110" s="307"/>
      <c r="BB110" s="307"/>
      <c r="BC110" s="307"/>
      <c r="BD110" s="307"/>
      <c r="BE110" s="307"/>
      <c r="BF110" s="307"/>
      <c r="BG110" s="307"/>
    </row>
    <row r="111" spans="1:59" ht="15.75" customHeight="1" x14ac:dyDescent="0.2">
      <c r="A111" s="268"/>
      <c r="B111" s="268"/>
      <c r="C111" s="304"/>
      <c r="D111" s="305"/>
      <c r="E111" s="305"/>
      <c r="F111" s="305"/>
      <c r="G111" s="305"/>
      <c r="H111" s="305"/>
      <c r="I111" s="305"/>
      <c r="J111" s="305"/>
      <c r="K111" s="305"/>
      <c r="L111" s="305"/>
      <c r="M111" s="305"/>
      <c r="N111" s="305"/>
      <c r="O111" s="305"/>
      <c r="P111" s="305"/>
      <c r="Q111" s="305"/>
      <c r="R111" s="306"/>
      <c r="S111" s="305"/>
      <c r="T111" s="305"/>
      <c r="U111" s="305"/>
      <c r="V111" s="305"/>
      <c r="W111" s="305"/>
      <c r="X111" s="305"/>
      <c r="Y111" s="305"/>
      <c r="Z111" s="305"/>
      <c r="AA111" s="305"/>
      <c r="AB111" s="305"/>
      <c r="AC111" s="270"/>
      <c r="AD111" s="270"/>
      <c r="AE111" s="270"/>
      <c r="AF111" s="270"/>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row>
    <row r="112" spans="1:59" ht="15.75" customHeight="1" x14ac:dyDescent="0.2">
      <c r="A112" s="210"/>
      <c r="B112" s="211" t="s">
        <v>221</v>
      </c>
      <c r="C112" s="211"/>
      <c r="D112" s="277" t="s">
        <v>98</v>
      </c>
      <c r="E112" s="277" t="s">
        <v>99</v>
      </c>
      <c r="F112" s="277" t="s">
        <v>100</v>
      </c>
      <c r="G112" s="277" t="s">
        <v>101</v>
      </c>
      <c r="H112" s="159">
        <v>2018</v>
      </c>
      <c r="I112" s="277" t="s">
        <v>102</v>
      </c>
      <c r="J112" s="277" t="s">
        <v>103</v>
      </c>
      <c r="K112" s="277" t="s">
        <v>104</v>
      </c>
      <c r="L112" s="277" t="s">
        <v>105</v>
      </c>
      <c r="M112" s="159">
        <v>2019</v>
      </c>
      <c r="N112" s="277" t="s">
        <v>158</v>
      </c>
      <c r="O112" s="277" t="s">
        <v>107</v>
      </c>
      <c r="P112" s="277" t="s">
        <v>108</v>
      </c>
      <c r="Q112" s="277" t="s">
        <v>109</v>
      </c>
      <c r="R112" s="159">
        <v>2020</v>
      </c>
      <c r="S112" s="277" t="s">
        <v>110</v>
      </c>
      <c r="T112" s="277" t="s">
        <v>111</v>
      </c>
      <c r="U112" s="277" t="s">
        <v>112</v>
      </c>
      <c r="V112" s="277" t="s">
        <v>113</v>
      </c>
      <c r="W112" s="159">
        <v>2021</v>
      </c>
      <c r="X112" s="277" t="s">
        <v>114</v>
      </c>
      <c r="Y112" s="277" t="s">
        <v>115</v>
      </c>
      <c r="Z112" s="277" t="str">
        <f>$Z$4</f>
        <v>3Q22</v>
      </c>
      <c r="AA112" s="277" t="str">
        <f>$AA$4</f>
        <v>4Q22</v>
      </c>
      <c r="AB112" s="160">
        <v>2022</v>
      </c>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row>
    <row r="113" spans="1:59" ht="15.75" customHeight="1" x14ac:dyDescent="0.2">
      <c r="A113" s="312"/>
      <c r="B113" s="312"/>
      <c r="C113" s="313" t="s">
        <v>214</v>
      </c>
      <c r="D113" s="325" t="s">
        <v>146</v>
      </c>
      <c r="E113" s="325" t="s">
        <v>146</v>
      </c>
      <c r="F113" s="325" t="s">
        <v>146</v>
      </c>
      <c r="G113" s="325" t="s">
        <v>146</v>
      </c>
      <c r="H113" s="325" t="s">
        <v>146</v>
      </c>
      <c r="I113" s="325">
        <f t="shared" ref="I113:AB113" si="52">I91/D91-1</f>
        <v>6.9947947325412319E-2</v>
      </c>
      <c r="J113" s="325">
        <f t="shared" si="52"/>
        <v>0.10855949981831148</v>
      </c>
      <c r="K113" s="325">
        <f t="shared" si="52"/>
        <v>-2.6850775666462767E-2</v>
      </c>
      <c r="L113" s="325">
        <f t="shared" si="52"/>
        <v>0.30124549121066857</v>
      </c>
      <c r="M113" s="325">
        <f t="shared" si="52"/>
        <v>0.10322681019239521</v>
      </c>
      <c r="N113" s="325">
        <f t="shared" si="52"/>
        <v>0.16165587536653647</v>
      </c>
      <c r="O113" s="325">
        <f t="shared" si="52"/>
        <v>8.8014846459483431E-2</v>
      </c>
      <c r="P113" s="325">
        <f t="shared" si="52"/>
        <v>-1.6452520625233058E-2</v>
      </c>
      <c r="Q113" s="325">
        <f t="shared" si="52"/>
        <v>-3.2492790949071648E-2</v>
      </c>
      <c r="R113" s="325">
        <f t="shared" si="52"/>
        <v>4.241265864872612E-2</v>
      </c>
      <c r="S113" s="325">
        <f t="shared" si="52"/>
        <v>0.27151305865431863</v>
      </c>
      <c r="T113" s="325">
        <f t="shared" si="52"/>
        <v>0.33873796889955576</v>
      </c>
      <c r="U113" s="325">
        <f t="shared" si="52"/>
        <v>0.19540517080264719</v>
      </c>
      <c r="V113" s="325">
        <f t="shared" si="52"/>
        <v>0.1153099648595981</v>
      </c>
      <c r="W113" s="325">
        <f t="shared" si="52"/>
        <v>0.22675284611996727</v>
      </c>
      <c r="X113" s="325">
        <f t="shared" si="52"/>
        <v>-0.11497510977152647</v>
      </c>
      <c r="Y113" s="325">
        <f t="shared" si="52"/>
        <v>-8.810427289272138E-2</v>
      </c>
      <c r="Z113" s="325">
        <f t="shared" si="52"/>
        <v>2.2558546820694581E-4</v>
      </c>
      <c r="AA113" s="325">
        <f t="shared" si="52"/>
        <v>3.9670572851850272E-2</v>
      </c>
      <c r="AB113" s="325">
        <f t="shared" si="52"/>
        <v>-4.2758957283552168E-2</v>
      </c>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2"/>
      <c r="AY113" s="312"/>
      <c r="AZ113" s="312"/>
      <c r="BA113" s="312"/>
      <c r="BB113" s="312"/>
      <c r="BC113" s="312"/>
      <c r="BD113" s="312"/>
      <c r="BE113" s="312"/>
      <c r="BF113" s="312"/>
      <c r="BG113" s="312"/>
    </row>
    <row r="114" spans="1:59" ht="15.75" customHeight="1" x14ac:dyDescent="0.2">
      <c r="A114" s="312"/>
      <c r="B114" s="312"/>
      <c r="C114" s="313" t="s">
        <v>215</v>
      </c>
      <c r="D114" s="325" t="s">
        <v>146</v>
      </c>
      <c r="E114" s="325" t="s">
        <v>146</v>
      </c>
      <c r="F114" s="325" t="s">
        <v>146</v>
      </c>
      <c r="G114" s="325" t="s">
        <v>146</v>
      </c>
      <c r="H114" s="325" t="s">
        <v>146</v>
      </c>
      <c r="I114" s="325">
        <f t="shared" ref="I114:AB114" si="53">I92/D92-1</f>
        <v>-0.27878709535742019</v>
      </c>
      <c r="J114" s="325">
        <f t="shared" si="53"/>
        <v>9.596983957393701E-2</v>
      </c>
      <c r="K114" s="325">
        <f t="shared" si="53"/>
        <v>-0.67345345629837061</v>
      </c>
      <c r="L114" s="325">
        <f t="shared" si="53"/>
        <v>-19.440874041741719</v>
      </c>
      <c r="M114" s="325">
        <f t="shared" si="53"/>
        <v>-3.4986641692529727</v>
      </c>
      <c r="N114" s="325">
        <f t="shared" si="53"/>
        <v>-1.3403250874931789</v>
      </c>
      <c r="O114" s="325">
        <f t="shared" si="53"/>
        <v>-0.95378597300968582</v>
      </c>
      <c r="P114" s="325">
        <f t="shared" si="53"/>
        <v>-2.2094197833060196</v>
      </c>
      <c r="Q114" s="325">
        <f t="shared" si="53"/>
        <v>-1.0100047779381234</v>
      </c>
      <c r="R114" s="325">
        <f t="shared" si="53"/>
        <v>-0.94467049239382761</v>
      </c>
      <c r="S114" s="325">
        <f t="shared" si="53"/>
        <v>-0.24748572076679887</v>
      </c>
      <c r="T114" s="325">
        <f t="shared" si="53"/>
        <v>-4.7143467427765255</v>
      </c>
      <c r="U114" s="325">
        <f t="shared" si="53"/>
        <v>-0.83034886565413812</v>
      </c>
      <c r="V114" s="325">
        <f t="shared" si="53"/>
        <v>-0.26538460147627718</v>
      </c>
      <c r="W114" s="325">
        <f t="shared" si="53"/>
        <v>-0.26344731863441206</v>
      </c>
      <c r="X114" s="325">
        <f t="shared" si="53"/>
        <v>-0.68172721814237092</v>
      </c>
      <c r="Y114" s="325">
        <f t="shared" si="53"/>
        <v>-2.0583340446866187</v>
      </c>
      <c r="Z114" s="325">
        <f t="shared" si="53"/>
        <v>-0.36431100644962899</v>
      </c>
      <c r="AA114" s="325">
        <f t="shared" si="53"/>
        <v>1.317781933337169</v>
      </c>
      <c r="AB114" s="325">
        <f t="shared" si="53"/>
        <v>-1.7040157281288719</v>
      </c>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2"/>
      <c r="AY114" s="312"/>
      <c r="AZ114" s="312"/>
      <c r="BA114" s="312"/>
      <c r="BB114" s="312"/>
      <c r="BC114" s="312"/>
      <c r="BD114" s="312"/>
      <c r="BE114" s="312"/>
      <c r="BF114" s="312"/>
      <c r="BG114" s="312"/>
    </row>
    <row r="115" spans="1:59" ht="15.75" customHeight="1" x14ac:dyDescent="0.2">
      <c r="A115" s="312"/>
      <c r="B115" s="312"/>
      <c r="C115" s="313" t="s">
        <v>216</v>
      </c>
      <c r="D115" s="325" t="s">
        <v>146</v>
      </c>
      <c r="E115" s="325" t="s">
        <v>146</v>
      </c>
      <c r="F115" s="325" t="s">
        <v>146</v>
      </c>
      <c r="G115" s="325" t="s">
        <v>146</v>
      </c>
      <c r="H115" s="325" t="s">
        <v>146</v>
      </c>
      <c r="I115" s="325">
        <f t="shared" ref="I115:AB115" si="54">I93/D93-1</f>
        <v>1.8378214163185658</v>
      </c>
      <c r="J115" s="325">
        <f t="shared" si="54"/>
        <v>0.23515022703310806</v>
      </c>
      <c r="K115" s="325">
        <f t="shared" si="54"/>
        <v>0.11571393011069975</v>
      </c>
      <c r="L115" s="325">
        <f t="shared" si="54"/>
        <v>0.18701303485581255</v>
      </c>
      <c r="M115" s="325">
        <f t="shared" si="54"/>
        <v>0.52702174997291551</v>
      </c>
      <c r="N115" s="325">
        <f t="shared" si="54"/>
        <v>-0.72365157547310899</v>
      </c>
      <c r="O115" s="325">
        <f t="shared" si="54"/>
        <v>0.13353563059324758</v>
      </c>
      <c r="P115" s="325">
        <f t="shared" si="54"/>
        <v>-0.27753321448378199</v>
      </c>
      <c r="Q115" s="325">
        <f t="shared" si="54"/>
        <v>-0.49277065667881759</v>
      </c>
      <c r="R115" s="325">
        <f t="shared" si="54"/>
        <v>-0.42311471917548571</v>
      </c>
      <c r="S115" s="325">
        <f t="shared" si="54"/>
        <v>1.3049037277393083</v>
      </c>
      <c r="T115" s="325">
        <f t="shared" si="54"/>
        <v>0.26657399075498467</v>
      </c>
      <c r="U115" s="325">
        <f t="shared" si="54"/>
        <v>0.18282103130422356</v>
      </c>
      <c r="V115" s="325">
        <f t="shared" si="54"/>
        <v>1.9785975955103994</v>
      </c>
      <c r="W115" s="325">
        <f t="shared" si="54"/>
        <v>0.67929785338221027</v>
      </c>
      <c r="X115" s="325">
        <f t="shared" si="54"/>
        <v>0.85666592402780894</v>
      </c>
      <c r="Y115" s="325">
        <f t="shared" si="54"/>
        <v>0.23403498414606116</v>
      </c>
      <c r="Z115" s="325">
        <f t="shared" si="54"/>
        <v>0.73538301763080227</v>
      </c>
      <c r="AA115" s="325">
        <f t="shared" si="54"/>
        <v>0.22864144367826134</v>
      </c>
      <c r="AB115" s="325">
        <f t="shared" si="54"/>
        <v>0.5174962104543106</v>
      </c>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row>
    <row r="116" spans="1:59" ht="15.75" customHeight="1" x14ac:dyDescent="0.2">
      <c r="A116" s="312"/>
      <c r="B116" s="312"/>
      <c r="C116" s="313" t="s">
        <v>217</v>
      </c>
      <c r="D116" s="325" t="s">
        <v>146</v>
      </c>
      <c r="E116" s="325" t="s">
        <v>146</v>
      </c>
      <c r="F116" s="325" t="s">
        <v>146</v>
      </c>
      <c r="G116" s="325" t="s">
        <v>146</v>
      </c>
      <c r="H116" s="325" t="s">
        <v>146</v>
      </c>
      <c r="I116" s="325">
        <f t="shared" ref="I116:AB116" si="55">I94/D94-1</f>
        <v>-8.5372520308699795E-2</v>
      </c>
      <c r="J116" s="325">
        <f t="shared" si="55"/>
        <v>-0.11900029396711476</v>
      </c>
      <c r="K116" s="325">
        <f t="shared" si="55"/>
        <v>8.6759385032933345E-2</v>
      </c>
      <c r="L116" s="325">
        <f t="shared" si="55"/>
        <v>0.22205988049010505</v>
      </c>
      <c r="M116" s="325">
        <f t="shared" si="55"/>
        <v>3.0531843935978964E-2</v>
      </c>
      <c r="N116" s="325">
        <f t="shared" si="55"/>
        <v>0.51766365609756781</v>
      </c>
      <c r="O116" s="325">
        <f t="shared" si="55"/>
        <v>0.89438699410952127</v>
      </c>
      <c r="P116" s="325">
        <f t="shared" si="55"/>
        <v>0.30367732811008263</v>
      </c>
      <c r="Q116" s="325">
        <f t="shared" si="55"/>
        <v>0.29399925970165275</v>
      </c>
      <c r="R116" s="325">
        <f t="shared" si="55"/>
        <v>0.46828020532255188</v>
      </c>
      <c r="S116" s="325">
        <f t="shared" si="55"/>
        <v>0.48750847325983893</v>
      </c>
      <c r="T116" s="325">
        <f t="shared" si="55"/>
        <v>3.868580672127786E-2</v>
      </c>
      <c r="U116" s="325">
        <f t="shared" si="55"/>
        <v>0.15793300533263399</v>
      </c>
      <c r="V116" s="325">
        <f t="shared" si="55"/>
        <v>0.24788244742512044</v>
      </c>
      <c r="W116" s="325">
        <f t="shared" si="55"/>
        <v>0.21360339124286143</v>
      </c>
      <c r="X116" s="325">
        <f t="shared" si="55"/>
        <v>-8.8194966828455512E-2</v>
      </c>
      <c r="Y116" s="325">
        <f t="shared" si="55"/>
        <v>3.7662397470999975E-2</v>
      </c>
      <c r="Z116" s="325">
        <f t="shared" si="55"/>
        <v>0.15888468697046632</v>
      </c>
      <c r="AA116" s="325">
        <f t="shared" si="55"/>
        <v>4.583206192796796E-2</v>
      </c>
      <c r="AB116" s="325">
        <f t="shared" si="55"/>
        <v>4.0557818580583493E-2</v>
      </c>
      <c r="AC116" s="312"/>
      <c r="AD116" s="312"/>
      <c r="AE116" s="312"/>
      <c r="AF116" s="312"/>
      <c r="AG116" s="312"/>
      <c r="AH116" s="312"/>
      <c r="AI116" s="312"/>
      <c r="AJ116" s="312"/>
      <c r="AK116" s="312"/>
      <c r="AL116" s="312"/>
      <c r="AM116" s="312"/>
      <c r="AN116" s="312"/>
      <c r="AO116" s="312"/>
      <c r="AP116" s="312"/>
      <c r="AQ116" s="312"/>
      <c r="AR116" s="312"/>
      <c r="AS116" s="312"/>
      <c r="AT116" s="312"/>
      <c r="AU116" s="312"/>
      <c r="AV116" s="312"/>
      <c r="AW116" s="312"/>
      <c r="AX116" s="312"/>
      <c r="AY116" s="312"/>
      <c r="AZ116" s="312"/>
      <c r="BA116" s="312"/>
      <c r="BB116" s="312"/>
      <c r="BC116" s="312"/>
      <c r="BD116" s="312"/>
      <c r="BE116" s="312"/>
      <c r="BF116" s="312"/>
      <c r="BG116" s="312"/>
    </row>
    <row r="117" spans="1:59" ht="15.75" customHeight="1" x14ac:dyDescent="0.2">
      <c r="A117" s="312"/>
      <c r="B117" s="312"/>
      <c r="C117" s="313" t="s">
        <v>218</v>
      </c>
      <c r="D117" s="325" t="s">
        <v>146</v>
      </c>
      <c r="E117" s="325" t="s">
        <v>146</v>
      </c>
      <c r="F117" s="325" t="s">
        <v>146</v>
      </c>
      <c r="G117" s="325" t="s">
        <v>146</v>
      </c>
      <c r="H117" s="325" t="s">
        <v>146</v>
      </c>
      <c r="I117" s="325">
        <f t="shared" ref="I117:AB117" si="56">I95/D95-1</f>
        <v>-1.70979498434414</v>
      </c>
      <c r="J117" s="325">
        <f t="shared" si="56"/>
        <v>-0.58639814104951349</v>
      </c>
      <c r="K117" s="325">
        <f t="shared" si="56"/>
        <v>0.54726844056331214</v>
      </c>
      <c r="L117" s="325">
        <f t="shared" si="56"/>
        <v>-6.4842759669260563E-2</v>
      </c>
      <c r="M117" s="325">
        <f t="shared" si="56"/>
        <v>0.29040042752750184</v>
      </c>
      <c r="N117" s="325">
        <f t="shared" si="56"/>
        <v>-0.75296545191370157</v>
      </c>
      <c r="O117" s="325">
        <f t="shared" si="56"/>
        <v>10.779762972235236</v>
      </c>
      <c r="P117" s="325">
        <f t="shared" si="56"/>
        <v>0.83568157588692515</v>
      </c>
      <c r="Q117" s="325">
        <f t="shared" si="56"/>
        <v>0.42288091882378942</v>
      </c>
      <c r="R117" s="325">
        <f t="shared" si="56"/>
        <v>1.0929008735241457</v>
      </c>
      <c r="S117" s="325">
        <f t="shared" si="56"/>
        <v>19.727484860471719</v>
      </c>
      <c r="T117" s="325">
        <f t="shared" si="56"/>
        <v>-0.35467276978312279</v>
      </c>
      <c r="U117" s="325">
        <f t="shared" si="56"/>
        <v>-0.35752617978159906</v>
      </c>
      <c r="V117" s="325">
        <f t="shared" si="56"/>
        <v>-0.29303560116994432</v>
      </c>
      <c r="W117" s="325">
        <f t="shared" si="56"/>
        <v>-0.14043432816713564</v>
      </c>
      <c r="X117" s="325">
        <f t="shared" si="56"/>
        <v>0.10028589238721097</v>
      </c>
      <c r="Y117" s="325">
        <f t="shared" si="56"/>
        <v>4.0592309235452095E-2</v>
      </c>
      <c r="Z117" s="325">
        <f t="shared" si="56"/>
        <v>-0.26459533710664018</v>
      </c>
      <c r="AA117" s="325">
        <f t="shared" si="56"/>
        <v>2.6910862860570095E-2</v>
      </c>
      <c r="AB117" s="325">
        <f t="shared" si="56"/>
        <v>-2.8410654306116445E-2</v>
      </c>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row>
    <row r="118" spans="1:59" ht="15.75" customHeight="1" x14ac:dyDescent="0.2">
      <c r="A118" s="312"/>
      <c r="B118" s="312"/>
      <c r="C118" s="313" t="s">
        <v>219</v>
      </c>
      <c r="D118" s="325" t="s">
        <v>146</v>
      </c>
      <c r="E118" s="325" t="s">
        <v>146</v>
      </c>
      <c r="F118" s="325" t="s">
        <v>146</v>
      </c>
      <c r="G118" s="325" t="s">
        <v>146</v>
      </c>
      <c r="H118" s="325" t="s">
        <v>146</v>
      </c>
      <c r="I118" s="325">
        <f t="shared" ref="I118:AB118" si="57">I96/D96-1</f>
        <v>-0.69095221364186032</v>
      </c>
      <c r="J118" s="325">
        <f t="shared" si="57"/>
        <v>-3.5649014880690122</v>
      </c>
      <c r="K118" s="325">
        <f t="shared" si="57"/>
        <v>-0.99806787471670655</v>
      </c>
      <c r="L118" s="325">
        <f t="shared" si="57"/>
        <v>-1.4579975169382884</v>
      </c>
      <c r="M118" s="325">
        <f t="shared" si="57"/>
        <v>-1.4291258732585563</v>
      </c>
      <c r="N118" s="325">
        <f t="shared" si="57"/>
        <v>-2.3245228028771878</v>
      </c>
      <c r="O118" s="325">
        <f t="shared" si="57"/>
        <v>-1.6704471562841421</v>
      </c>
      <c r="P118" s="325">
        <f t="shared" si="57"/>
        <v>-181.11370853981421</v>
      </c>
      <c r="Q118" s="325">
        <f t="shared" si="57"/>
        <v>5.3881799797180525</v>
      </c>
      <c r="R118" s="325">
        <f t="shared" si="57"/>
        <v>2.3054217959528835</v>
      </c>
      <c r="S118" s="325">
        <f t="shared" si="57"/>
        <v>-1.9707201655498854</v>
      </c>
      <c r="T118" s="325">
        <f t="shared" si="57"/>
        <v>-0.55448116731798069</v>
      </c>
      <c r="U118" s="325">
        <f t="shared" si="57"/>
        <v>-0.86832026003061547</v>
      </c>
      <c r="V118" s="325">
        <f t="shared" si="57"/>
        <v>-1.1320577657122339</v>
      </c>
      <c r="W118" s="325">
        <f t="shared" si="57"/>
        <v>-1.2364004073769141</v>
      </c>
      <c r="X118" s="325">
        <f t="shared" si="57"/>
        <v>1.7636585018870208</v>
      </c>
      <c r="Y118" s="325">
        <f t="shared" si="57"/>
        <v>1.4965501313311562</v>
      </c>
      <c r="Z118" s="325">
        <f t="shared" si="57"/>
        <v>-2.5931113718789636</v>
      </c>
      <c r="AA118" s="325">
        <f t="shared" si="57"/>
        <v>7.1832434011095847E-2</v>
      </c>
      <c r="AB118" s="325">
        <f t="shared" si="57"/>
        <v>0.8670299532877539</v>
      </c>
      <c r="AC118" s="312"/>
      <c r="AD118" s="312"/>
      <c r="AE118" s="312"/>
      <c r="AF118" s="312"/>
      <c r="AG118" s="312"/>
      <c r="AH118" s="312"/>
      <c r="AI118" s="312"/>
      <c r="AJ118" s="312"/>
      <c r="AK118" s="312"/>
      <c r="AL118" s="312"/>
      <c r="AM118" s="312"/>
      <c r="AN118" s="312"/>
      <c r="AO118" s="312"/>
      <c r="AP118" s="312"/>
      <c r="AQ118" s="312"/>
      <c r="AR118" s="312"/>
      <c r="AS118" s="312"/>
      <c r="AT118" s="312"/>
      <c r="AU118" s="312"/>
      <c r="AV118" s="312"/>
      <c r="AW118" s="312"/>
      <c r="AX118" s="312"/>
      <c r="AY118" s="312"/>
      <c r="AZ118" s="312"/>
      <c r="BA118" s="312"/>
      <c r="BB118" s="312"/>
      <c r="BC118" s="312"/>
      <c r="BD118" s="312"/>
      <c r="BE118" s="312"/>
      <c r="BF118" s="312"/>
      <c r="BG118" s="312"/>
    </row>
    <row r="119" spans="1:59" ht="15.75" customHeight="1" x14ac:dyDescent="0.2">
      <c r="A119" s="307"/>
      <c r="B119" s="307"/>
      <c r="C119" s="308" t="s">
        <v>220</v>
      </c>
      <c r="D119" s="325" t="s">
        <v>146</v>
      </c>
      <c r="E119" s="325" t="s">
        <v>146</v>
      </c>
      <c r="F119" s="325" t="s">
        <v>146</v>
      </c>
      <c r="G119" s="325" t="s">
        <v>146</v>
      </c>
      <c r="H119" s="325" t="s">
        <v>146</v>
      </c>
      <c r="I119" s="325">
        <f t="shared" ref="I119:AB119" si="58">I97/D97-1</f>
        <v>0.12136953022968355</v>
      </c>
      <c r="J119" s="325">
        <f t="shared" si="58"/>
        <v>-3.8082323803779183E-2</v>
      </c>
      <c r="K119" s="325">
        <f t="shared" si="58"/>
        <v>5.3203400968744319E-2</v>
      </c>
      <c r="L119" s="325">
        <f t="shared" si="58"/>
        <v>0.41317069087307323</v>
      </c>
      <c r="M119" s="325">
        <f t="shared" si="58"/>
        <v>0.14722278698472091</v>
      </c>
      <c r="N119" s="325">
        <f t="shared" si="58"/>
        <v>0.2004679894193564</v>
      </c>
      <c r="O119" s="325">
        <f t="shared" si="58"/>
        <v>-6.0000204675101476E-2</v>
      </c>
      <c r="P119" s="325">
        <f t="shared" si="58"/>
        <v>-3.3601796413691765E-2</v>
      </c>
      <c r="Q119" s="325">
        <f t="shared" si="58"/>
        <v>-1.8677156549423701E-2</v>
      </c>
      <c r="R119" s="325">
        <f t="shared" si="58"/>
        <v>9.8955283256298987E-3</v>
      </c>
      <c r="S119" s="325">
        <f t="shared" si="58"/>
        <v>-9.0435841430272834E-2</v>
      </c>
      <c r="T119" s="325">
        <f t="shared" si="58"/>
        <v>0.61623636960625716</v>
      </c>
      <c r="U119" s="325">
        <f t="shared" si="58"/>
        <v>0.44659629895615116</v>
      </c>
      <c r="V119" s="325">
        <f t="shared" si="58"/>
        <v>1.0226521392005052</v>
      </c>
      <c r="W119" s="325">
        <f t="shared" si="58"/>
        <v>0.56481263708294183</v>
      </c>
      <c r="X119" s="325">
        <f t="shared" si="58"/>
        <v>0.52975620257971268</v>
      </c>
      <c r="Y119" s="325">
        <f t="shared" si="58"/>
        <v>-2.0056376129101272E-2</v>
      </c>
      <c r="Z119" s="325">
        <f t="shared" si="58"/>
        <v>0.10118611809414446</v>
      </c>
      <c r="AA119" s="325">
        <f t="shared" si="58"/>
        <v>-0.2243153567077244</v>
      </c>
      <c r="AB119" s="325">
        <f t="shared" si="58"/>
        <v>-1.7508850450996261E-2</v>
      </c>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row>
    <row r="120" spans="1:59" ht="15.75" customHeight="1" x14ac:dyDescent="0.2">
      <c r="A120" s="307"/>
      <c r="B120" s="307"/>
      <c r="C120" s="308"/>
      <c r="D120" s="325"/>
      <c r="E120" s="325"/>
      <c r="F120" s="325"/>
      <c r="G120" s="325"/>
      <c r="H120" s="325"/>
      <c r="I120" s="325"/>
      <c r="J120" s="325"/>
      <c r="K120" s="325"/>
      <c r="L120" s="325"/>
      <c r="M120" s="325"/>
      <c r="N120" s="325"/>
      <c r="O120" s="325"/>
      <c r="P120" s="325"/>
      <c r="Q120" s="325"/>
      <c r="R120" s="334"/>
      <c r="S120" s="325"/>
      <c r="T120" s="325"/>
      <c r="U120" s="325"/>
      <c r="V120" s="325"/>
      <c r="W120" s="325"/>
      <c r="X120" s="325"/>
      <c r="Y120" s="325"/>
      <c r="Z120" s="325"/>
      <c r="AA120" s="325"/>
      <c r="AB120" s="325"/>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row>
    <row r="121" spans="1:59" ht="15.75" customHeight="1" x14ac:dyDescent="0.2">
      <c r="A121" s="210"/>
      <c r="B121" s="211" t="s">
        <v>222</v>
      </c>
      <c r="C121" s="211"/>
      <c r="D121" s="277" t="s">
        <v>98</v>
      </c>
      <c r="E121" s="277" t="s">
        <v>99</v>
      </c>
      <c r="F121" s="277" t="s">
        <v>100</v>
      </c>
      <c r="G121" s="277" t="s">
        <v>101</v>
      </c>
      <c r="H121" s="159">
        <v>2018</v>
      </c>
      <c r="I121" s="277" t="s">
        <v>102</v>
      </c>
      <c r="J121" s="277" t="s">
        <v>103</v>
      </c>
      <c r="K121" s="277" t="s">
        <v>104</v>
      </c>
      <c r="L121" s="277" t="s">
        <v>105</v>
      </c>
      <c r="M121" s="159">
        <v>2019</v>
      </c>
      <c r="N121" s="277" t="s">
        <v>158</v>
      </c>
      <c r="O121" s="277" t="s">
        <v>107</v>
      </c>
      <c r="P121" s="277" t="s">
        <v>108</v>
      </c>
      <c r="Q121" s="277" t="s">
        <v>109</v>
      </c>
      <c r="R121" s="159">
        <v>2020</v>
      </c>
      <c r="S121" s="277" t="s">
        <v>110</v>
      </c>
      <c r="T121" s="277" t="s">
        <v>111</v>
      </c>
      <c r="U121" s="277" t="s">
        <v>112</v>
      </c>
      <c r="V121" s="277" t="s">
        <v>113</v>
      </c>
      <c r="W121" s="159">
        <v>2021</v>
      </c>
      <c r="X121" s="277" t="s">
        <v>114</v>
      </c>
      <c r="Y121" s="277" t="s">
        <v>115</v>
      </c>
      <c r="Z121" s="277" t="str">
        <f>$Z$4</f>
        <v>3Q22</v>
      </c>
      <c r="AA121" s="277" t="str">
        <f>$AA$4</f>
        <v>4Q22</v>
      </c>
      <c r="AB121" s="160">
        <v>2022</v>
      </c>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row>
    <row r="122" spans="1:59" ht="15.75" customHeight="1" x14ac:dyDescent="0.2">
      <c r="A122" s="312"/>
      <c r="B122" s="312"/>
      <c r="C122" s="313" t="s">
        <v>214</v>
      </c>
      <c r="D122" s="140">
        <f>$D$91/D63</f>
        <v>0.46975807281385384</v>
      </c>
      <c r="E122" s="140">
        <f t="shared" ref="E122:AB122" si="59">E91/E63</f>
        <v>0.43671630093866448</v>
      </c>
      <c r="F122" s="140">
        <f t="shared" si="59"/>
        <v>0.49614192544872504</v>
      </c>
      <c r="G122" s="140">
        <f t="shared" si="59"/>
        <v>0.42071505212508314</v>
      </c>
      <c r="H122" s="140">
        <f t="shared" si="59"/>
        <v>0.45708912158856974</v>
      </c>
      <c r="I122" s="140">
        <f t="shared" si="59"/>
        <v>0.4965145865302647</v>
      </c>
      <c r="J122" s="140">
        <f t="shared" si="59"/>
        <v>0.47551982468779935</v>
      </c>
      <c r="K122" s="140">
        <f t="shared" si="59"/>
        <v>0.5218117532202331</v>
      </c>
      <c r="L122" s="140">
        <f t="shared" si="59"/>
        <v>0.53621021705521144</v>
      </c>
      <c r="M122" s="140">
        <f t="shared" si="59"/>
        <v>0.50885754787720505</v>
      </c>
      <c r="N122" s="140">
        <f t="shared" si="59"/>
        <v>0.53667402028614763</v>
      </c>
      <c r="O122" s="140">
        <f t="shared" si="59"/>
        <v>0.49463590562920329</v>
      </c>
      <c r="P122" s="140">
        <f t="shared" si="59"/>
        <v>0.51966393492085039</v>
      </c>
      <c r="Q122" s="140">
        <f t="shared" si="59"/>
        <v>0.52299828427430839</v>
      </c>
      <c r="R122" s="140">
        <f t="shared" si="59"/>
        <v>0.5186466111537289</v>
      </c>
      <c r="S122" s="140">
        <f t="shared" si="59"/>
        <v>0.61061469461355022</v>
      </c>
      <c r="T122" s="140">
        <f t="shared" si="59"/>
        <v>0.57300487880955597</v>
      </c>
      <c r="U122" s="140">
        <f t="shared" si="59"/>
        <v>0.56695306860912298</v>
      </c>
      <c r="V122" s="140">
        <f t="shared" si="59"/>
        <v>0.50814106521113112</v>
      </c>
      <c r="W122" s="140">
        <f t="shared" si="59"/>
        <v>0.56359816678751418</v>
      </c>
      <c r="X122" s="140">
        <f t="shared" si="59"/>
        <v>0.54848085793154366</v>
      </c>
      <c r="Y122" s="140">
        <f t="shared" si="59"/>
        <v>0.52270426848366214</v>
      </c>
      <c r="Z122" s="140">
        <f t="shared" si="59"/>
        <v>0.54456534525300815</v>
      </c>
      <c r="AA122" s="140">
        <f t="shared" si="59"/>
        <v>0.5326820803077571</v>
      </c>
      <c r="AB122" s="140">
        <f t="shared" si="59"/>
        <v>0.53705891835300601</v>
      </c>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row>
    <row r="123" spans="1:59" ht="15.75" customHeight="1" x14ac:dyDescent="0.2">
      <c r="A123" s="307"/>
      <c r="B123" s="307"/>
      <c r="C123" s="308" t="s">
        <v>215</v>
      </c>
      <c r="D123" s="140">
        <f t="shared" ref="D123:AB123" si="60">D92/D64</f>
        <v>0.34944392348289599</v>
      </c>
      <c r="E123" s="140">
        <f t="shared" si="60"/>
        <v>0.22790052043254491</v>
      </c>
      <c r="F123" s="140">
        <f t="shared" si="60"/>
        <v>0.22474296593573492</v>
      </c>
      <c r="G123" s="140">
        <f t="shared" si="60"/>
        <v>0.16170230859597945</v>
      </c>
      <c r="H123" s="140">
        <f t="shared" si="60"/>
        <v>0.23800022081847114</v>
      </c>
      <c r="I123" s="140">
        <f t="shared" si="60"/>
        <v>0.21539244875725461</v>
      </c>
      <c r="J123" s="140">
        <f t="shared" si="60"/>
        <v>0.20167134468136627</v>
      </c>
      <c r="K123" s="140">
        <f t="shared" si="60"/>
        <v>9.0211755995525861E-2</v>
      </c>
      <c r="L123" s="140">
        <f t="shared" si="60"/>
        <v>-3.716977658261567</v>
      </c>
      <c r="M123" s="140">
        <f t="shared" si="60"/>
        <v>-0.59430650509145611</v>
      </c>
      <c r="N123" s="140">
        <f t="shared" si="60"/>
        <v>-0.14146860456425478</v>
      </c>
      <c r="O123" s="140">
        <f t="shared" si="60"/>
        <v>1.9060105196505171E-2</v>
      </c>
      <c r="P123" s="140">
        <f t="shared" si="60"/>
        <v>-0.17035712331210781</v>
      </c>
      <c r="Q123" s="140">
        <f t="shared" si="60"/>
        <v>6.8001007939610961E-2</v>
      </c>
      <c r="R123" s="140">
        <f t="shared" si="60"/>
        <v>-6.0738935494534574E-2</v>
      </c>
      <c r="S123" s="140">
        <f t="shared" si="60"/>
        <v>-0.13642291364462492</v>
      </c>
      <c r="T123" s="140">
        <f t="shared" si="60"/>
        <v>-9.304096542183446E-2</v>
      </c>
      <c r="U123" s="140">
        <f t="shared" si="60"/>
        <v>-3.1901978468318389E-2</v>
      </c>
      <c r="V123" s="140">
        <f t="shared" si="60"/>
        <v>3.3388409844619688E-2</v>
      </c>
      <c r="W123" s="140">
        <f t="shared" si="60"/>
        <v>-4.7072056096112536E-2</v>
      </c>
      <c r="X123" s="140">
        <f t="shared" si="60"/>
        <v>-3.0424100418359995E-2</v>
      </c>
      <c r="Y123" s="140">
        <f t="shared" si="60"/>
        <v>7.8374461876776241E-2</v>
      </c>
      <c r="Z123" s="140">
        <f t="shared" si="60"/>
        <v>-1.3237276422239867E-2</v>
      </c>
      <c r="AA123" s="140">
        <f t="shared" si="60"/>
        <v>5.5061995995963287E-2</v>
      </c>
      <c r="AB123" s="140">
        <f t="shared" si="60"/>
        <v>2.3556528934388785E-2</v>
      </c>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row>
    <row r="124" spans="1:59" ht="15.75" customHeight="1" x14ac:dyDescent="0.2">
      <c r="A124" s="312"/>
      <c r="B124" s="312"/>
      <c r="C124" s="313" t="s">
        <v>216</v>
      </c>
      <c r="D124" s="140">
        <f t="shared" ref="D124:AB124" si="61">D93/D65</f>
        <v>0.11654775518963859</v>
      </c>
      <c r="E124" s="140">
        <f t="shared" si="61"/>
        <v>0.10740050908617084</v>
      </c>
      <c r="F124" s="140">
        <f t="shared" si="61"/>
        <v>0.17587615400146489</v>
      </c>
      <c r="G124" s="140">
        <f t="shared" si="61"/>
        <v>0.10056745998084982</v>
      </c>
      <c r="H124" s="140">
        <f t="shared" si="61"/>
        <v>0.12606070956590851</v>
      </c>
      <c r="I124" s="140">
        <f t="shared" si="61"/>
        <v>0.29945599980161297</v>
      </c>
      <c r="J124" s="140">
        <f t="shared" si="61"/>
        <v>0.14732715537346838</v>
      </c>
      <c r="K124" s="140">
        <f t="shared" si="61"/>
        <v>0.24866792506672855</v>
      </c>
      <c r="L124" s="140">
        <f t="shared" si="61"/>
        <v>0.17325856601397566</v>
      </c>
      <c r="M124" s="140">
        <f t="shared" si="61"/>
        <v>0.22288137437584885</v>
      </c>
      <c r="N124" s="140">
        <f t="shared" si="61"/>
        <v>0.12362524937882924</v>
      </c>
      <c r="O124" s="140">
        <f t="shared" si="61"/>
        <v>0.20866567668820898</v>
      </c>
      <c r="P124" s="140">
        <f t="shared" si="61"/>
        <v>0.20287290966054269</v>
      </c>
      <c r="Q124" s="140">
        <f t="shared" si="61"/>
        <v>9.0779060891467478E-2</v>
      </c>
      <c r="R124" s="140">
        <f t="shared" si="61"/>
        <v>0.15745032826430172</v>
      </c>
      <c r="S124" s="140">
        <f t="shared" si="61"/>
        <v>0.23908450015849109</v>
      </c>
      <c r="T124" s="140">
        <f t="shared" si="61"/>
        <v>0.21917423953432935</v>
      </c>
      <c r="U124" s="140">
        <f t="shared" si="61"/>
        <v>0.19201314834489874</v>
      </c>
      <c r="V124" s="140">
        <f t="shared" si="61"/>
        <v>0.17560361326380114</v>
      </c>
      <c r="W124" s="140">
        <f t="shared" si="61"/>
        <v>0.20405824222263225</v>
      </c>
      <c r="X124" s="140">
        <f t="shared" si="61"/>
        <v>0.30068415661465903</v>
      </c>
      <c r="Y124" s="140">
        <f t="shared" si="61"/>
        <v>0.1964408322017405</v>
      </c>
      <c r="Z124" s="140">
        <f t="shared" si="61"/>
        <v>0.24379736768162408</v>
      </c>
      <c r="AA124" s="140">
        <f t="shared" si="61"/>
        <v>0.21107903308924628</v>
      </c>
      <c r="AB124" s="140">
        <f t="shared" si="61"/>
        <v>0.23938700079429262</v>
      </c>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row>
    <row r="125" spans="1:59" ht="15.75" customHeight="1" x14ac:dyDescent="0.2">
      <c r="A125" s="307"/>
      <c r="B125" s="307"/>
      <c r="C125" s="308" t="s">
        <v>217</v>
      </c>
      <c r="D125" s="140">
        <f t="shared" ref="D125:AB125" si="62">D94/D66</f>
        <v>0.45207343295892827</v>
      </c>
      <c r="E125" s="140">
        <f t="shared" si="62"/>
        <v>0.4664654014934741</v>
      </c>
      <c r="F125" s="140">
        <f t="shared" si="62"/>
        <v>0.52654438614092725</v>
      </c>
      <c r="G125" s="140">
        <f t="shared" si="62"/>
        <v>0.47880988368751232</v>
      </c>
      <c r="H125" s="140">
        <f t="shared" si="62"/>
        <v>0.48216959553065752</v>
      </c>
      <c r="I125" s="140">
        <f t="shared" si="62"/>
        <v>0.42198377018907152</v>
      </c>
      <c r="J125" s="140">
        <f t="shared" si="62"/>
        <v>0.43298518442016293</v>
      </c>
      <c r="K125" s="140">
        <f t="shared" si="62"/>
        <v>0.542251609157127</v>
      </c>
      <c r="L125" s="140">
        <f t="shared" si="62"/>
        <v>0.48811367224503954</v>
      </c>
      <c r="M125" s="140">
        <f t="shared" si="62"/>
        <v>0.47540629084593261</v>
      </c>
      <c r="N125" s="140">
        <f t="shared" si="62"/>
        <v>0.48191020632553838</v>
      </c>
      <c r="O125" s="140">
        <f t="shared" si="62"/>
        <v>0.54277026887118762</v>
      </c>
      <c r="P125" s="140">
        <f t="shared" si="62"/>
        <v>0.50668209428604993</v>
      </c>
      <c r="Q125" s="140">
        <f t="shared" si="62"/>
        <v>0.43579644853536686</v>
      </c>
      <c r="R125" s="140">
        <f t="shared" si="62"/>
        <v>0.49053000824210458</v>
      </c>
      <c r="S125" s="140">
        <f t="shared" si="62"/>
        <v>0.53072961605752322</v>
      </c>
      <c r="T125" s="140">
        <f t="shared" si="62"/>
        <v>0.49603239750911915</v>
      </c>
      <c r="U125" s="140">
        <f t="shared" si="62"/>
        <v>0.50056204695475004</v>
      </c>
      <c r="V125" s="140">
        <f t="shared" si="62"/>
        <v>0.46786116323547161</v>
      </c>
      <c r="W125" s="140">
        <f t="shared" si="62"/>
        <v>0.49741357593292074</v>
      </c>
      <c r="X125" s="140">
        <f t="shared" si="62"/>
        <v>0.47026055321152471</v>
      </c>
      <c r="Y125" s="140">
        <f t="shared" si="62"/>
        <v>0.49537774709734889</v>
      </c>
      <c r="Z125" s="140">
        <f t="shared" si="62"/>
        <v>0.50480364132423461</v>
      </c>
      <c r="AA125" s="140">
        <f t="shared" si="62"/>
        <v>0.49017905557628544</v>
      </c>
      <c r="AB125" s="140">
        <f t="shared" si="62"/>
        <v>0.49105671526890188</v>
      </c>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row>
    <row r="126" spans="1:59" ht="15.75" customHeight="1" x14ac:dyDescent="0.2">
      <c r="A126" s="312"/>
      <c r="B126" s="312"/>
      <c r="C126" s="313" t="s">
        <v>218</v>
      </c>
      <c r="D126" s="140">
        <f t="shared" ref="D126:AB126" si="63">D95/D67</f>
        <v>-9.2356293745002455E-2</v>
      </c>
      <c r="E126" s="140">
        <f t="shared" si="63"/>
        <v>9.1545678655138268E-2</v>
      </c>
      <c r="F126" s="140">
        <f t="shared" si="63"/>
        <v>0.15804103407036366</v>
      </c>
      <c r="G126" s="140">
        <f t="shared" si="63"/>
        <v>0.31643465563405848</v>
      </c>
      <c r="H126" s="140">
        <f t="shared" si="63"/>
        <v>0.12950127903491424</v>
      </c>
      <c r="I126" s="140">
        <f t="shared" si="63"/>
        <v>6.1859419462580507E-2</v>
      </c>
      <c r="J126" s="140">
        <f t="shared" si="63"/>
        <v>4.1512668777531313E-2</v>
      </c>
      <c r="K126" s="140">
        <f t="shared" si="63"/>
        <v>0.23303530108104725</v>
      </c>
      <c r="L126" s="140">
        <f t="shared" si="63"/>
        <v>0.29496938641484755</v>
      </c>
      <c r="M126" s="140">
        <f t="shared" si="63"/>
        <v>0.16640570336215968</v>
      </c>
      <c r="N126" s="140">
        <f t="shared" si="63"/>
        <v>1.3170599068250379E-2</v>
      </c>
      <c r="O126" s="140">
        <f t="shared" si="63"/>
        <v>0.40720188593615636</v>
      </c>
      <c r="P126" s="140">
        <f t="shared" si="63"/>
        <v>0.41530718193341365</v>
      </c>
      <c r="Q126" s="140">
        <f t="shared" si="63"/>
        <v>0.34723478471309799</v>
      </c>
      <c r="R126" s="140">
        <f t="shared" si="63"/>
        <v>0.30405704652439591</v>
      </c>
      <c r="S126" s="140">
        <f t="shared" si="63"/>
        <v>0.22561471683946099</v>
      </c>
      <c r="T126" s="140">
        <f t="shared" si="63"/>
        <v>0.2339086389690129</v>
      </c>
      <c r="U126" s="140">
        <f t="shared" si="63"/>
        <v>0.24007865147600763</v>
      </c>
      <c r="V126" s="140">
        <f t="shared" si="63"/>
        <v>0.22372242247639654</v>
      </c>
      <c r="W126" s="140">
        <f t="shared" si="63"/>
        <v>0.23074605566302892</v>
      </c>
      <c r="X126" s="140">
        <f t="shared" si="63"/>
        <v>0.23725569934166221</v>
      </c>
      <c r="Y126" s="140">
        <f t="shared" si="63"/>
        <v>0.25056297644796927</v>
      </c>
      <c r="Z126" s="140">
        <f t="shared" si="63"/>
        <v>0.14947641413889143</v>
      </c>
      <c r="AA126" s="140">
        <f t="shared" si="63"/>
        <v>0.20504777183805004</v>
      </c>
      <c r="AB126" s="140">
        <f t="shared" si="63"/>
        <v>0.20727012954108293</v>
      </c>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row>
    <row r="127" spans="1:59" ht="15.75" customHeight="1" x14ac:dyDescent="0.2">
      <c r="A127" s="307"/>
      <c r="B127" s="307"/>
      <c r="C127" s="308" t="s">
        <v>219</v>
      </c>
      <c r="D127" s="140">
        <f t="shared" ref="D127:AB127" si="64">D96/D68</f>
        <v>8.6627611804404758E-2</v>
      </c>
      <c r="E127" s="140">
        <f t="shared" si="64"/>
        <v>3.5104323600503619E-2</v>
      </c>
      <c r="F127" s="140">
        <f t="shared" si="64"/>
        <v>0.16729967276616217</v>
      </c>
      <c r="G127" s="140">
        <f t="shared" si="64"/>
        <v>0.21985192364275175</v>
      </c>
      <c r="H127" s="140">
        <f t="shared" si="64"/>
        <v>0.11565384757963773</v>
      </c>
      <c r="I127" s="140">
        <f t="shared" si="64"/>
        <v>9.700485371401274E-2</v>
      </c>
      <c r="J127" s="140">
        <f t="shared" si="64"/>
        <v>-0.4723490258724668</v>
      </c>
      <c r="K127" s="140">
        <f t="shared" si="64"/>
        <v>1.1073831051489874E-3</v>
      </c>
      <c r="L127" s="140">
        <f t="shared" si="64"/>
        <v>-1.0087992545890716</v>
      </c>
      <c r="M127" s="140">
        <f t="shared" si="64"/>
        <v>-0.24350681926657636</v>
      </c>
      <c r="N127" s="140">
        <f t="shared" si="64"/>
        <v>-0.26394562993541931</v>
      </c>
      <c r="O127" s="140">
        <f t="shared" si="64"/>
        <v>0.60439584952454883</v>
      </c>
      <c r="P127" s="140">
        <f t="shared" si="64"/>
        <v>-0.35207252139008954</v>
      </c>
      <c r="Q127" s="140">
        <f t="shared" si="64"/>
        <v>-4.1532371940826245</v>
      </c>
      <c r="R127" s="140">
        <f t="shared" si="64"/>
        <v>-1.2371925714935539</v>
      </c>
      <c r="S127" s="140">
        <f t="shared" si="64"/>
        <v>5.545822958407385E-2</v>
      </c>
      <c r="T127" s="140">
        <f t="shared" si="64"/>
        <v>0.20205516627896827</v>
      </c>
      <c r="U127" s="140">
        <f t="shared" si="64"/>
        <v>-2.1490573147802144E-2</v>
      </c>
      <c r="V127" s="140">
        <f t="shared" si="64"/>
        <v>1.0564726124079455</v>
      </c>
      <c r="W127" s="140">
        <f t="shared" si="64"/>
        <v>0.13999242935271169</v>
      </c>
      <c r="X127" s="140">
        <f t="shared" si="64"/>
        <v>0.29866731913825939</v>
      </c>
      <c r="Y127" s="140">
        <f t="shared" si="64"/>
        <v>0.24300397526298043</v>
      </c>
      <c r="Z127" s="140">
        <f t="shared" si="64"/>
        <v>2.6523470850743646E-2</v>
      </c>
      <c r="AA127" s="140">
        <f t="shared" si="64"/>
        <v>0.87635781486606668</v>
      </c>
      <c r="AB127" s="140">
        <f t="shared" si="64"/>
        <v>0.26865050771030191</v>
      </c>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row>
    <row r="128" spans="1:59" ht="15.75" customHeight="1" x14ac:dyDescent="0.2">
      <c r="A128" s="307"/>
      <c r="B128" s="307"/>
      <c r="C128" s="308" t="s">
        <v>222</v>
      </c>
      <c r="D128" s="140">
        <f t="shared" ref="D128:AB128" si="65">D99/D70</f>
        <v>0.34227256517874022</v>
      </c>
      <c r="E128" s="140">
        <f t="shared" si="65"/>
        <v>0.31100155990688189</v>
      </c>
      <c r="F128" s="140">
        <f t="shared" si="65"/>
        <v>0.39624462125795173</v>
      </c>
      <c r="G128" s="140">
        <f t="shared" si="65"/>
        <v>0.30742274269601655</v>
      </c>
      <c r="H128" s="140">
        <f t="shared" si="65"/>
        <v>0.34025430128893797</v>
      </c>
      <c r="I128" s="140">
        <f t="shared" si="65"/>
        <v>0.358822614828744</v>
      </c>
      <c r="J128" s="140">
        <f t="shared" si="65"/>
        <v>0.34034239962841295</v>
      </c>
      <c r="K128" s="140">
        <f t="shared" si="65"/>
        <v>0.42608342463378579</v>
      </c>
      <c r="L128" s="140">
        <f t="shared" si="65"/>
        <v>0.26272638106997331</v>
      </c>
      <c r="M128" s="140">
        <f t="shared" si="65"/>
        <v>0.34715292606924836</v>
      </c>
      <c r="N128" s="140">
        <f t="shared" si="65"/>
        <v>0.34982443532212021</v>
      </c>
      <c r="O128" s="140">
        <f t="shared" si="65"/>
        <v>0.43012205322299263</v>
      </c>
      <c r="P128" s="140">
        <f t="shared" si="65"/>
        <v>0.43039816693224103</v>
      </c>
      <c r="Q128" s="140">
        <f t="shared" si="65"/>
        <v>0.35376108013867752</v>
      </c>
      <c r="R128" s="140">
        <f t="shared" si="65"/>
        <v>0.39170671211484004</v>
      </c>
      <c r="S128" s="140">
        <f t="shared" si="65"/>
        <v>0.45254961692291518</v>
      </c>
      <c r="T128" s="140">
        <f t="shared" si="65"/>
        <v>0.43254401048358165</v>
      </c>
      <c r="U128" s="140">
        <f t="shared" si="65"/>
        <v>0.40279598044624726</v>
      </c>
      <c r="V128" s="140">
        <f t="shared" si="65"/>
        <v>0.32826280019225318</v>
      </c>
      <c r="W128" s="140">
        <f t="shared" si="65"/>
        <v>0.40155347557367027</v>
      </c>
      <c r="X128" s="140">
        <f t="shared" si="65"/>
        <v>0.45163374136047468</v>
      </c>
      <c r="Y128" s="140">
        <f t="shared" si="65"/>
        <v>0.37289037931065888</v>
      </c>
      <c r="Z128" s="140">
        <f t="shared" si="65"/>
        <v>0.4005964484169538</v>
      </c>
      <c r="AA128" s="140">
        <f t="shared" si="65"/>
        <v>0.42895741657167991</v>
      </c>
      <c r="AB128" s="140">
        <f t="shared" si="65"/>
        <v>0.41319564389579738</v>
      </c>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row>
    <row r="129" spans="1:59" ht="15.75" customHeight="1" x14ac:dyDescent="0.2">
      <c r="A129" s="268"/>
      <c r="B129" s="268"/>
      <c r="C129" s="304"/>
      <c r="D129" s="305"/>
      <c r="E129" s="305"/>
      <c r="F129" s="305"/>
      <c r="G129" s="305"/>
      <c r="H129" s="305"/>
      <c r="I129" s="305"/>
      <c r="J129" s="305"/>
      <c r="K129" s="305"/>
      <c r="L129" s="305"/>
      <c r="M129" s="305"/>
      <c r="N129" s="305"/>
      <c r="O129" s="305"/>
      <c r="P129" s="305"/>
      <c r="Q129" s="305"/>
      <c r="R129" s="306"/>
      <c r="S129" s="305"/>
      <c r="T129" s="305"/>
      <c r="U129" s="305"/>
      <c r="V129" s="305"/>
      <c r="W129" s="305"/>
      <c r="X129" s="305"/>
      <c r="Y129" s="305"/>
      <c r="Z129" s="305"/>
      <c r="AA129" s="305"/>
      <c r="AB129" s="305"/>
      <c r="AC129" s="270"/>
      <c r="AD129" s="270"/>
      <c r="AE129" s="270"/>
      <c r="AF129" s="270"/>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row>
    <row r="130" spans="1:59" ht="15.75" customHeight="1" x14ac:dyDescent="0.2">
      <c r="A130" s="210"/>
      <c r="B130" s="211" t="s">
        <v>223</v>
      </c>
      <c r="C130" s="211"/>
      <c r="D130" s="277" t="s">
        <v>98</v>
      </c>
      <c r="E130" s="277" t="s">
        <v>99</v>
      </c>
      <c r="F130" s="277" t="s">
        <v>100</v>
      </c>
      <c r="G130" s="277" t="s">
        <v>101</v>
      </c>
      <c r="H130" s="159">
        <v>2018</v>
      </c>
      <c r="I130" s="277" t="s">
        <v>102</v>
      </c>
      <c r="J130" s="277" t="s">
        <v>103</v>
      </c>
      <c r="K130" s="277" t="s">
        <v>104</v>
      </c>
      <c r="L130" s="277" t="s">
        <v>105</v>
      </c>
      <c r="M130" s="159">
        <v>2019</v>
      </c>
      <c r="N130" s="277" t="s">
        <v>158</v>
      </c>
      <c r="O130" s="277" t="s">
        <v>107</v>
      </c>
      <c r="P130" s="277" t="s">
        <v>108</v>
      </c>
      <c r="Q130" s="277" t="s">
        <v>109</v>
      </c>
      <c r="R130" s="159">
        <v>2020</v>
      </c>
      <c r="S130" s="277" t="s">
        <v>110</v>
      </c>
      <c r="T130" s="277" t="s">
        <v>111</v>
      </c>
      <c r="U130" s="277" t="s">
        <v>112</v>
      </c>
      <c r="V130" s="277" t="s">
        <v>113</v>
      </c>
      <c r="W130" s="159">
        <v>2021</v>
      </c>
      <c r="X130" s="277" t="s">
        <v>114</v>
      </c>
      <c r="Y130" s="277" t="s">
        <v>115</v>
      </c>
      <c r="Z130" s="277" t="str">
        <f>$Z$4</f>
        <v>3Q22</v>
      </c>
      <c r="AA130" s="277" t="str">
        <f>$AA$4</f>
        <v>4Q22</v>
      </c>
      <c r="AB130" s="160">
        <v>2022</v>
      </c>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row>
    <row r="131" spans="1:59" ht="15.75" customHeight="1" x14ac:dyDescent="0.2">
      <c r="A131" s="210"/>
      <c r="B131" s="211" t="s">
        <v>224</v>
      </c>
      <c r="C131" s="211"/>
      <c r="D131" s="277"/>
      <c r="E131" s="277"/>
      <c r="F131" s="277"/>
      <c r="G131" s="277"/>
      <c r="H131" s="159"/>
      <c r="I131" s="277"/>
      <c r="J131" s="277"/>
      <c r="K131" s="277"/>
      <c r="L131" s="277"/>
      <c r="M131" s="159"/>
      <c r="N131" s="277"/>
      <c r="O131" s="277"/>
      <c r="P131" s="277"/>
      <c r="Q131" s="277"/>
      <c r="R131" s="159"/>
      <c r="S131" s="277"/>
      <c r="T131" s="277"/>
      <c r="U131" s="277"/>
      <c r="V131" s="277"/>
      <c r="W131" s="159"/>
      <c r="X131" s="277"/>
      <c r="Y131" s="277"/>
      <c r="Z131" s="277"/>
      <c r="AA131" s="277"/>
      <c r="AB131" s="159"/>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row>
    <row r="132" spans="1:59" ht="15.75" customHeight="1" x14ac:dyDescent="0.2">
      <c r="A132" s="307"/>
      <c r="B132" s="307"/>
      <c r="C132" s="308" t="s">
        <v>225</v>
      </c>
      <c r="D132" s="292">
        <f t="shared" ref="D132:AB132" si="66">D5</f>
        <v>387.28230541999994</v>
      </c>
      <c r="E132" s="292">
        <f t="shared" si="66"/>
        <v>416.07024279499893</v>
      </c>
      <c r="F132" s="292">
        <f t="shared" si="66"/>
        <v>451.33237634500125</v>
      </c>
      <c r="G132" s="292">
        <f t="shared" si="66"/>
        <v>422.78488874000027</v>
      </c>
      <c r="H132" s="292">
        <f t="shared" si="66"/>
        <v>1677.4698133000004</v>
      </c>
      <c r="I132" s="292">
        <f t="shared" si="66"/>
        <v>378.84580550999999</v>
      </c>
      <c r="J132" s="292">
        <f t="shared" si="66"/>
        <v>386.96014074000004</v>
      </c>
      <c r="K132" s="292">
        <f t="shared" si="66"/>
        <v>421.34964608000001</v>
      </c>
      <c r="L132" s="292">
        <f t="shared" si="66"/>
        <v>415.07026023000003</v>
      </c>
      <c r="M132" s="292">
        <f t="shared" si="66"/>
        <v>1602.22585256</v>
      </c>
      <c r="N132" s="292">
        <f t="shared" si="66"/>
        <v>406.38826307000005</v>
      </c>
      <c r="O132" s="292">
        <f t="shared" si="66"/>
        <v>447.33499911999996</v>
      </c>
      <c r="P132" s="292">
        <f t="shared" si="66"/>
        <v>474.09824527000006</v>
      </c>
      <c r="Q132" s="292">
        <f t="shared" si="66"/>
        <v>487.74024132999995</v>
      </c>
      <c r="R132" s="292">
        <f t="shared" si="66"/>
        <v>1815.5617487899999</v>
      </c>
      <c r="S132" s="292">
        <f t="shared" si="66"/>
        <v>507.08572290999996</v>
      </c>
      <c r="T132" s="292">
        <f t="shared" si="66"/>
        <v>509.99797374000002</v>
      </c>
      <c r="U132" s="292">
        <f t="shared" si="66"/>
        <v>543.92654571000003</v>
      </c>
      <c r="V132" s="292">
        <f t="shared" si="66"/>
        <v>577.70454937</v>
      </c>
      <c r="W132" s="292">
        <f t="shared" si="66"/>
        <v>2138.7147917299999</v>
      </c>
      <c r="X132" s="292">
        <f t="shared" si="66"/>
        <v>529.20000000000005</v>
      </c>
      <c r="Y132" s="292">
        <f t="shared" si="66"/>
        <v>539.57049874000006</v>
      </c>
      <c r="Z132" s="292">
        <f t="shared" si="66"/>
        <v>619.07765617999996</v>
      </c>
      <c r="AA132" s="292">
        <f t="shared" si="66"/>
        <v>584.02593898999999</v>
      </c>
      <c r="AB132" s="292">
        <f t="shared" si="66"/>
        <v>2271.8740939099998</v>
      </c>
      <c r="AC132" s="270"/>
      <c r="AD132" s="270"/>
      <c r="AE132" s="270"/>
      <c r="AF132" s="270"/>
      <c r="AG132" s="270"/>
      <c r="AH132" s="270"/>
      <c r="AI132" s="270"/>
      <c r="AJ132" s="270"/>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row>
    <row r="133" spans="1:59" ht="15.75" customHeight="1" x14ac:dyDescent="0.2">
      <c r="A133" s="312"/>
      <c r="B133" s="312"/>
      <c r="C133" s="308" t="s">
        <v>226</v>
      </c>
      <c r="D133" s="325" t="s">
        <v>146</v>
      </c>
      <c r="E133" s="325" t="s">
        <v>146</v>
      </c>
      <c r="F133" s="325" t="s">
        <v>146</v>
      </c>
      <c r="G133" s="325" t="s">
        <v>146</v>
      </c>
      <c r="H133" s="325" t="s">
        <v>146</v>
      </c>
      <c r="I133" s="325">
        <f t="shared" ref="I133:AB133" si="67">I132/D132-1</f>
        <v>-2.1783850674124472E-2</v>
      </c>
      <c r="J133" s="325">
        <f t="shared" si="67"/>
        <v>-6.9964393174211326E-2</v>
      </c>
      <c r="K133" s="325">
        <f t="shared" si="67"/>
        <v>-6.6431596394233128E-2</v>
      </c>
      <c r="L133" s="325">
        <f t="shared" si="67"/>
        <v>-1.8247171825349962E-2</v>
      </c>
      <c r="M133" s="325">
        <f t="shared" si="67"/>
        <v>-4.4855627292616829E-2</v>
      </c>
      <c r="N133" s="325">
        <f t="shared" si="67"/>
        <v>7.2700970050130431E-2</v>
      </c>
      <c r="O133" s="325">
        <f t="shared" si="67"/>
        <v>0.15602345570926901</v>
      </c>
      <c r="P133" s="325">
        <f t="shared" si="67"/>
        <v>0.12518961314135035</v>
      </c>
      <c r="Q133" s="325">
        <f t="shared" si="67"/>
        <v>0.17507874705292492</v>
      </c>
      <c r="R133" s="325">
        <f t="shared" si="67"/>
        <v>0.13314970288935024</v>
      </c>
      <c r="S133" s="325">
        <f t="shared" si="67"/>
        <v>0.24778633880638146</v>
      </c>
      <c r="T133" s="325">
        <f t="shared" si="67"/>
        <v>0.14008064368598716</v>
      </c>
      <c r="U133" s="325">
        <f t="shared" si="67"/>
        <v>0.14728656167084653</v>
      </c>
      <c r="V133" s="325">
        <f t="shared" si="67"/>
        <v>0.18445127224827673</v>
      </c>
      <c r="W133" s="325">
        <f t="shared" si="67"/>
        <v>0.17799066495830762</v>
      </c>
      <c r="X133" s="325">
        <f t="shared" si="67"/>
        <v>4.3610529918084451E-2</v>
      </c>
      <c r="Y133" s="325">
        <f t="shared" si="67"/>
        <v>5.7985573517349565E-2</v>
      </c>
      <c r="Z133" s="325">
        <f t="shared" si="67"/>
        <v>0.13816407943815912</v>
      </c>
      <c r="AA133" s="325">
        <f t="shared" si="67"/>
        <v>1.0942253487346898E-2</v>
      </c>
      <c r="AB133" s="325">
        <f t="shared" si="67"/>
        <v>6.2261364953803744E-2</v>
      </c>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c r="BD133" s="312"/>
      <c r="BE133" s="312"/>
      <c r="BF133" s="312"/>
      <c r="BG133" s="312"/>
    </row>
    <row r="134" spans="1:59" ht="15.75" customHeight="1" x14ac:dyDescent="0.2">
      <c r="A134" s="268"/>
      <c r="B134" s="268"/>
      <c r="C134" s="304"/>
      <c r="D134" s="304"/>
      <c r="E134" s="304"/>
      <c r="F134" s="304"/>
      <c r="G134" s="304"/>
      <c r="H134" s="304"/>
      <c r="I134" s="304"/>
      <c r="J134" s="304"/>
      <c r="K134" s="305"/>
      <c r="L134" s="305"/>
      <c r="M134" s="305"/>
      <c r="N134" s="305"/>
      <c r="O134" s="305"/>
      <c r="P134" s="305"/>
      <c r="Q134" s="305"/>
      <c r="R134" s="306"/>
      <c r="S134" s="305"/>
      <c r="T134" s="305"/>
      <c r="U134" s="305"/>
      <c r="V134" s="305"/>
      <c r="W134" s="305"/>
      <c r="X134" s="305"/>
      <c r="Y134" s="305"/>
      <c r="Z134" s="305"/>
      <c r="AA134" s="305"/>
      <c r="AB134" s="305"/>
      <c r="AC134" s="270"/>
      <c r="AD134" s="270"/>
      <c r="AE134" s="270"/>
      <c r="AF134" s="270"/>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row>
    <row r="135" spans="1:59" ht="15.75" customHeight="1" x14ac:dyDescent="0.2">
      <c r="A135" s="278"/>
      <c r="B135" s="278"/>
      <c r="C135" s="335" t="s">
        <v>227</v>
      </c>
      <c r="D135" s="292">
        <f t="shared" ref="D135:AB135" si="68">SUM(D137:D139)</f>
        <v>-254.1</v>
      </c>
      <c r="E135" s="292">
        <f t="shared" si="68"/>
        <v>-282.8</v>
      </c>
      <c r="F135" s="292">
        <f t="shared" si="68"/>
        <v>-270.39999999999998</v>
      </c>
      <c r="G135" s="292">
        <f t="shared" si="68"/>
        <v>-283.3</v>
      </c>
      <c r="H135" s="292">
        <f t="shared" si="68"/>
        <v>-1090.5999999999999</v>
      </c>
      <c r="I135" s="292">
        <f t="shared" si="68"/>
        <v>-238</v>
      </c>
      <c r="J135" s="292">
        <f t="shared" si="68"/>
        <v>-257.8</v>
      </c>
      <c r="K135" s="292">
        <f t="shared" si="68"/>
        <v>-240.7</v>
      </c>
      <c r="L135" s="292">
        <f t="shared" si="68"/>
        <v>-258.8</v>
      </c>
      <c r="M135" s="292">
        <f t="shared" si="68"/>
        <v>-995.3</v>
      </c>
      <c r="N135" s="292">
        <f t="shared" si="68"/>
        <v>-246.42371842000003</v>
      </c>
      <c r="O135" s="292">
        <f t="shared" si="68"/>
        <v>-248.92635081999998</v>
      </c>
      <c r="P135" s="292">
        <f t="shared" si="68"/>
        <v>-270.44722956000004</v>
      </c>
      <c r="Q135" s="292">
        <f t="shared" si="68"/>
        <v>-319.49672672999992</v>
      </c>
      <c r="R135" s="292">
        <f t="shared" si="68"/>
        <v>-1085.29402553</v>
      </c>
      <c r="S135" s="292">
        <f t="shared" si="68"/>
        <v>-267.02989581999998</v>
      </c>
      <c r="T135" s="292">
        <f t="shared" si="68"/>
        <v>-291.93900688000002</v>
      </c>
      <c r="U135" s="292">
        <f t="shared" si="68"/>
        <v>-309.71091723000001</v>
      </c>
      <c r="V135" s="292">
        <f t="shared" si="68"/>
        <v>-376.57855431999997</v>
      </c>
      <c r="W135" s="292">
        <f t="shared" si="68"/>
        <v>-1245.2583742500001</v>
      </c>
      <c r="X135" s="292">
        <f t="shared" si="68"/>
        <v>-311.74806505999999</v>
      </c>
      <c r="Y135" s="292">
        <f t="shared" si="68"/>
        <v>-320.43337122000003</v>
      </c>
      <c r="Z135" s="292">
        <f t="shared" si="68"/>
        <v>-358.32994966999996</v>
      </c>
      <c r="AA135" s="292">
        <f t="shared" si="68"/>
        <v>-359.93399182999997</v>
      </c>
      <c r="AB135" s="292">
        <f t="shared" si="68"/>
        <v>-1350.4453777799999</v>
      </c>
      <c r="AC135" s="276"/>
      <c r="AD135" s="276"/>
      <c r="AE135" s="276"/>
      <c r="AF135" s="276"/>
      <c r="AG135" s="276"/>
      <c r="AH135" s="276"/>
      <c r="AI135" s="276"/>
      <c r="AJ135" s="276"/>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row>
    <row r="136" spans="1:59" ht="15.75" customHeight="1" x14ac:dyDescent="0.2">
      <c r="A136" s="312"/>
      <c r="B136" s="312"/>
      <c r="C136" s="308" t="s">
        <v>226</v>
      </c>
      <c r="D136" s="325" t="s">
        <v>146</v>
      </c>
      <c r="E136" s="325" t="s">
        <v>146</v>
      </c>
      <c r="F136" s="325" t="s">
        <v>146</v>
      </c>
      <c r="G136" s="325" t="s">
        <v>146</v>
      </c>
      <c r="H136" s="325" t="s">
        <v>146</v>
      </c>
      <c r="I136" s="325">
        <f t="shared" ref="I136:AB136" si="69">I135/D135-1</f>
        <v>-6.3360881542699699E-2</v>
      </c>
      <c r="J136" s="325">
        <f t="shared" si="69"/>
        <v>-8.8401697312588401E-2</v>
      </c>
      <c r="K136" s="325">
        <f t="shared" si="69"/>
        <v>-0.1098372781065089</v>
      </c>
      <c r="L136" s="325">
        <f t="shared" si="69"/>
        <v>-8.6480762442640358E-2</v>
      </c>
      <c r="M136" s="325">
        <f t="shared" si="69"/>
        <v>-8.7383091876031549E-2</v>
      </c>
      <c r="N136" s="325">
        <f t="shared" si="69"/>
        <v>3.5393774873949679E-2</v>
      </c>
      <c r="O136" s="325">
        <f t="shared" si="69"/>
        <v>-3.4420671761055233E-2</v>
      </c>
      <c r="P136" s="325">
        <f t="shared" si="69"/>
        <v>0.12358632970502725</v>
      </c>
      <c r="Q136" s="325">
        <f t="shared" si="69"/>
        <v>0.23453140158423458</v>
      </c>
      <c r="R136" s="325">
        <f t="shared" si="69"/>
        <v>9.0418994805586239E-2</v>
      </c>
      <c r="S136" s="325">
        <f t="shared" si="69"/>
        <v>8.3620917386203697E-2</v>
      </c>
      <c r="T136" s="325">
        <f t="shared" si="69"/>
        <v>0.17279269919922102</v>
      </c>
      <c r="U136" s="325">
        <f t="shared" si="69"/>
        <v>0.14518058748052032</v>
      </c>
      <c r="V136" s="325">
        <f t="shared" si="69"/>
        <v>0.17866169764624451</v>
      </c>
      <c r="W136" s="325">
        <f t="shared" si="69"/>
        <v>0.14739263734717611</v>
      </c>
      <c r="X136" s="325">
        <f t="shared" si="69"/>
        <v>0.16746502897242532</v>
      </c>
      <c r="Y136" s="325">
        <f t="shared" si="69"/>
        <v>9.7603827061426118E-2</v>
      </c>
      <c r="Z136" s="325">
        <f t="shared" si="69"/>
        <v>0.15698197814542691</v>
      </c>
      <c r="AA136" s="325">
        <f t="shared" si="69"/>
        <v>-4.4199443380560033E-2</v>
      </c>
      <c r="AB136" s="325">
        <f t="shared" si="69"/>
        <v>8.4470023012977125E-2</v>
      </c>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c r="AY136" s="312"/>
      <c r="AZ136" s="312"/>
      <c r="BA136" s="312"/>
      <c r="BB136" s="312"/>
      <c r="BC136" s="312"/>
      <c r="BD136" s="312"/>
      <c r="BE136" s="312"/>
      <c r="BF136" s="312"/>
      <c r="BG136" s="312"/>
    </row>
    <row r="137" spans="1:59" ht="15.75" customHeight="1" x14ac:dyDescent="0.2">
      <c r="A137" s="268"/>
      <c r="B137" s="268"/>
      <c r="C137" s="218" t="s">
        <v>228</v>
      </c>
      <c r="D137" s="219">
        <v>-34</v>
      </c>
      <c r="E137" s="219">
        <v>-38</v>
      </c>
      <c r="F137" s="219">
        <v>-30</v>
      </c>
      <c r="G137" s="219">
        <v>-36</v>
      </c>
      <c r="H137" s="219">
        <f t="shared" ref="H137:H139" si="70">SUM(D137:G137)</f>
        <v>-138</v>
      </c>
      <c r="I137" s="219">
        <v>-24</v>
      </c>
      <c r="J137" s="219">
        <v>-26</v>
      </c>
      <c r="K137" s="219">
        <v>-22</v>
      </c>
      <c r="L137" s="219">
        <v>-28</v>
      </c>
      <c r="M137" s="219">
        <f t="shared" ref="M137:M139" si="71">SUM(I137:L137)</f>
        <v>-100</v>
      </c>
      <c r="N137" s="219">
        <v>-23</v>
      </c>
      <c r="O137" s="219">
        <v>-21</v>
      </c>
      <c r="P137" s="219">
        <v>-25</v>
      </c>
      <c r="Q137" s="219">
        <v>-30</v>
      </c>
      <c r="R137" s="219">
        <f t="shared" ref="R137:R139" si="72">SUM(N137:Q137)</f>
        <v>-99</v>
      </c>
      <c r="S137" s="219">
        <v>-31.391560640000002</v>
      </c>
      <c r="T137" s="219">
        <v>-29.266194599999999</v>
      </c>
      <c r="U137" s="219">
        <v>-33.306676340000003</v>
      </c>
      <c r="V137" s="219">
        <v>-35.970127679999997</v>
      </c>
      <c r="W137" s="219">
        <f t="shared" ref="W137:W139" si="73">SUM(S137:V137)</f>
        <v>-129.93455925999999</v>
      </c>
      <c r="X137" s="219">
        <v>-36.336787370000003</v>
      </c>
      <c r="Y137" s="219">
        <v>-39.542739210000001</v>
      </c>
      <c r="Z137" s="219">
        <v>-49.23327166</v>
      </c>
      <c r="AA137" s="219">
        <v>-44.937018120000005</v>
      </c>
      <c r="AB137" s="219">
        <f t="shared" ref="AB137:AB139" si="74">SUM(X137:AA137)</f>
        <v>-170.04981636000002</v>
      </c>
      <c r="AC137" s="220"/>
      <c r="AD137" s="220"/>
      <c r="AE137" s="220"/>
      <c r="AF137" s="220"/>
      <c r="AG137" s="220"/>
      <c r="AH137" s="220"/>
      <c r="AI137" s="220"/>
      <c r="AJ137" s="220"/>
      <c r="AK137" s="221"/>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row>
    <row r="138" spans="1:59" ht="15.75" customHeight="1" x14ac:dyDescent="0.2">
      <c r="A138" s="268"/>
      <c r="B138" s="268"/>
      <c r="C138" s="218" t="s">
        <v>229</v>
      </c>
      <c r="D138" s="219">
        <v>-120</v>
      </c>
      <c r="E138" s="219">
        <v>-137</v>
      </c>
      <c r="F138" s="219">
        <v>-134</v>
      </c>
      <c r="G138" s="219">
        <v>-138</v>
      </c>
      <c r="H138" s="219">
        <f t="shared" si="70"/>
        <v>-529</v>
      </c>
      <c r="I138" s="219">
        <v>-129</v>
      </c>
      <c r="J138" s="219">
        <v>-141</v>
      </c>
      <c r="K138" s="219">
        <v>-137</v>
      </c>
      <c r="L138" s="219">
        <v>-142</v>
      </c>
      <c r="M138" s="219">
        <f t="shared" si="71"/>
        <v>-549</v>
      </c>
      <c r="N138" s="219">
        <v>-136</v>
      </c>
      <c r="O138" s="219">
        <v>-139</v>
      </c>
      <c r="P138" s="219">
        <v>-139</v>
      </c>
      <c r="Q138" s="219">
        <v>-144</v>
      </c>
      <c r="R138" s="219">
        <f t="shared" si="72"/>
        <v>-558</v>
      </c>
      <c r="S138" s="219">
        <v>-136.29896033</v>
      </c>
      <c r="T138" s="219">
        <v>-143.83822755</v>
      </c>
      <c r="U138" s="219">
        <v>-142.86785963</v>
      </c>
      <c r="V138" s="219">
        <v>-175.46635447</v>
      </c>
      <c r="W138" s="219">
        <f t="shared" si="73"/>
        <v>-598.47140198</v>
      </c>
      <c r="X138" s="219">
        <v>-150.96301738</v>
      </c>
      <c r="Y138" s="219">
        <v>-162.02058291</v>
      </c>
      <c r="Z138" s="219">
        <v>-166.17650562999998</v>
      </c>
      <c r="AA138" s="219">
        <v>-170.28403187999999</v>
      </c>
      <c r="AB138" s="219">
        <f t="shared" si="74"/>
        <v>-649.44413779999991</v>
      </c>
      <c r="AC138" s="220"/>
      <c r="AD138" s="220"/>
      <c r="AE138" s="220"/>
      <c r="AF138" s="220"/>
      <c r="AG138" s="220"/>
      <c r="AH138" s="220"/>
      <c r="AI138" s="220"/>
      <c r="AJ138" s="220"/>
      <c r="AK138" s="221"/>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row>
    <row r="139" spans="1:59" ht="15.75" customHeight="1" x14ac:dyDescent="0.2">
      <c r="A139" s="268"/>
      <c r="B139" s="268"/>
      <c r="C139" s="218" t="s">
        <v>230</v>
      </c>
      <c r="D139" s="219">
        <f>-100-0.1</f>
        <v>-100.1</v>
      </c>
      <c r="E139" s="219">
        <f>-108+0.2</f>
        <v>-107.8</v>
      </c>
      <c r="F139" s="219">
        <f>-106-0.4</f>
        <v>-106.4</v>
      </c>
      <c r="G139" s="219">
        <f>-109-0.3</f>
        <v>-109.3</v>
      </c>
      <c r="H139" s="219">
        <f t="shared" si="70"/>
        <v>-423.59999999999997</v>
      </c>
      <c r="I139" s="219">
        <v>-85</v>
      </c>
      <c r="J139" s="219">
        <f>-91+0.2</f>
        <v>-90.8</v>
      </c>
      <c r="K139" s="219">
        <f>-82+0.3</f>
        <v>-81.7</v>
      </c>
      <c r="L139" s="219">
        <f>-89+0.2</f>
        <v>-88.8</v>
      </c>
      <c r="M139" s="219">
        <f t="shared" si="71"/>
        <v>-346.3</v>
      </c>
      <c r="N139" s="219">
        <f>-87-0.423718420000029</f>
        <v>-87.423718420000029</v>
      </c>
      <c r="O139" s="219">
        <f>-89+0.0736491800000181</f>
        <v>-88.926350819999982</v>
      </c>
      <c r="P139" s="219">
        <f>-107+0.552770439999961</f>
        <v>-106.44722956000004</v>
      </c>
      <c r="Q139" s="219">
        <f>-146+0.503273270000079</f>
        <v>-145.49672672999992</v>
      </c>
      <c r="R139" s="219">
        <f t="shared" si="72"/>
        <v>-428.29402552999994</v>
      </c>
      <c r="S139" s="219">
        <v>-99.339374850000013</v>
      </c>
      <c r="T139" s="219">
        <v>-118.83458473000002</v>
      </c>
      <c r="U139" s="219">
        <v>-133.53638126000001</v>
      </c>
      <c r="V139" s="219">
        <v>-165.14207217000001</v>
      </c>
      <c r="W139" s="219">
        <f t="shared" si="73"/>
        <v>-516.85241301000008</v>
      </c>
      <c r="X139" s="219">
        <v>-124.44826030999999</v>
      </c>
      <c r="Y139" s="219">
        <v>-118.87004909999999</v>
      </c>
      <c r="Z139" s="219">
        <v>-142.92017238</v>
      </c>
      <c r="AA139" s="219">
        <v>-144.71294183000001</v>
      </c>
      <c r="AB139" s="219">
        <f t="shared" si="74"/>
        <v>-530.95142362000001</v>
      </c>
      <c r="AC139" s="220"/>
      <c r="AD139" s="220"/>
      <c r="AE139" s="220"/>
      <c r="AF139" s="220"/>
      <c r="AG139" s="220"/>
      <c r="AH139" s="220"/>
      <c r="AI139" s="220"/>
      <c r="AJ139" s="220"/>
      <c r="AK139" s="221"/>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row>
    <row r="140" spans="1:59" ht="15.75" customHeight="1" x14ac:dyDescent="0.2">
      <c r="A140" s="268"/>
      <c r="B140" s="268"/>
      <c r="C140" s="304"/>
      <c r="D140" s="305"/>
      <c r="E140" s="305"/>
      <c r="F140" s="305"/>
      <c r="G140" s="305"/>
      <c r="H140" s="305"/>
      <c r="I140" s="305"/>
      <c r="J140" s="305"/>
      <c r="K140" s="305"/>
      <c r="L140" s="305"/>
      <c r="M140" s="305"/>
      <c r="N140" s="305"/>
      <c r="O140" s="305"/>
      <c r="P140" s="305"/>
      <c r="Q140" s="305"/>
      <c r="R140" s="306"/>
      <c r="S140" s="305"/>
      <c r="T140" s="305"/>
      <c r="U140" s="305"/>
      <c r="V140" s="305"/>
      <c r="W140" s="305"/>
      <c r="X140" s="305"/>
      <c r="Y140" s="305"/>
      <c r="Z140" s="305"/>
      <c r="AA140" s="305"/>
      <c r="AB140" s="305"/>
      <c r="AC140" s="270"/>
      <c r="AD140" s="270"/>
      <c r="AE140" s="270"/>
      <c r="AF140" s="270"/>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row>
    <row r="141" spans="1:59" ht="15.75" customHeight="1" x14ac:dyDescent="0.2">
      <c r="A141" s="307"/>
      <c r="B141" s="307"/>
      <c r="C141" s="293" t="s">
        <v>167</v>
      </c>
      <c r="D141" s="292">
        <f t="shared" ref="D141:AB141" si="75">D13</f>
        <v>-1.6</v>
      </c>
      <c r="E141" s="292">
        <f t="shared" si="75"/>
        <v>-2.9</v>
      </c>
      <c r="F141" s="292">
        <f t="shared" si="75"/>
        <v>-2.1</v>
      </c>
      <c r="G141" s="292">
        <f t="shared" si="75"/>
        <v>-8.5</v>
      </c>
      <c r="H141" s="292">
        <f t="shared" si="75"/>
        <v>-15.1</v>
      </c>
      <c r="I141" s="292">
        <f t="shared" si="75"/>
        <v>-4.8</v>
      </c>
      <c r="J141" s="292">
        <f t="shared" si="75"/>
        <v>2.5</v>
      </c>
      <c r="K141" s="292">
        <f t="shared" si="75"/>
        <v>-2.1</v>
      </c>
      <c r="L141" s="292">
        <f t="shared" si="75"/>
        <v>6.8</v>
      </c>
      <c r="M141" s="292">
        <f t="shared" si="75"/>
        <v>2.3999999999999995</v>
      </c>
      <c r="N141" s="292">
        <f t="shared" si="75"/>
        <v>-18.8</v>
      </c>
      <c r="O141" s="292">
        <f t="shared" si="75"/>
        <v>-6</v>
      </c>
      <c r="P141" s="292">
        <f t="shared" si="75"/>
        <v>0.4</v>
      </c>
      <c r="Q141" s="292">
        <f t="shared" si="75"/>
        <v>5.3</v>
      </c>
      <c r="R141" s="292">
        <f t="shared" si="75"/>
        <v>-19.100000000000001</v>
      </c>
      <c r="S141" s="292">
        <f t="shared" si="75"/>
        <v>-10.2396025</v>
      </c>
      <c r="T141" s="292">
        <f t="shared" si="75"/>
        <v>2.1483368199999999</v>
      </c>
      <c r="U141" s="292">
        <f t="shared" si="75"/>
        <v>-15.7</v>
      </c>
      <c r="V141" s="292">
        <f t="shared" si="75"/>
        <v>-8.1</v>
      </c>
      <c r="W141" s="292">
        <f t="shared" si="75"/>
        <v>-31.891265679999997</v>
      </c>
      <c r="X141" s="292">
        <f t="shared" si="75"/>
        <v>21.417042769999998</v>
      </c>
      <c r="Y141" s="292">
        <f t="shared" si="75"/>
        <v>-18.24229012</v>
      </c>
      <c r="Z141" s="292">
        <f t="shared" si="75"/>
        <v>-12.859271869999999</v>
      </c>
      <c r="AA141" s="292">
        <f t="shared" si="75"/>
        <v>26.697567840000001</v>
      </c>
      <c r="AB141" s="292">
        <f t="shared" si="75"/>
        <v>17.013048619999999</v>
      </c>
      <c r="AC141" s="270"/>
      <c r="AD141" s="270"/>
      <c r="AE141" s="270"/>
      <c r="AF141" s="270"/>
      <c r="AG141" s="295"/>
      <c r="AH141" s="295"/>
      <c r="AI141" s="295"/>
      <c r="AJ141" s="295"/>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96"/>
      <c r="BG141" s="296"/>
    </row>
    <row r="142" spans="1:59" ht="15.75" customHeight="1" x14ac:dyDescent="0.2">
      <c r="A142" s="307"/>
      <c r="B142" s="307"/>
      <c r="C142" s="308" t="s">
        <v>168</v>
      </c>
      <c r="D142" s="292">
        <f t="shared" ref="D142:AB142" si="76">D14</f>
        <v>132.58230541999995</v>
      </c>
      <c r="E142" s="292">
        <f t="shared" si="76"/>
        <v>129.37024279499892</v>
      </c>
      <c r="F142" s="292">
        <f t="shared" si="76"/>
        <v>178.83237634500128</v>
      </c>
      <c r="G142" s="292">
        <f t="shared" si="76"/>
        <v>129.98488874000026</v>
      </c>
      <c r="H142" s="292">
        <f t="shared" si="76"/>
        <v>570.76981330000046</v>
      </c>
      <c r="I142" s="292">
        <f t="shared" si="76"/>
        <v>136.04580550999998</v>
      </c>
      <c r="J142" s="292">
        <f t="shared" si="76"/>
        <v>131.66014074000003</v>
      </c>
      <c r="K142" s="292">
        <f t="shared" si="76"/>
        <v>179.54964608000003</v>
      </c>
      <c r="L142" s="292">
        <f t="shared" si="76"/>
        <v>109.07026023000002</v>
      </c>
      <c r="M142" s="292">
        <f t="shared" si="76"/>
        <v>556.32585256000004</v>
      </c>
      <c r="N142" s="292">
        <f t="shared" si="76"/>
        <v>142.16454465000001</v>
      </c>
      <c r="O142" s="292">
        <f t="shared" si="76"/>
        <v>192.40864829999998</v>
      </c>
      <c r="P142" s="292">
        <f t="shared" si="76"/>
        <v>204.05101571000003</v>
      </c>
      <c r="Q142" s="292">
        <f t="shared" si="76"/>
        <v>172.54351460000004</v>
      </c>
      <c r="R142" s="292">
        <f t="shared" si="76"/>
        <v>711.16772325999989</v>
      </c>
      <c r="S142" s="292">
        <f t="shared" si="76"/>
        <v>229.48144902000001</v>
      </c>
      <c r="T142" s="292">
        <f t="shared" si="76"/>
        <v>220.56195263000001</v>
      </c>
      <c r="U142" s="292">
        <f t="shared" si="76"/>
        <v>219.12654571000007</v>
      </c>
      <c r="V142" s="292">
        <f t="shared" si="76"/>
        <v>189.60454937</v>
      </c>
      <c r="W142" s="292">
        <f t="shared" si="76"/>
        <v>858.7744967299999</v>
      </c>
      <c r="X142" s="292">
        <f t="shared" si="76"/>
        <v>239.01264623</v>
      </c>
      <c r="Y142" s="292">
        <f t="shared" si="76"/>
        <v>201.20064793999998</v>
      </c>
      <c r="Z142" s="292">
        <f t="shared" si="76"/>
        <v>248.02250831999999</v>
      </c>
      <c r="AA142" s="292">
        <f t="shared" si="76"/>
        <v>250.71721364000001</v>
      </c>
      <c r="AB142" s="292">
        <f t="shared" si="76"/>
        <v>938.95301612999992</v>
      </c>
      <c r="AC142" s="270"/>
      <c r="AD142" s="270"/>
      <c r="AE142" s="270"/>
      <c r="AF142" s="270"/>
      <c r="AG142" s="276"/>
      <c r="AH142" s="276"/>
      <c r="AI142" s="270"/>
      <c r="AJ142" s="295"/>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row>
    <row r="143" spans="1:59" ht="15.75" customHeight="1" x14ac:dyDescent="0.2">
      <c r="A143" s="312"/>
      <c r="B143" s="312"/>
      <c r="C143" s="308" t="s">
        <v>231</v>
      </c>
      <c r="D143" s="325">
        <f t="shared" ref="D143:AB143" si="77">D142/D132</f>
        <v>0.34234020910461449</v>
      </c>
      <c r="E143" s="325">
        <f t="shared" si="77"/>
        <v>0.31093365852347354</v>
      </c>
      <c r="F143" s="325">
        <f t="shared" si="77"/>
        <v>0.3962321023659528</v>
      </c>
      <c r="G143" s="325">
        <f t="shared" si="77"/>
        <v>0.30744923057062473</v>
      </c>
      <c r="H143" s="325">
        <f t="shared" si="77"/>
        <v>0.34025638421305138</v>
      </c>
      <c r="I143" s="325">
        <f t="shared" si="77"/>
        <v>0.35910600970454437</v>
      </c>
      <c r="J143" s="325">
        <f t="shared" si="77"/>
        <v>0.34024212542465188</v>
      </c>
      <c r="K143" s="325">
        <f t="shared" si="77"/>
        <v>0.42612981344692913</v>
      </c>
      <c r="L143" s="325">
        <f t="shared" si="77"/>
        <v>0.26277541582854347</v>
      </c>
      <c r="M143" s="325">
        <f t="shared" si="77"/>
        <v>0.34722061915997376</v>
      </c>
      <c r="N143" s="325">
        <f t="shared" si="77"/>
        <v>0.34982443532212021</v>
      </c>
      <c r="O143" s="325">
        <f t="shared" si="77"/>
        <v>0.43012205322299263</v>
      </c>
      <c r="P143" s="325">
        <f t="shared" si="77"/>
        <v>0.43039816693224103</v>
      </c>
      <c r="Q143" s="325">
        <f t="shared" si="77"/>
        <v>0.35376108013867752</v>
      </c>
      <c r="R143" s="325">
        <f t="shared" si="77"/>
        <v>0.39170671211483998</v>
      </c>
      <c r="S143" s="325">
        <f t="shared" si="77"/>
        <v>0.45254961568052171</v>
      </c>
      <c r="T143" s="325">
        <f t="shared" si="77"/>
        <v>0.43247613517469347</v>
      </c>
      <c r="U143" s="325">
        <f t="shared" si="77"/>
        <v>0.40286054695854029</v>
      </c>
      <c r="V143" s="325">
        <f t="shared" si="77"/>
        <v>0.32820331703596256</v>
      </c>
      <c r="W143" s="325">
        <f t="shared" si="77"/>
        <v>0.40153764309795598</v>
      </c>
      <c r="X143" s="325">
        <f t="shared" si="77"/>
        <v>0.45164899136432346</v>
      </c>
      <c r="Y143" s="325">
        <f t="shared" si="77"/>
        <v>0.37289037931065883</v>
      </c>
      <c r="Z143" s="325">
        <f t="shared" si="77"/>
        <v>0.40063230492021856</v>
      </c>
      <c r="AA143" s="325">
        <f t="shared" si="77"/>
        <v>0.42929122989568608</v>
      </c>
      <c r="AB143" s="325">
        <f t="shared" si="77"/>
        <v>0.41329447729826374</v>
      </c>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2"/>
      <c r="AY143" s="312"/>
      <c r="AZ143" s="312"/>
      <c r="BA143" s="312"/>
      <c r="BB143" s="312"/>
      <c r="BC143" s="312"/>
      <c r="BD143" s="312"/>
      <c r="BE143" s="312"/>
      <c r="BF143" s="312"/>
      <c r="BG143" s="312"/>
    </row>
    <row r="144" spans="1:59" ht="15.75" customHeight="1" x14ac:dyDescent="0.2">
      <c r="A144" s="329"/>
      <c r="B144" s="329"/>
      <c r="C144" s="336"/>
      <c r="D144" s="337"/>
      <c r="E144" s="337"/>
      <c r="F144" s="337"/>
      <c r="G144" s="337"/>
      <c r="H144" s="337"/>
      <c r="I144" s="337"/>
      <c r="J144" s="337"/>
      <c r="K144" s="337"/>
      <c r="L144" s="337"/>
      <c r="M144" s="337"/>
      <c r="N144" s="337"/>
      <c r="O144" s="337"/>
      <c r="P144" s="337"/>
      <c r="Q144" s="337"/>
      <c r="R144" s="338"/>
      <c r="S144" s="337"/>
      <c r="T144" s="337"/>
      <c r="U144" s="337"/>
      <c r="V144" s="337"/>
      <c r="W144" s="337"/>
      <c r="X144" s="337"/>
      <c r="Y144" s="337"/>
      <c r="Z144" s="337"/>
      <c r="AA144" s="337"/>
      <c r="AB144" s="337"/>
      <c r="AC144" s="270"/>
      <c r="AD144" s="270"/>
      <c r="AE144" s="270"/>
      <c r="AF144" s="270"/>
      <c r="AG144" s="276"/>
      <c r="AH144" s="276"/>
      <c r="AI144" s="276"/>
      <c r="AJ144" s="276"/>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row>
    <row r="145" spans="1:59" ht="15.75" customHeight="1" x14ac:dyDescent="0.2">
      <c r="A145" s="329"/>
      <c r="B145" s="329"/>
      <c r="C145" s="177" t="s">
        <v>169</v>
      </c>
      <c r="D145" s="172">
        <v>-46.9</v>
      </c>
      <c r="E145" s="172">
        <v>-51.4</v>
      </c>
      <c r="F145" s="172">
        <v>-53</v>
      </c>
      <c r="G145" s="172">
        <v>-53.5</v>
      </c>
      <c r="H145" s="172">
        <f>SUM(D145:G145)</f>
        <v>-204.8</v>
      </c>
      <c r="I145" s="172">
        <v>-63.1</v>
      </c>
      <c r="J145" s="172">
        <v>-64.2</v>
      </c>
      <c r="K145" s="172">
        <v>-66.400000000000006</v>
      </c>
      <c r="L145" s="172">
        <v>-67.099999999999994</v>
      </c>
      <c r="M145" s="172">
        <f>SUM(I145:L145)</f>
        <v>-260.8</v>
      </c>
      <c r="N145" s="172">
        <v>-72</v>
      </c>
      <c r="O145" s="172">
        <v>-80.599999999999994</v>
      </c>
      <c r="P145" s="172">
        <v>-80.599999999999994</v>
      </c>
      <c r="Q145" s="172">
        <v>-81.8</v>
      </c>
      <c r="R145" s="172">
        <f>SUM(N145:Q145)</f>
        <v>-315</v>
      </c>
      <c r="S145" s="172">
        <v>-84.931852460000002</v>
      </c>
      <c r="T145" s="172">
        <v>-83.358121650000001</v>
      </c>
      <c r="U145" s="172">
        <v>-79.573804019999997</v>
      </c>
      <c r="V145" s="172">
        <v>-83.427491450000005</v>
      </c>
      <c r="W145" s="172">
        <f>SUM(S145:V145)</f>
        <v>-331.29126958000001</v>
      </c>
      <c r="X145" s="172">
        <v>-81.619663489999994</v>
      </c>
      <c r="Y145" s="172">
        <v>-79.104547170000004</v>
      </c>
      <c r="Z145" s="172">
        <v>-83.504519349999995</v>
      </c>
      <c r="AA145" s="172">
        <v>-88.500541220000002</v>
      </c>
      <c r="AB145" s="172">
        <f>SUM(X145:AA145)</f>
        <v>-332.72927122999999</v>
      </c>
      <c r="AC145" s="225"/>
      <c r="AD145" s="225"/>
      <c r="AE145" s="225"/>
      <c r="AF145" s="225"/>
      <c r="AG145" s="225"/>
      <c r="AH145" s="225"/>
      <c r="AI145" s="225"/>
      <c r="AJ145" s="220"/>
      <c r="AK145" s="221"/>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row>
    <row r="146" spans="1:59" ht="15.75" customHeight="1" x14ac:dyDescent="0.2">
      <c r="A146" s="329"/>
      <c r="B146" s="329"/>
      <c r="C146" s="336"/>
      <c r="D146" s="337"/>
      <c r="E146" s="337"/>
      <c r="F146" s="337"/>
      <c r="G146" s="337"/>
      <c r="H146" s="337"/>
      <c r="I146" s="337"/>
      <c r="J146" s="337"/>
      <c r="K146" s="337"/>
      <c r="L146" s="337"/>
      <c r="M146" s="337"/>
      <c r="N146" s="337"/>
      <c r="O146" s="337"/>
      <c r="P146" s="337"/>
      <c r="Q146" s="337"/>
      <c r="R146" s="338"/>
      <c r="S146" s="337"/>
      <c r="T146" s="337"/>
      <c r="U146" s="337"/>
      <c r="V146" s="337"/>
      <c r="W146" s="337"/>
      <c r="X146" s="337"/>
      <c r="Y146" s="337"/>
      <c r="Z146" s="337"/>
      <c r="AA146" s="337"/>
      <c r="AB146" s="337"/>
      <c r="AC146" s="270"/>
      <c r="AD146" s="270"/>
      <c r="AE146" s="270"/>
      <c r="AF146" s="270"/>
      <c r="AG146" s="276"/>
      <c r="AH146" s="276"/>
      <c r="AI146" s="276"/>
      <c r="AJ146" s="276"/>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row>
    <row r="147" spans="1:59" ht="15.75" customHeight="1" x14ac:dyDescent="0.2">
      <c r="A147" s="329"/>
      <c r="B147" s="329"/>
      <c r="C147" s="177" t="s">
        <v>170</v>
      </c>
      <c r="D147" s="172">
        <f t="shared" ref="D147:AB147" si="78">D16</f>
        <v>85.682305419999949</v>
      </c>
      <c r="E147" s="172">
        <f t="shared" si="78"/>
        <v>77.97024279499891</v>
      </c>
      <c r="F147" s="172">
        <f t="shared" si="78"/>
        <v>125.83237634500128</v>
      </c>
      <c r="G147" s="172">
        <f t="shared" si="78"/>
        <v>76.484888740000258</v>
      </c>
      <c r="H147" s="172">
        <f t="shared" si="78"/>
        <v>365.96981330000045</v>
      </c>
      <c r="I147" s="172">
        <f t="shared" si="78"/>
        <v>72.945805509999985</v>
      </c>
      <c r="J147" s="172">
        <f t="shared" si="78"/>
        <v>67.460140740000028</v>
      </c>
      <c r="K147" s="172">
        <f t="shared" si="78"/>
        <v>113.14964608000002</v>
      </c>
      <c r="L147" s="172">
        <f t="shared" si="78"/>
        <v>41.970260230000022</v>
      </c>
      <c r="M147" s="172">
        <f t="shared" si="78"/>
        <v>295.52585256000003</v>
      </c>
      <c r="N147" s="172">
        <f t="shared" si="78"/>
        <v>70.164544650000011</v>
      </c>
      <c r="O147" s="172">
        <f t="shared" si="78"/>
        <v>111.80864829999999</v>
      </c>
      <c r="P147" s="172">
        <f t="shared" si="78"/>
        <v>123.45101571000004</v>
      </c>
      <c r="Q147" s="172">
        <f t="shared" si="78"/>
        <v>90.74351460000004</v>
      </c>
      <c r="R147" s="172">
        <f t="shared" si="78"/>
        <v>396.16772325999989</v>
      </c>
      <c r="S147" s="172">
        <f t="shared" si="78"/>
        <v>144.54959656</v>
      </c>
      <c r="T147" s="172">
        <f t="shared" si="78"/>
        <v>137.20383098000002</v>
      </c>
      <c r="U147" s="172">
        <f t="shared" si="78"/>
        <v>139.55274169000006</v>
      </c>
      <c r="V147" s="172">
        <f t="shared" si="78"/>
        <v>106.20454937</v>
      </c>
      <c r="W147" s="172">
        <f t="shared" si="78"/>
        <v>527.5107185999999</v>
      </c>
      <c r="X147" s="172">
        <f t="shared" si="78"/>
        <v>157.39298274000001</v>
      </c>
      <c r="Y147" s="172">
        <f t="shared" si="78"/>
        <v>122.09610078000003</v>
      </c>
      <c r="Z147" s="172">
        <f t="shared" si="78"/>
        <v>164.51798896000003</v>
      </c>
      <c r="AA147" s="172">
        <f t="shared" si="78"/>
        <v>162.21667241</v>
      </c>
      <c r="AB147" s="172">
        <f t="shared" si="78"/>
        <v>606.22374489000003</v>
      </c>
      <c r="AC147" s="225"/>
      <c r="AD147" s="225"/>
      <c r="AE147" s="225"/>
      <c r="AF147" s="225"/>
      <c r="AG147" s="225"/>
      <c r="AH147" s="225"/>
      <c r="AI147" s="225"/>
      <c r="AJ147" s="220"/>
      <c r="AK147" s="221"/>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row>
    <row r="148" spans="1:59" ht="15.75" customHeight="1" x14ac:dyDescent="0.2">
      <c r="A148" s="312"/>
      <c r="B148" s="312"/>
      <c r="C148" s="308" t="s">
        <v>232</v>
      </c>
      <c r="D148" s="325">
        <f t="shared" ref="D148:AB148" si="79">D147/D132</f>
        <v>0.22123991780899774</v>
      </c>
      <c r="E148" s="325">
        <f t="shared" si="79"/>
        <v>0.18739682576486361</v>
      </c>
      <c r="F148" s="325">
        <f t="shared" si="79"/>
        <v>0.27880201585364273</v>
      </c>
      <c r="G148" s="325">
        <f t="shared" si="79"/>
        <v>0.1809073379324021</v>
      </c>
      <c r="H148" s="325">
        <f t="shared" si="79"/>
        <v>0.21816774906968178</v>
      </c>
      <c r="I148" s="325">
        <f t="shared" si="79"/>
        <v>0.19254748092512405</v>
      </c>
      <c r="J148" s="325">
        <f t="shared" si="79"/>
        <v>0.17433356472062778</v>
      </c>
      <c r="K148" s="325">
        <f t="shared" si="79"/>
        <v>0.26854097809902217</v>
      </c>
      <c r="L148" s="325">
        <f t="shared" si="79"/>
        <v>0.10111603805761302</v>
      </c>
      <c r="M148" s="325">
        <f t="shared" si="79"/>
        <v>0.18444706287057816</v>
      </c>
      <c r="N148" s="325">
        <f t="shared" si="79"/>
        <v>0.17265396426548427</v>
      </c>
      <c r="O148" s="325">
        <f t="shared" si="79"/>
        <v>0.2499438866173016</v>
      </c>
      <c r="P148" s="325">
        <f t="shared" si="79"/>
        <v>0.26039120992674081</v>
      </c>
      <c r="Q148" s="325">
        <f t="shared" si="79"/>
        <v>0.18604885738473223</v>
      </c>
      <c r="R148" s="325">
        <f t="shared" si="79"/>
        <v>0.21820669196408771</v>
      </c>
      <c r="S148" s="325">
        <f t="shared" si="79"/>
        <v>0.28505948802990727</v>
      </c>
      <c r="T148" s="325">
        <f t="shared" si="79"/>
        <v>0.26902818843344534</v>
      </c>
      <c r="U148" s="325">
        <f t="shared" si="79"/>
        <v>0.25656541823646173</v>
      </c>
      <c r="V148" s="325">
        <f t="shared" si="79"/>
        <v>0.18383886622637555</v>
      </c>
      <c r="W148" s="325">
        <f t="shared" si="79"/>
        <v>0.24664846413359215</v>
      </c>
      <c r="X148" s="325">
        <f t="shared" si="79"/>
        <v>0.29741682301587302</v>
      </c>
      <c r="Y148" s="325">
        <f t="shared" si="79"/>
        <v>0.22628387034709588</v>
      </c>
      <c r="Z148" s="325">
        <f t="shared" si="79"/>
        <v>0.26574693387442427</v>
      </c>
      <c r="AA148" s="325">
        <f t="shared" si="79"/>
        <v>0.27775593784504415</v>
      </c>
      <c r="AB148" s="325">
        <f t="shared" si="79"/>
        <v>0.26683861861669506</v>
      </c>
      <c r="AC148" s="312"/>
      <c r="AD148" s="312"/>
      <c r="AE148" s="312"/>
      <c r="AF148" s="312"/>
      <c r="AG148" s="312"/>
      <c r="AH148" s="312"/>
      <c r="AI148" s="312"/>
      <c r="AJ148" s="312"/>
      <c r="AK148" s="312"/>
      <c r="AL148" s="312"/>
      <c r="AM148" s="312"/>
      <c r="AN148" s="312"/>
      <c r="AO148" s="312"/>
      <c r="AP148" s="312"/>
      <c r="AQ148" s="312"/>
      <c r="AR148" s="312"/>
      <c r="AS148" s="312"/>
      <c r="AT148" s="312"/>
      <c r="AU148" s="312"/>
      <c r="AV148" s="312"/>
      <c r="AW148" s="312"/>
      <c r="AX148" s="312"/>
      <c r="AY148" s="312"/>
      <c r="AZ148" s="312"/>
      <c r="BA148" s="312"/>
      <c r="BB148" s="312"/>
      <c r="BC148" s="312"/>
      <c r="BD148" s="312"/>
      <c r="BE148" s="312"/>
      <c r="BF148" s="312"/>
      <c r="BG148" s="312"/>
    </row>
    <row r="149" spans="1:59" ht="15.75" customHeight="1" x14ac:dyDescent="0.2">
      <c r="A149" s="312"/>
      <c r="B149" s="312"/>
      <c r="C149" s="314" t="s">
        <v>193</v>
      </c>
      <c r="D149" s="301"/>
      <c r="E149" s="301"/>
      <c r="F149" s="301"/>
      <c r="G149" s="301"/>
      <c r="H149" s="301"/>
      <c r="I149" s="301"/>
      <c r="J149" s="301"/>
      <c r="K149" s="301"/>
      <c r="L149" s="301"/>
      <c r="M149" s="301"/>
      <c r="N149" s="301"/>
      <c r="O149" s="301"/>
      <c r="P149" s="301"/>
      <c r="Q149" s="301"/>
      <c r="R149" s="309"/>
      <c r="S149" s="301"/>
      <c r="T149" s="301"/>
      <c r="U149" s="301"/>
      <c r="V149" s="301"/>
      <c r="W149" s="301"/>
      <c r="X149" s="301"/>
      <c r="Y149" s="301"/>
      <c r="Z149" s="301"/>
      <c r="AA149" s="301"/>
      <c r="AB149" s="301"/>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2"/>
      <c r="AY149" s="312"/>
      <c r="AZ149" s="312"/>
      <c r="BA149" s="312"/>
      <c r="BB149" s="312"/>
      <c r="BC149" s="312"/>
      <c r="BD149" s="312"/>
      <c r="BE149" s="312"/>
      <c r="BF149" s="312"/>
      <c r="BG149" s="312"/>
    </row>
    <row r="150" spans="1:59" ht="15.75" customHeight="1" x14ac:dyDescent="0.2">
      <c r="A150" s="312"/>
      <c r="B150" s="312"/>
      <c r="C150" s="308"/>
      <c r="D150" s="301"/>
      <c r="E150" s="301"/>
      <c r="F150" s="301"/>
      <c r="G150" s="301"/>
      <c r="H150" s="301"/>
      <c r="I150" s="301"/>
      <c r="J150" s="301"/>
      <c r="K150" s="301"/>
      <c r="L150" s="301"/>
      <c r="M150" s="301"/>
      <c r="N150" s="301"/>
      <c r="O150" s="301"/>
      <c r="P150" s="301"/>
      <c r="Q150" s="301"/>
      <c r="R150" s="309"/>
      <c r="S150" s="301"/>
      <c r="T150" s="301"/>
      <c r="U150" s="301"/>
      <c r="V150" s="301"/>
      <c r="W150" s="301"/>
      <c r="X150" s="301"/>
      <c r="Y150" s="301"/>
      <c r="Z150" s="301"/>
      <c r="AA150" s="301"/>
      <c r="AB150" s="301"/>
      <c r="AC150" s="312"/>
      <c r="AD150" s="312"/>
      <c r="AE150" s="312"/>
      <c r="AF150" s="312"/>
      <c r="AG150" s="312"/>
      <c r="AH150" s="312"/>
      <c r="AI150" s="312"/>
      <c r="AJ150" s="312"/>
      <c r="AK150" s="312"/>
      <c r="AL150" s="312"/>
      <c r="AM150" s="312"/>
      <c r="AN150" s="312"/>
      <c r="AO150" s="312"/>
      <c r="AP150" s="312"/>
      <c r="AQ150" s="312"/>
      <c r="AR150" s="312"/>
      <c r="AS150" s="312"/>
      <c r="AT150" s="312"/>
      <c r="AU150" s="312"/>
      <c r="AV150" s="312"/>
      <c r="AW150" s="312"/>
      <c r="AX150" s="312"/>
      <c r="AY150" s="312"/>
      <c r="AZ150" s="312"/>
      <c r="BA150" s="312"/>
      <c r="BB150" s="312"/>
      <c r="BC150" s="312"/>
      <c r="BD150" s="312"/>
      <c r="BE150" s="312"/>
      <c r="BF150" s="312"/>
      <c r="BG150" s="312"/>
    </row>
    <row r="151" spans="1:59" ht="15.75" customHeight="1" x14ac:dyDescent="0.2">
      <c r="A151" s="210"/>
      <c r="B151" s="211" t="s">
        <v>233</v>
      </c>
      <c r="C151" s="211"/>
      <c r="D151" s="277" t="s">
        <v>98</v>
      </c>
      <c r="E151" s="277" t="s">
        <v>99</v>
      </c>
      <c r="F151" s="277" t="s">
        <v>100</v>
      </c>
      <c r="G151" s="277" t="s">
        <v>101</v>
      </c>
      <c r="H151" s="159">
        <v>2018</v>
      </c>
      <c r="I151" s="277" t="s">
        <v>102</v>
      </c>
      <c r="J151" s="277" t="s">
        <v>103</v>
      </c>
      <c r="K151" s="277" t="s">
        <v>104</v>
      </c>
      <c r="L151" s="277" t="s">
        <v>105</v>
      </c>
      <c r="M151" s="159">
        <v>2019</v>
      </c>
      <c r="N151" s="277" t="s">
        <v>158</v>
      </c>
      <c r="O151" s="277" t="s">
        <v>107</v>
      </c>
      <c r="P151" s="277" t="s">
        <v>108</v>
      </c>
      <c r="Q151" s="277" t="s">
        <v>109</v>
      </c>
      <c r="R151" s="159">
        <v>2020</v>
      </c>
      <c r="S151" s="277" t="s">
        <v>110</v>
      </c>
      <c r="T151" s="277" t="s">
        <v>111</v>
      </c>
      <c r="U151" s="277" t="s">
        <v>112</v>
      </c>
      <c r="V151" s="277" t="s">
        <v>113</v>
      </c>
      <c r="W151" s="159">
        <v>2021</v>
      </c>
      <c r="X151" s="277" t="s">
        <v>114</v>
      </c>
      <c r="Y151" s="277" t="s">
        <v>115</v>
      </c>
      <c r="Z151" s="277" t="str">
        <f>$Z$4</f>
        <v>3Q22</v>
      </c>
      <c r="AA151" s="277" t="str">
        <f>$AA$4</f>
        <v>4Q22</v>
      </c>
      <c r="AB151" s="160">
        <v>2022</v>
      </c>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row>
    <row r="152" spans="1:59" ht="15.75" customHeight="1" x14ac:dyDescent="0.2">
      <c r="A152" s="312"/>
      <c r="B152" s="312"/>
      <c r="C152" s="308" t="s">
        <v>234</v>
      </c>
      <c r="D152" s="325">
        <f t="shared" ref="D152:AB152" si="80">SUM(D153:D155)</f>
        <v>1</v>
      </c>
      <c r="E152" s="325">
        <f t="shared" si="80"/>
        <v>1</v>
      </c>
      <c r="F152" s="325">
        <f t="shared" si="80"/>
        <v>1.0000000000000002</v>
      </c>
      <c r="G152" s="325">
        <f t="shared" si="80"/>
        <v>1</v>
      </c>
      <c r="H152" s="325">
        <f t="shared" si="80"/>
        <v>1</v>
      </c>
      <c r="I152" s="325">
        <f t="shared" si="80"/>
        <v>1</v>
      </c>
      <c r="J152" s="325">
        <f t="shared" si="80"/>
        <v>1</v>
      </c>
      <c r="K152" s="325">
        <f t="shared" si="80"/>
        <v>1</v>
      </c>
      <c r="L152" s="325">
        <f t="shared" si="80"/>
        <v>1</v>
      </c>
      <c r="M152" s="325">
        <f t="shared" si="80"/>
        <v>1</v>
      </c>
      <c r="N152" s="325">
        <f t="shared" si="80"/>
        <v>1</v>
      </c>
      <c r="O152" s="325">
        <f t="shared" si="80"/>
        <v>1</v>
      </c>
      <c r="P152" s="325">
        <f t="shared" si="80"/>
        <v>1</v>
      </c>
      <c r="Q152" s="325">
        <f t="shared" si="80"/>
        <v>1</v>
      </c>
      <c r="R152" s="325">
        <f t="shared" si="80"/>
        <v>1</v>
      </c>
      <c r="S152" s="325">
        <f t="shared" si="80"/>
        <v>1</v>
      </c>
      <c r="T152" s="325">
        <f t="shared" si="80"/>
        <v>1</v>
      </c>
      <c r="U152" s="325">
        <f t="shared" si="80"/>
        <v>1</v>
      </c>
      <c r="V152" s="325">
        <f t="shared" si="80"/>
        <v>1</v>
      </c>
      <c r="W152" s="325">
        <f t="shared" si="80"/>
        <v>1</v>
      </c>
      <c r="X152" s="325">
        <f t="shared" si="80"/>
        <v>1</v>
      </c>
      <c r="Y152" s="325">
        <f t="shared" si="80"/>
        <v>0.99999999999999989</v>
      </c>
      <c r="Z152" s="325">
        <f t="shared" si="80"/>
        <v>1</v>
      </c>
      <c r="AA152" s="325">
        <f t="shared" si="80"/>
        <v>1</v>
      </c>
      <c r="AB152" s="325">
        <f t="shared" si="80"/>
        <v>1</v>
      </c>
      <c r="AC152" s="312"/>
      <c r="AD152" s="312"/>
      <c r="AE152" s="312"/>
      <c r="AF152" s="312"/>
      <c r="AG152" s="312"/>
      <c r="AH152" s="312"/>
      <c r="AI152" s="312"/>
      <c r="AJ152" s="312"/>
      <c r="AK152" s="312"/>
      <c r="AL152" s="312"/>
      <c r="AM152" s="312"/>
      <c r="AN152" s="312"/>
      <c r="AO152" s="312"/>
      <c r="AP152" s="312"/>
      <c r="AQ152" s="312"/>
      <c r="AR152" s="312"/>
      <c r="AS152" s="312"/>
      <c r="AT152" s="312"/>
      <c r="AU152" s="312"/>
      <c r="AV152" s="312"/>
      <c r="AW152" s="312"/>
      <c r="AX152" s="312"/>
      <c r="AY152" s="312"/>
      <c r="AZ152" s="312"/>
      <c r="BA152" s="312"/>
      <c r="BB152" s="312"/>
      <c r="BC152" s="312"/>
      <c r="BD152" s="312"/>
      <c r="BE152" s="312"/>
      <c r="BF152" s="312"/>
      <c r="BG152" s="312"/>
    </row>
    <row r="153" spans="1:59" ht="15.75" customHeight="1" x14ac:dyDescent="0.2">
      <c r="A153" s="312"/>
      <c r="B153" s="312"/>
      <c r="C153" s="308" t="s">
        <v>235</v>
      </c>
      <c r="D153" s="325">
        <f t="shared" ref="D153:AB153" si="81">D137/D$135</f>
        <v>0.13380558835104289</v>
      </c>
      <c r="E153" s="325">
        <f t="shared" si="81"/>
        <v>0.13437057991513437</v>
      </c>
      <c r="F153" s="325">
        <f t="shared" si="81"/>
        <v>0.11094674556213019</v>
      </c>
      <c r="G153" s="325">
        <f t="shared" si="81"/>
        <v>0.12707377338510412</v>
      </c>
      <c r="H153" s="325">
        <f t="shared" si="81"/>
        <v>0.12653585182468366</v>
      </c>
      <c r="I153" s="325">
        <f t="shared" si="81"/>
        <v>0.10084033613445378</v>
      </c>
      <c r="J153" s="325">
        <f t="shared" si="81"/>
        <v>0.10085337470907679</v>
      </c>
      <c r="K153" s="325">
        <f t="shared" si="81"/>
        <v>9.140008309098463E-2</v>
      </c>
      <c r="L153" s="325">
        <f t="shared" si="81"/>
        <v>0.10819165378670788</v>
      </c>
      <c r="M153" s="325">
        <f t="shared" si="81"/>
        <v>0.10047221943132724</v>
      </c>
      <c r="N153" s="325">
        <f t="shared" si="81"/>
        <v>9.333517141722221E-2</v>
      </c>
      <c r="O153" s="325">
        <f t="shared" si="81"/>
        <v>8.4362302065743203E-2</v>
      </c>
      <c r="P153" s="325">
        <f t="shared" si="81"/>
        <v>9.2439475311591718E-2</v>
      </c>
      <c r="Q153" s="325">
        <f t="shared" si="81"/>
        <v>9.3897675594505792E-2</v>
      </c>
      <c r="R153" s="325">
        <f t="shared" si="81"/>
        <v>9.121951993760738E-2</v>
      </c>
      <c r="S153" s="325">
        <f t="shared" si="81"/>
        <v>0.11755822524516313</v>
      </c>
      <c r="T153" s="325">
        <f t="shared" si="81"/>
        <v>0.1002476336162564</v>
      </c>
      <c r="U153" s="325">
        <f t="shared" si="81"/>
        <v>0.10754117626168641</v>
      </c>
      <c r="V153" s="325">
        <f t="shared" si="81"/>
        <v>9.5518258454606944E-2</v>
      </c>
      <c r="W153" s="325">
        <f t="shared" si="81"/>
        <v>0.10434345349274006</v>
      </c>
      <c r="X153" s="325">
        <f t="shared" si="81"/>
        <v>0.11655818092409495</v>
      </c>
      <c r="Y153" s="325">
        <f t="shared" si="81"/>
        <v>0.12340393592417417</v>
      </c>
      <c r="Z153" s="325">
        <f t="shared" si="81"/>
        <v>0.13739647413045111</v>
      </c>
      <c r="AA153" s="325">
        <f t="shared" si="81"/>
        <v>0.12484794195604665</v>
      </c>
      <c r="AB153" s="325">
        <f t="shared" si="81"/>
        <v>0.1259212843095848</v>
      </c>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2"/>
      <c r="AY153" s="312"/>
      <c r="AZ153" s="312"/>
      <c r="BA153" s="312"/>
      <c r="BB153" s="312"/>
      <c r="BC153" s="312"/>
      <c r="BD153" s="312"/>
      <c r="BE153" s="312"/>
      <c r="BF153" s="312"/>
      <c r="BG153" s="312"/>
    </row>
    <row r="154" spans="1:59" ht="15.75" customHeight="1" x14ac:dyDescent="0.2">
      <c r="A154" s="312"/>
      <c r="B154" s="312"/>
      <c r="C154" s="308" t="s">
        <v>236</v>
      </c>
      <c r="D154" s="325">
        <f t="shared" ref="D154:AB154" si="82">D138/D$135</f>
        <v>0.47225501770956319</v>
      </c>
      <c r="E154" s="325">
        <f t="shared" si="82"/>
        <v>0.4844413012729844</v>
      </c>
      <c r="F154" s="325">
        <f t="shared" si="82"/>
        <v>0.49556213017751483</v>
      </c>
      <c r="G154" s="325">
        <f t="shared" si="82"/>
        <v>0.48711613130956583</v>
      </c>
      <c r="H154" s="325">
        <f t="shared" si="82"/>
        <v>0.4850540986612874</v>
      </c>
      <c r="I154" s="325">
        <f t="shared" si="82"/>
        <v>0.54201680672268904</v>
      </c>
      <c r="J154" s="325">
        <f t="shared" si="82"/>
        <v>0.54693560899922422</v>
      </c>
      <c r="K154" s="325">
        <f t="shared" si="82"/>
        <v>0.56917324470294972</v>
      </c>
      <c r="L154" s="325">
        <f t="shared" si="82"/>
        <v>0.54868624420401857</v>
      </c>
      <c r="M154" s="325">
        <f t="shared" si="82"/>
        <v>0.55159248467798661</v>
      </c>
      <c r="N154" s="325">
        <f t="shared" si="82"/>
        <v>0.55189492664096607</v>
      </c>
      <c r="O154" s="325">
        <f t="shared" si="82"/>
        <v>0.5583980946256335</v>
      </c>
      <c r="P154" s="325">
        <f t="shared" si="82"/>
        <v>0.51396348273244996</v>
      </c>
      <c r="Q154" s="325">
        <f t="shared" si="82"/>
        <v>0.45070884285362778</v>
      </c>
      <c r="R154" s="325">
        <f t="shared" si="82"/>
        <v>0.51414638510287791</v>
      </c>
      <c r="S154" s="325">
        <f t="shared" si="82"/>
        <v>0.51042584543371372</v>
      </c>
      <c r="T154" s="325">
        <f t="shared" si="82"/>
        <v>0.49269958505107864</v>
      </c>
      <c r="U154" s="325">
        <f t="shared" si="82"/>
        <v>0.46129423175580964</v>
      </c>
      <c r="V154" s="325">
        <f t="shared" si="82"/>
        <v>0.46594887695303111</v>
      </c>
      <c r="W154" s="325">
        <f t="shared" si="82"/>
        <v>0.4806001825448073</v>
      </c>
      <c r="X154" s="325">
        <f t="shared" si="82"/>
        <v>0.48424684641088372</v>
      </c>
      <c r="Y154" s="325">
        <f t="shared" si="82"/>
        <v>0.50562955504020046</v>
      </c>
      <c r="Z154" s="325">
        <f t="shared" si="82"/>
        <v>0.46375276692065065</v>
      </c>
      <c r="AA154" s="325">
        <f t="shared" si="82"/>
        <v>0.47309794502661656</v>
      </c>
      <c r="AB154" s="325">
        <f t="shared" si="82"/>
        <v>0.48091107458757237</v>
      </c>
      <c r="AC154" s="312"/>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2"/>
      <c r="AY154" s="312"/>
      <c r="AZ154" s="312"/>
      <c r="BA154" s="312"/>
      <c r="BB154" s="312"/>
      <c r="BC154" s="312"/>
      <c r="BD154" s="312"/>
      <c r="BE154" s="312"/>
      <c r="BF154" s="312"/>
      <c r="BG154" s="312"/>
    </row>
    <row r="155" spans="1:59" ht="15.75" customHeight="1" x14ac:dyDescent="0.2">
      <c r="A155" s="312"/>
      <c r="B155" s="312"/>
      <c r="C155" s="308" t="s">
        <v>163</v>
      </c>
      <c r="D155" s="325">
        <f t="shared" ref="D155:AB155" si="83">D139/D$135</f>
        <v>0.39393939393939392</v>
      </c>
      <c r="E155" s="325">
        <f t="shared" si="83"/>
        <v>0.38118811881188114</v>
      </c>
      <c r="F155" s="325">
        <f t="shared" si="83"/>
        <v>0.3934911242603551</v>
      </c>
      <c r="G155" s="325">
        <f t="shared" si="83"/>
        <v>0.38581009530533</v>
      </c>
      <c r="H155" s="325">
        <f t="shared" si="83"/>
        <v>0.38841004951402897</v>
      </c>
      <c r="I155" s="325">
        <f t="shared" si="83"/>
        <v>0.35714285714285715</v>
      </c>
      <c r="J155" s="325">
        <f t="shared" si="83"/>
        <v>0.35221101629169899</v>
      </c>
      <c r="K155" s="325">
        <f t="shared" si="83"/>
        <v>0.33942667220606565</v>
      </c>
      <c r="L155" s="325">
        <f t="shared" si="83"/>
        <v>0.34312210200927357</v>
      </c>
      <c r="M155" s="325">
        <f t="shared" si="83"/>
        <v>0.34793529589068628</v>
      </c>
      <c r="N155" s="325">
        <f t="shared" si="83"/>
        <v>0.35476990194181168</v>
      </c>
      <c r="O155" s="325">
        <f t="shared" si="83"/>
        <v>0.35723960330862325</v>
      </c>
      <c r="P155" s="325">
        <f t="shared" si="83"/>
        <v>0.39359704195595835</v>
      </c>
      <c r="Q155" s="325">
        <f t="shared" si="83"/>
        <v>0.45539348155186643</v>
      </c>
      <c r="R155" s="325">
        <f t="shared" si="83"/>
        <v>0.39463409495951468</v>
      </c>
      <c r="S155" s="325">
        <f t="shared" si="83"/>
        <v>0.37201592932112326</v>
      </c>
      <c r="T155" s="325">
        <f t="shared" si="83"/>
        <v>0.40705278133266493</v>
      </c>
      <c r="U155" s="325">
        <f t="shared" si="83"/>
        <v>0.43116459198250395</v>
      </c>
      <c r="V155" s="325">
        <f t="shared" si="83"/>
        <v>0.43853286459236207</v>
      </c>
      <c r="W155" s="325">
        <f t="shared" si="83"/>
        <v>0.4150563639624526</v>
      </c>
      <c r="X155" s="325">
        <f t="shared" si="83"/>
        <v>0.39919497266502135</v>
      </c>
      <c r="Y155" s="325">
        <f t="shared" si="83"/>
        <v>0.37096650903562522</v>
      </c>
      <c r="Z155" s="325">
        <f t="shared" si="83"/>
        <v>0.39885075894889827</v>
      </c>
      <c r="AA155" s="325">
        <f t="shared" si="83"/>
        <v>0.40205411301733684</v>
      </c>
      <c r="AB155" s="325">
        <f t="shared" si="83"/>
        <v>0.3931676411028428</v>
      </c>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2"/>
      <c r="AY155" s="312"/>
      <c r="AZ155" s="312"/>
      <c r="BA155" s="312"/>
      <c r="BB155" s="312"/>
      <c r="BC155" s="312"/>
      <c r="BD155" s="312"/>
      <c r="BE155" s="312"/>
      <c r="BF155" s="312"/>
      <c r="BG155" s="312"/>
    </row>
    <row r="156" spans="1:59" ht="15.75" customHeight="1" x14ac:dyDescent="0.2">
      <c r="A156" s="312"/>
      <c r="B156" s="312"/>
      <c r="C156" s="314" t="s">
        <v>193</v>
      </c>
      <c r="D156" s="325"/>
      <c r="E156" s="325"/>
      <c r="F156" s="325"/>
      <c r="G156" s="325"/>
      <c r="H156" s="325"/>
      <c r="I156" s="325"/>
      <c r="J156" s="325"/>
      <c r="K156" s="325"/>
      <c r="L156" s="325"/>
      <c r="M156" s="325"/>
      <c r="N156" s="325"/>
      <c r="O156" s="325"/>
      <c r="P156" s="325"/>
      <c r="Q156" s="325"/>
      <c r="R156" s="334"/>
      <c r="S156" s="325"/>
      <c r="T156" s="325"/>
      <c r="U156" s="325"/>
      <c r="V156" s="325"/>
      <c r="W156" s="325"/>
      <c r="X156" s="325"/>
      <c r="Y156" s="325"/>
      <c r="Z156" s="325"/>
      <c r="AA156" s="325"/>
      <c r="AB156" s="325"/>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c r="AW156" s="312"/>
      <c r="AX156" s="312"/>
      <c r="AY156" s="312"/>
      <c r="AZ156" s="312"/>
      <c r="BA156" s="312"/>
      <c r="BB156" s="312"/>
      <c r="BC156" s="312"/>
      <c r="BD156" s="312"/>
      <c r="BE156" s="312"/>
      <c r="BF156" s="312"/>
      <c r="BG156" s="312"/>
    </row>
    <row r="157" spans="1:59" ht="15.75" customHeight="1" x14ac:dyDescent="0.2">
      <c r="A157" s="312"/>
      <c r="B157" s="312"/>
      <c r="C157" s="319"/>
      <c r="D157" s="325"/>
      <c r="E157" s="325"/>
      <c r="F157" s="325"/>
      <c r="G157" s="325"/>
      <c r="H157" s="325"/>
      <c r="I157" s="325"/>
      <c r="J157" s="325"/>
      <c r="K157" s="325"/>
      <c r="L157" s="325"/>
      <c r="M157" s="325"/>
      <c r="N157" s="325"/>
      <c r="O157" s="325"/>
      <c r="P157" s="325"/>
      <c r="Q157" s="325"/>
      <c r="R157" s="334"/>
      <c r="S157" s="325"/>
      <c r="T157" s="325"/>
      <c r="U157" s="325"/>
      <c r="V157" s="325"/>
      <c r="W157" s="325"/>
      <c r="X157" s="325"/>
      <c r="Y157" s="325"/>
      <c r="Z157" s="325"/>
      <c r="AA157" s="325"/>
      <c r="AB157" s="325"/>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c r="AW157" s="312"/>
      <c r="AX157" s="312"/>
      <c r="AY157" s="312"/>
      <c r="AZ157" s="312"/>
      <c r="BA157" s="312"/>
      <c r="BB157" s="312"/>
      <c r="BC157" s="312"/>
      <c r="BD157" s="312"/>
      <c r="BE157" s="312"/>
      <c r="BF157" s="312"/>
      <c r="BG157" s="312"/>
    </row>
    <row r="158" spans="1:59" ht="15.75" customHeight="1" x14ac:dyDescent="0.2">
      <c r="A158" s="210"/>
      <c r="B158" s="211" t="s">
        <v>237</v>
      </c>
      <c r="C158" s="211"/>
      <c r="D158" s="277" t="s">
        <v>98</v>
      </c>
      <c r="E158" s="277" t="s">
        <v>99</v>
      </c>
      <c r="F158" s="277" t="s">
        <v>100</v>
      </c>
      <c r="G158" s="277" t="s">
        <v>101</v>
      </c>
      <c r="H158" s="159">
        <v>2018</v>
      </c>
      <c r="I158" s="277" t="s">
        <v>102</v>
      </c>
      <c r="J158" s="277" t="s">
        <v>103</v>
      </c>
      <c r="K158" s="277" t="s">
        <v>104</v>
      </c>
      <c r="L158" s="277" t="s">
        <v>105</v>
      </c>
      <c r="M158" s="159">
        <v>2019</v>
      </c>
      <c r="N158" s="277" t="s">
        <v>158</v>
      </c>
      <c r="O158" s="277" t="s">
        <v>107</v>
      </c>
      <c r="P158" s="277" t="s">
        <v>108</v>
      </c>
      <c r="Q158" s="277" t="s">
        <v>109</v>
      </c>
      <c r="R158" s="159">
        <v>2020</v>
      </c>
      <c r="S158" s="277" t="s">
        <v>110</v>
      </c>
      <c r="T158" s="277" t="s">
        <v>111</v>
      </c>
      <c r="U158" s="277" t="s">
        <v>112</v>
      </c>
      <c r="V158" s="277" t="s">
        <v>113</v>
      </c>
      <c r="W158" s="159">
        <v>2021</v>
      </c>
      <c r="X158" s="277" t="s">
        <v>114</v>
      </c>
      <c r="Y158" s="277" t="s">
        <v>115</v>
      </c>
      <c r="Z158" s="277" t="str">
        <f>$Z$4</f>
        <v>3Q22</v>
      </c>
      <c r="AA158" s="277" t="str">
        <f>$AA$4</f>
        <v>4Q22</v>
      </c>
      <c r="AB158" s="160">
        <v>2022</v>
      </c>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row>
    <row r="159" spans="1:59" ht="15.75" customHeight="1" x14ac:dyDescent="0.2">
      <c r="A159" s="307"/>
      <c r="B159" s="307"/>
      <c r="C159" s="308" t="s">
        <v>19</v>
      </c>
      <c r="D159" s="172">
        <f t="shared" ref="D159:AB159" si="84">(D63-D91)*-1</f>
        <v>-80.583254191658995</v>
      </c>
      <c r="E159" s="172">
        <f t="shared" si="84"/>
        <v>-86.2947563881539</v>
      </c>
      <c r="F159" s="172">
        <f t="shared" si="84"/>
        <v>-96.243812649330181</v>
      </c>
      <c r="G159" s="172">
        <f t="shared" si="84"/>
        <v>-99.757003956388729</v>
      </c>
      <c r="H159" s="172">
        <f t="shared" si="84"/>
        <v>-362.8788271855318</v>
      </c>
      <c r="I159" s="172">
        <f t="shared" si="84"/>
        <v>-77.457329519999973</v>
      </c>
      <c r="J159" s="172">
        <f t="shared" si="84"/>
        <v>-81.804290809999998</v>
      </c>
      <c r="K159" s="172">
        <f t="shared" si="84"/>
        <v>-84.515235419999982</v>
      </c>
      <c r="L159" s="172">
        <f t="shared" si="84"/>
        <v>-81.542595999999989</v>
      </c>
      <c r="M159" s="172">
        <f t="shared" si="84"/>
        <v>-325.31945174999998</v>
      </c>
      <c r="N159" s="172">
        <f t="shared" si="84"/>
        <v>-76.605722389999997</v>
      </c>
      <c r="O159" s="172">
        <f t="shared" si="84"/>
        <v>-82.445925950000003</v>
      </c>
      <c r="P159" s="172">
        <f t="shared" si="84"/>
        <v>-83.843213059999997</v>
      </c>
      <c r="Q159" s="172">
        <f t="shared" si="84"/>
        <v>-83.190230579999977</v>
      </c>
      <c r="R159" s="172">
        <f t="shared" si="84"/>
        <v>-326.0850919799999</v>
      </c>
      <c r="S159" s="172">
        <f t="shared" si="84"/>
        <v>-71.947923320000015</v>
      </c>
      <c r="T159" s="172">
        <f t="shared" si="84"/>
        <v>-80.502734020000034</v>
      </c>
      <c r="U159" s="172">
        <f t="shared" si="84"/>
        <v>-82.822489390000015</v>
      </c>
      <c r="V159" s="172">
        <f t="shared" si="84"/>
        <v>-98.470128520000017</v>
      </c>
      <c r="W159" s="172">
        <f t="shared" si="84"/>
        <v>-333.74327525000012</v>
      </c>
      <c r="X159" s="172">
        <f t="shared" si="84"/>
        <v>-82.200816810000006</v>
      </c>
      <c r="Y159" s="172">
        <f t="shared" si="84"/>
        <v>-89.954464290000004</v>
      </c>
      <c r="Z159" s="172">
        <f t="shared" si="84"/>
        <v>-90.705674540000004</v>
      </c>
      <c r="AA159" s="172">
        <f t="shared" si="84"/>
        <v>-92.787256279999994</v>
      </c>
      <c r="AB159" s="172">
        <f t="shared" si="84"/>
        <v>-355.64821191999999</v>
      </c>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row>
    <row r="160" spans="1:59" ht="15.75" customHeight="1" x14ac:dyDescent="0.2">
      <c r="A160" s="307"/>
      <c r="B160" s="307"/>
      <c r="C160" s="308" t="s">
        <v>27</v>
      </c>
      <c r="D160" s="172">
        <f t="shared" ref="D160:AB160" si="85">(D64-D92)*-1</f>
        <v>-11.083869210303998</v>
      </c>
      <c r="E160" s="172">
        <f t="shared" si="85"/>
        <v>-15.147150449247</v>
      </c>
      <c r="F160" s="172">
        <f t="shared" si="85"/>
        <v>-15.90538839817399</v>
      </c>
      <c r="G160" s="172">
        <f t="shared" si="85"/>
        <v>-15.696248887559012</v>
      </c>
      <c r="H160" s="172">
        <f t="shared" si="85"/>
        <v>-57.832656945284</v>
      </c>
      <c r="I160" s="172">
        <f t="shared" si="85"/>
        <v>-15.641184770000001</v>
      </c>
      <c r="J160" s="172">
        <f t="shared" si="85"/>
        <v>-19.39720355</v>
      </c>
      <c r="K160" s="172">
        <f t="shared" si="85"/>
        <v>-15.18472555</v>
      </c>
      <c r="L160" s="172">
        <f t="shared" si="85"/>
        <v>-70.854786970000006</v>
      </c>
      <c r="M160" s="172">
        <f t="shared" si="85"/>
        <v>-121.07790084000001</v>
      </c>
      <c r="N160" s="172">
        <f t="shared" si="85"/>
        <v>-11.790860540000001</v>
      </c>
      <c r="O160" s="172">
        <f t="shared" si="85"/>
        <v>-11.6544697</v>
      </c>
      <c r="P160" s="172">
        <f t="shared" si="85"/>
        <v>-12.510219679999999</v>
      </c>
      <c r="Q160" s="172">
        <f t="shared" si="85"/>
        <v>-7.6560167400000001</v>
      </c>
      <c r="R160" s="172">
        <f t="shared" si="85"/>
        <v>-43.611566660000008</v>
      </c>
      <c r="S160" s="172">
        <f t="shared" si="85"/>
        <v>-9.160285459999999</v>
      </c>
      <c r="T160" s="172">
        <f t="shared" si="85"/>
        <v>-9.8814365699999982</v>
      </c>
      <c r="U160" s="172">
        <f t="shared" si="85"/>
        <v>-9.9927362899999981</v>
      </c>
      <c r="V160" s="172">
        <f t="shared" si="85"/>
        <v>-11.880071970000001</v>
      </c>
      <c r="W160" s="172">
        <f t="shared" si="85"/>
        <v>-40.914530289999995</v>
      </c>
      <c r="X160" s="172">
        <f t="shared" si="85"/>
        <v>-11.85370483</v>
      </c>
      <c r="Y160" s="172">
        <f t="shared" si="85"/>
        <v>-10.46792378</v>
      </c>
      <c r="Z160" s="172">
        <f t="shared" si="85"/>
        <v>-15.03214</v>
      </c>
      <c r="AA160" s="172">
        <f t="shared" si="85"/>
        <v>-16.322502659999998</v>
      </c>
      <c r="AB160" s="172">
        <f t="shared" si="85"/>
        <v>-53.676271269999994</v>
      </c>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row>
    <row r="161" spans="1:59" ht="15.75" customHeight="1" x14ac:dyDescent="0.2">
      <c r="A161" s="307"/>
      <c r="B161" s="307"/>
      <c r="C161" s="308" t="s">
        <v>21</v>
      </c>
      <c r="D161" s="172">
        <f t="shared" ref="D161:AB161" si="86">(D65-D93)*-1</f>
        <v>-42.850784180415992</v>
      </c>
      <c r="E161" s="172">
        <f t="shared" si="86"/>
        <v>-44.534751478588994</v>
      </c>
      <c r="F161" s="172">
        <f t="shared" si="86"/>
        <v>-45.682243609774908</v>
      </c>
      <c r="G161" s="172">
        <f t="shared" si="86"/>
        <v>-48.296453678266104</v>
      </c>
      <c r="H161" s="172">
        <f t="shared" si="86"/>
        <v>-181.36423294704602</v>
      </c>
      <c r="I161" s="172">
        <f t="shared" si="86"/>
        <v>-37.52900666</v>
      </c>
      <c r="J161" s="172">
        <f t="shared" si="86"/>
        <v>-38.306118640000001</v>
      </c>
      <c r="K161" s="172">
        <f t="shared" si="86"/>
        <v>-32.86449168</v>
      </c>
      <c r="L161" s="172">
        <f t="shared" si="86"/>
        <v>-30.586839519999998</v>
      </c>
      <c r="M161" s="172">
        <f t="shared" si="86"/>
        <v>-139.28645649999999</v>
      </c>
      <c r="N161" s="172">
        <f t="shared" si="86"/>
        <v>-31.427102300000001</v>
      </c>
      <c r="O161" s="172">
        <f t="shared" si="86"/>
        <v>-28.451992260000001</v>
      </c>
      <c r="P161" s="172">
        <f t="shared" si="86"/>
        <v>-30.877075299999998</v>
      </c>
      <c r="Q161" s="172">
        <f t="shared" si="86"/>
        <v>-32.564748549999997</v>
      </c>
      <c r="R161" s="172">
        <f t="shared" si="86"/>
        <v>-123.32091840999999</v>
      </c>
      <c r="S161" s="172">
        <f t="shared" si="86"/>
        <v>-32.520668369999996</v>
      </c>
      <c r="T161" s="172">
        <f t="shared" si="86"/>
        <v>-33.853134499999996</v>
      </c>
      <c r="U161" s="172">
        <f t="shared" si="86"/>
        <v>-39.113349530000001</v>
      </c>
      <c r="V161" s="172">
        <f t="shared" si="86"/>
        <v>-45.465131579999998</v>
      </c>
      <c r="W161" s="172">
        <f t="shared" si="86"/>
        <v>-150.95228398000003</v>
      </c>
      <c r="X161" s="172">
        <f t="shared" si="86"/>
        <v>-44.123610550000002</v>
      </c>
      <c r="Y161" s="172">
        <f t="shared" si="86"/>
        <v>-47.967582270000008</v>
      </c>
      <c r="Z161" s="172">
        <f t="shared" si="86"/>
        <v>-50.032960329999995</v>
      </c>
      <c r="AA161" s="172">
        <f t="shared" si="86"/>
        <v>-44.472278760000009</v>
      </c>
      <c r="AB161" s="172">
        <f t="shared" si="86"/>
        <v>-186.59643191000004</v>
      </c>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row>
    <row r="162" spans="1:59" ht="15.75" customHeight="1" x14ac:dyDescent="0.2">
      <c r="A162" s="307"/>
      <c r="B162" s="307"/>
      <c r="C162" s="308" t="s">
        <v>23</v>
      </c>
      <c r="D162" s="172">
        <f t="shared" ref="D162:AB162" si="87">(D66-D94)*-1</f>
        <v>-76.791640933328097</v>
      </c>
      <c r="E162" s="172">
        <f t="shared" si="87"/>
        <v>-83.036983454954523</v>
      </c>
      <c r="F162" s="172">
        <f t="shared" si="87"/>
        <v>-76.329155118548115</v>
      </c>
      <c r="G162" s="172">
        <f t="shared" si="87"/>
        <v>-76.305370488410389</v>
      </c>
      <c r="H162" s="172">
        <f t="shared" si="87"/>
        <v>-312.46314999524122</v>
      </c>
      <c r="I162" s="172">
        <f t="shared" si="87"/>
        <v>-79.375980969999986</v>
      </c>
      <c r="J162" s="172">
        <f t="shared" si="87"/>
        <v>-83.757855079999999</v>
      </c>
      <c r="K162" s="172">
        <f t="shared" si="87"/>
        <v>-77.876342730000019</v>
      </c>
      <c r="L162" s="172">
        <f t="shared" si="87"/>
        <v>-89.839450039999988</v>
      </c>
      <c r="M162" s="172">
        <f t="shared" si="87"/>
        <v>-330.84962882000002</v>
      </c>
      <c r="N162" s="172">
        <f t="shared" si="87"/>
        <v>-94.549506690000001</v>
      </c>
      <c r="O162" s="172">
        <f t="shared" si="87"/>
        <v>-102.06839649000001</v>
      </c>
      <c r="P162" s="172">
        <f t="shared" si="87"/>
        <v>-117.09571587000001</v>
      </c>
      <c r="Q162" s="172">
        <f t="shared" si="87"/>
        <v>-143.51611983999999</v>
      </c>
      <c r="R162" s="172">
        <f t="shared" si="87"/>
        <v>-457.22973888999996</v>
      </c>
      <c r="S162" s="172">
        <f t="shared" si="87"/>
        <v>-115.67236798999997</v>
      </c>
      <c r="T162" s="172">
        <f t="shared" si="87"/>
        <v>-127.86440244000001</v>
      </c>
      <c r="U162" s="172">
        <f t="shared" si="87"/>
        <v>-138.94942085999998</v>
      </c>
      <c r="V162" s="172">
        <f t="shared" si="87"/>
        <v>-157.33675577000002</v>
      </c>
      <c r="W162" s="172">
        <f t="shared" si="87"/>
        <v>-539.82294705999993</v>
      </c>
      <c r="X162" s="172">
        <f t="shared" si="87"/>
        <v>-134.37100068000001</v>
      </c>
      <c r="Y162" s="172">
        <f t="shared" si="87"/>
        <v>-133.02799972000003</v>
      </c>
      <c r="Z162" s="172">
        <f t="shared" si="87"/>
        <v>-158.31727455000001</v>
      </c>
      <c r="AA162" s="172">
        <f t="shared" si="87"/>
        <v>-150.46902452</v>
      </c>
      <c r="AB162" s="172">
        <f t="shared" si="87"/>
        <v>-576.18529947000025</v>
      </c>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row>
    <row r="163" spans="1:59" ht="15.75" customHeight="1" x14ac:dyDescent="0.2">
      <c r="A163" s="307"/>
      <c r="B163" s="307"/>
      <c r="C163" s="308" t="s">
        <v>25</v>
      </c>
      <c r="D163" s="172">
        <f t="shared" ref="D163:AB163" si="88">(D67-D95)*-1</f>
        <v>-8.360826472349002</v>
      </c>
      <c r="E163" s="172">
        <f t="shared" si="88"/>
        <v>-8.4834831622279996</v>
      </c>
      <c r="F163" s="172">
        <f t="shared" si="88"/>
        <v>-8.3079767413710002</v>
      </c>
      <c r="G163" s="172">
        <f t="shared" si="88"/>
        <v>-6.4757556541350247</v>
      </c>
      <c r="H163" s="172">
        <f t="shared" si="88"/>
        <v>-31.628042030083023</v>
      </c>
      <c r="I163" s="172">
        <f t="shared" si="88"/>
        <v>-7.6093296600000002</v>
      </c>
      <c r="J163" s="172">
        <f t="shared" si="88"/>
        <v>-8.1638903000000003</v>
      </c>
      <c r="K163" s="172">
        <f t="shared" si="88"/>
        <v>-7.9413353600000001</v>
      </c>
      <c r="L163" s="172">
        <f t="shared" si="88"/>
        <v>-6.7005450100000008</v>
      </c>
      <c r="M163" s="172">
        <f t="shared" si="88"/>
        <v>-30.415100329999994</v>
      </c>
      <c r="N163" s="172">
        <f t="shared" si="88"/>
        <v>-9.287066639999999</v>
      </c>
      <c r="O163" s="172">
        <f t="shared" si="88"/>
        <v>-6.0635228999999997</v>
      </c>
      <c r="P163" s="172">
        <f t="shared" si="88"/>
        <v>-6.2358483199999988</v>
      </c>
      <c r="Q163" s="172">
        <f t="shared" si="88"/>
        <v>-7.4986215000000005</v>
      </c>
      <c r="R163" s="172">
        <f t="shared" si="88"/>
        <v>-29.085059360000002</v>
      </c>
      <c r="S163" s="172">
        <f t="shared" si="88"/>
        <v>-8.818166269999999</v>
      </c>
      <c r="T163" s="172">
        <f t="shared" si="88"/>
        <v>-8.8032347599999987</v>
      </c>
      <c r="U163" s="172">
        <f t="shared" si="88"/>
        <v>-9.0075724299999997</v>
      </c>
      <c r="V163" s="172">
        <f t="shared" si="88"/>
        <v>-9.7848174300000004</v>
      </c>
      <c r="W163" s="172">
        <f t="shared" si="88"/>
        <v>-36.413790890000001</v>
      </c>
      <c r="X163" s="172">
        <f t="shared" si="88"/>
        <v>-9.0877522699999993</v>
      </c>
      <c r="Y163" s="172">
        <f t="shared" si="88"/>
        <v>-8.3657876600000005</v>
      </c>
      <c r="Z163" s="172">
        <f t="shared" si="88"/>
        <v>-11.90783287</v>
      </c>
      <c r="AA163" s="172">
        <f t="shared" si="88"/>
        <v>-11.227005170000002</v>
      </c>
      <c r="AB163" s="172">
        <f t="shared" si="88"/>
        <v>-40.588377970000003</v>
      </c>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row>
    <row r="164" spans="1:59" ht="15.75" customHeight="1" x14ac:dyDescent="0.2">
      <c r="A164" s="307"/>
      <c r="B164" s="307"/>
      <c r="C164" s="308" t="s">
        <v>29</v>
      </c>
      <c r="D164" s="172">
        <f t="shared" ref="D164:AB164" si="89">(D68-D96)*-1</f>
        <v>-20.059966869382002</v>
      </c>
      <c r="E164" s="172">
        <f t="shared" si="89"/>
        <v>-27.998742321776991</v>
      </c>
      <c r="F164" s="172">
        <f t="shared" si="89"/>
        <v>-10.537096434862001</v>
      </c>
      <c r="G164" s="172">
        <f t="shared" si="89"/>
        <v>-17.379898294229069</v>
      </c>
      <c r="H164" s="172">
        <f t="shared" si="89"/>
        <v>-75.975703920250055</v>
      </c>
      <c r="I164" s="172">
        <f t="shared" si="89"/>
        <v>-5.4733883399999996</v>
      </c>
      <c r="J164" s="172">
        <f t="shared" si="89"/>
        <v>-8.143989620000001</v>
      </c>
      <c r="K164" s="172">
        <f t="shared" si="89"/>
        <v>-3.6896358399999998</v>
      </c>
      <c r="L164" s="172">
        <f t="shared" si="89"/>
        <v>-4.4667882800000003</v>
      </c>
      <c r="M164" s="172">
        <f t="shared" si="89"/>
        <v>-21.773802079999999</v>
      </c>
      <c r="N164" s="172">
        <f t="shared" si="89"/>
        <v>-3.7293888499999994</v>
      </c>
      <c r="O164" s="172">
        <f t="shared" si="89"/>
        <v>-1.1465510099999998</v>
      </c>
      <c r="P164" s="172">
        <f t="shared" si="89"/>
        <v>-2.8292883999999998</v>
      </c>
      <c r="Q164" s="172">
        <f t="shared" si="89"/>
        <v>-17.7800969</v>
      </c>
      <c r="R164" s="172">
        <f t="shared" si="89"/>
        <v>-25.485325159999999</v>
      </c>
      <c r="S164" s="172">
        <f t="shared" si="89"/>
        <v>-12.875762879999998</v>
      </c>
      <c r="T164" s="172">
        <f t="shared" si="89"/>
        <v>-3.0819315599999997</v>
      </c>
      <c r="U164" s="172">
        <f t="shared" si="89"/>
        <v>-4.6112077399999993</v>
      </c>
      <c r="V164" s="172">
        <f t="shared" si="89"/>
        <v>0.10115428999999998</v>
      </c>
      <c r="W164" s="172">
        <f t="shared" si="89"/>
        <v>-20.467747889999998</v>
      </c>
      <c r="X164" s="172">
        <f t="shared" si="89"/>
        <v>-4.9061243700000006</v>
      </c>
      <c r="Y164" s="172">
        <f t="shared" si="89"/>
        <v>-6.0693277999999999</v>
      </c>
      <c r="Z164" s="172">
        <f t="shared" si="89"/>
        <v>-5.6724358199999996</v>
      </c>
      <c r="AA164" s="172">
        <f t="shared" si="89"/>
        <v>-0.28616516999999986</v>
      </c>
      <c r="AB164" s="172">
        <f t="shared" si="89"/>
        <v>-16.934053159999998</v>
      </c>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row>
    <row r="165" spans="1:59" ht="15.75" customHeight="1" x14ac:dyDescent="0.2">
      <c r="A165" s="278"/>
      <c r="B165" s="278"/>
      <c r="C165" s="308" t="s">
        <v>208</v>
      </c>
      <c r="D165" s="172">
        <f t="shared" ref="D165:AB165" si="90">(D69-D97)*-1</f>
        <v>-13.395855438122197</v>
      </c>
      <c r="E165" s="172">
        <f t="shared" si="90"/>
        <v>-18.275880999969772</v>
      </c>
      <c r="F165" s="172">
        <f t="shared" si="90"/>
        <v>-17.388676866664632</v>
      </c>
      <c r="G165" s="172">
        <f t="shared" si="90"/>
        <v>-20.400467714130901</v>
      </c>
      <c r="H165" s="172">
        <f t="shared" si="90"/>
        <v>-69.460881018887491</v>
      </c>
      <c r="I165" s="172">
        <f t="shared" si="90"/>
        <v>-15.02114304</v>
      </c>
      <c r="J165" s="172">
        <f t="shared" si="90"/>
        <v>-18.187849879999998</v>
      </c>
      <c r="K165" s="172">
        <f t="shared" si="90"/>
        <v>-17.647779329999999</v>
      </c>
      <c r="L165" s="172">
        <f t="shared" si="90"/>
        <v>-28.829347050000003</v>
      </c>
      <c r="M165" s="172">
        <f t="shared" si="90"/>
        <v>-79.686119300000001</v>
      </c>
      <c r="N165" s="172">
        <f t="shared" si="90"/>
        <v>-18.034071009999998</v>
      </c>
      <c r="O165" s="172">
        <f t="shared" si="90"/>
        <v>-17.095492509999996</v>
      </c>
      <c r="P165" s="172">
        <f t="shared" si="90"/>
        <v>-17.055868930000003</v>
      </c>
      <c r="Q165" s="172">
        <f t="shared" si="90"/>
        <v>-28.290892619999997</v>
      </c>
      <c r="R165" s="172">
        <f t="shared" si="90"/>
        <v>-80.476325070000001</v>
      </c>
      <c r="S165" s="172">
        <f t="shared" si="90"/>
        <v>-16.401625970000001</v>
      </c>
      <c r="T165" s="172">
        <f t="shared" si="90"/>
        <v>-27.632100990000001</v>
      </c>
      <c r="U165" s="172">
        <f t="shared" si="90"/>
        <v>-24.671438199999997</v>
      </c>
      <c r="V165" s="172">
        <f t="shared" si="90"/>
        <v>-57.222592679999998</v>
      </c>
      <c r="W165" s="172">
        <f t="shared" si="90"/>
        <v>-125.92775784</v>
      </c>
      <c r="X165" s="172">
        <f t="shared" si="90"/>
        <v>-25.09048907</v>
      </c>
      <c r="Y165" s="172">
        <f t="shared" si="90"/>
        <v>-24.33007405</v>
      </c>
      <c r="Z165" s="172">
        <f t="shared" si="90"/>
        <v>-26.549755840000003</v>
      </c>
      <c r="AA165" s="172">
        <f t="shared" si="90"/>
        <v>-44.637016269999997</v>
      </c>
      <c r="AB165" s="172">
        <f t="shared" si="90"/>
        <v>-120.60733523</v>
      </c>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row>
    <row r="166" spans="1:59" ht="15.75" customHeight="1" x14ac:dyDescent="0.2">
      <c r="A166" s="278"/>
      <c r="B166" s="278"/>
      <c r="C166" s="327" t="s">
        <v>238</v>
      </c>
      <c r="D166" s="207">
        <f t="shared" ref="D166:AB166" si="91">SUM(D159:D165)</f>
        <v>-253.1261972955603</v>
      </c>
      <c r="E166" s="207">
        <f t="shared" si="91"/>
        <v>-283.77174825491915</v>
      </c>
      <c r="F166" s="207">
        <f t="shared" si="91"/>
        <v>-270.39434981872478</v>
      </c>
      <c r="G166" s="207">
        <f t="shared" si="91"/>
        <v>-284.31119867311924</v>
      </c>
      <c r="H166" s="207">
        <f t="shared" si="91"/>
        <v>-1091.6034940423235</v>
      </c>
      <c r="I166" s="207">
        <f t="shared" si="91"/>
        <v>-238.10736295999996</v>
      </c>
      <c r="J166" s="207">
        <f t="shared" si="91"/>
        <v>-257.76119788</v>
      </c>
      <c r="K166" s="207">
        <f t="shared" si="91"/>
        <v>-239.71954590999999</v>
      </c>
      <c r="L166" s="207">
        <f t="shared" si="91"/>
        <v>-312.82035286999997</v>
      </c>
      <c r="M166" s="207">
        <f t="shared" si="91"/>
        <v>-1048.40845962</v>
      </c>
      <c r="N166" s="207">
        <f t="shared" si="91"/>
        <v>-245.42371842</v>
      </c>
      <c r="O166" s="207">
        <f t="shared" si="91"/>
        <v>-248.92635081999998</v>
      </c>
      <c r="P166" s="207">
        <f t="shared" si="91"/>
        <v>-270.44722955999998</v>
      </c>
      <c r="Q166" s="207">
        <f t="shared" si="91"/>
        <v>-320.49672672999998</v>
      </c>
      <c r="R166" s="207">
        <f t="shared" si="91"/>
        <v>-1085.29402553</v>
      </c>
      <c r="S166" s="207">
        <f t="shared" si="91"/>
        <v>-267.39680026000002</v>
      </c>
      <c r="T166" s="207">
        <f t="shared" si="91"/>
        <v>-291.61897484000002</v>
      </c>
      <c r="U166" s="207">
        <f t="shared" si="91"/>
        <v>-309.16821443999999</v>
      </c>
      <c r="V166" s="207">
        <f t="shared" si="91"/>
        <v>-380.05834365999999</v>
      </c>
      <c r="W166" s="207">
        <f t="shared" si="91"/>
        <v>-1248.2423332000001</v>
      </c>
      <c r="X166" s="207">
        <f t="shared" si="91"/>
        <v>-311.63349857999998</v>
      </c>
      <c r="Y166" s="207">
        <f t="shared" si="91"/>
        <v>-320.18315957000004</v>
      </c>
      <c r="Z166" s="207">
        <f t="shared" si="91"/>
        <v>-358.21807394999996</v>
      </c>
      <c r="AA166" s="207">
        <f t="shared" si="91"/>
        <v>-360.20124883</v>
      </c>
      <c r="AB166" s="207">
        <f t="shared" si="91"/>
        <v>-1350.2359809300003</v>
      </c>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c r="AZ166" s="329"/>
      <c r="BA166" s="329"/>
      <c r="BB166" s="329"/>
      <c r="BC166" s="329"/>
      <c r="BD166" s="329"/>
      <c r="BE166" s="329"/>
      <c r="BF166" s="329"/>
      <c r="BG166" s="329"/>
    </row>
    <row r="167" spans="1:59" ht="15.75" customHeight="1" x14ac:dyDescent="0.2">
      <c r="A167" s="329"/>
      <c r="B167" s="329"/>
      <c r="C167" s="226"/>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row>
    <row r="168" spans="1:59" ht="15.75" customHeight="1" x14ac:dyDescent="0.2">
      <c r="A168" s="210"/>
      <c r="B168" s="211" t="s">
        <v>239</v>
      </c>
      <c r="C168" s="211"/>
      <c r="D168" s="277"/>
      <c r="E168" s="277"/>
      <c r="F168" s="277"/>
      <c r="G168" s="277"/>
      <c r="H168" s="159"/>
      <c r="I168" s="277"/>
      <c r="J168" s="277"/>
      <c r="K168" s="277"/>
      <c r="L168" s="277"/>
      <c r="M168" s="159"/>
      <c r="N168" s="277"/>
      <c r="O168" s="277"/>
      <c r="P168" s="277"/>
      <c r="Q168" s="277"/>
      <c r="R168" s="159"/>
      <c r="S168" s="277"/>
      <c r="T168" s="277"/>
      <c r="U168" s="277"/>
      <c r="V168" s="277"/>
      <c r="W168" s="159"/>
      <c r="X168" s="277"/>
      <c r="Y168" s="277"/>
      <c r="Z168" s="277"/>
      <c r="AA168" s="277"/>
      <c r="AB168" s="159"/>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row>
    <row r="169" spans="1:59" ht="15.75" customHeight="1" x14ac:dyDescent="0.2">
      <c r="A169" s="162"/>
      <c r="B169" s="162"/>
      <c r="C169" s="227" t="s">
        <v>19</v>
      </c>
      <c r="D169" s="339" t="s">
        <v>98</v>
      </c>
      <c r="E169" s="339" t="s">
        <v>99</v>
      </c>
      <c r="F169" s="339" t="s">
        <v>100</v>
      </c>
      <c r="G169" s="339" t="s">
        <v>101</v>
      </c>
      <c r="H169" s="229">
        <v>2018</v>
      </c>
      <c r="I169" s="339" t="s">
        <v>102</v>
      </c>
      <c r="J169" s="339" t="s">
        <v>103</v>
      </c>
      <c r="K169" s="339" t="s">
        <v>104</v>
      </c>
      <c r="L169" s="339" t="s">
        <v>105</v>
      </c>
      <c r="M169" s="229">
        <v>2019</v>
      </c>
      <c r="N169" s="339" t="s">
        <v>158</v>
      </c>
      <c r="O169" s="339" t="s">
        <v>107</v>
      </c>
      <c r="P169" s="339" t="s">
        <v>108</v>
      </c>
      <c r="Q169" s="339" t="s">
        <v>109</v>
      </c>
      <c r="R169" s="229">
        <v>2020</v>
      </c>
      <c r="S169" s="339" t="s">
        <v>110</v>
      </c>
      <c r="T169" s="339" t="s">
        <v>111</v>
      </c>
      <c r="U169" s="339" t="s">
        <v>112</v>
      </c>
      <c r="V169" s="339" t="s">
        <v>113</v>
      </c>
      <c r="W169" s="229">
        <v>2021</v>
      </c>
      <c r="X169" s="339" t="s">
        <v>114</v>
      </c>
      <c r="Y169" s="339" t="s">
        <v>115</v>
      </c>
      <c r="Z169" s="339" t="str">
        <f>$Z$4</f>
        <v>3Q22</v>
      </c>
      <c r="AA169" s="339" t="str">
        <f>$AA$4</f>
        <v>4Q22</v>
      </c>
      <c r="AB169" s="229">
        <v>2022</v>
      </c>
      <c r="AC169" s="307"/>
      <c r="AD169" s="307"/>
      <c r="AE169" s="307"/>
      <c r="AF169" s="307"/>
      <c r="AG169" s="307"/>
      <c r="AH169" s="307"/>
      <c r="AI169" s="307"/>
      <c r="AJ169" s="307"/>
      <c r="AK169" s="307"/>
      <c r="AL169" s="307"/>
      <c r="AM169" s="307"/>
      <c r="AN169" s="307"/>
      <c r="AO169" s="307"/>
      <c r="AP169" s="307"/>
      <c r="AQ169" s="307"/>
      <c r="AR169" s="307"/>
      <c r="AS169" s="307"/>
      <c r="AT169" s="307"/>
      <c r="AU169" s="307"/>
      <c r="AV169" s="307"/>
      <c r="AW169" s="307"/>
      <c r="AX169" s="307"/>
      <c r="AY169" s="307"/>
      <c r="AZ169" s="307"/>
      <c r="BA169" s="307"/>
      <c r="BB169" s="307"/>
      <c r="BC169" s="307"/>
      <c r="BD169" s="307"/>
      <c r="BE169" s="307"/>
      <c r="BF169" s="307"/>
      <c r="BG169" s="307"/>
    </row>
    <row r="170" spans="1:59" ht="15.75" customHeight="1" x14ac:dyDescent="0.2">
      <c r="A170" s="307"/>
      <c r="B170" s="307"/>
      <c r="C170" s="308" t="s">
        <v>188</v>
      </c>
      <c r="D170" s="172">
        <v>151.97450458</v>
      </c>
      <c r="E170" s="172">
        <v>153.19945621000002</v>
      </c>
      <c r="F170" s="172">
        <v>191.01373483999998</v>
      </c>
      <c r="G170" s="172">
        <v>172.20713972000001</v>
      </c>
      <c r="H170" s="172">
        <v>668.39483534999999</v>
      </c>
      <c r="I170" s="172">
        <v>153.84225132999998</v>
      </c>
      <c r="J170" s="172">
        <v>155.97213138000001</v>
      </c>
      <c r="K170" s="172">
        <v>176.74051168999998</v>
      </c>
      <c r="L170" s="172">
        <v>175.81800849999999</v>
      </c>
      <c r="M170" s="172">
        <v>662.37290289999999</v>
      </c>
      <c r="N170" s="172">
        <v>165.3387156</v>
      </c>
      <c r="O170" s="172">
        <v>163.14163762000001</v>
      </c>
      <c r="P170" s="172">
        <v>174.55115107</v>
      </c>
      <c r="Q170" s="172">
        <v>174.40237180999998</v>
      </c>
      <c r="R170" s="172">
        <v>677.43387609999991</v>
      </c>
      <c r="S170" s="172">
        <v>184.77308292000001</v>
      </c>
      <c r="T170" s="172">
        <v>188.53314716000003</v>
      </c>
      <c r="U170" s="172">
        <v>191.25522752000001</v>
      </c>
      <c r="V170" s="172">
        <v>200.19993855000001</v>
      </c>
      <c r="W170" s="172">
        <f>SUM(S170:V170)</f>
        <v>764.76139615000011</v>
      </c>
      <c r="X170" s="172">
        <v>182.05389127000001</v>
      </c>
      <c r="Y170" s="172">
        <v>188.46693643</v>
      </c>
      <c r="Z170" s="172">
        <v>199.16287352000001</v>
      </c>
      <c r="AA170" s="172">
        <v>198.55274614999999</v>
      </c>
      <c r="AB170" s="172">
        <f>SUM(X170:AA170)</f>
        <v>768.23644737000006</v>
      </c>
      <c r="AC170" s="307"/>
      <c r="AD170" s="307"/>
      <c r="AE170" s="307"/>
      <c r="AF170" s="307"/>
      <c r="AG170" s="307"/>
      <c r="AH170" s="307"/>
      <c r="AI170" s="307"/>
      <c r="AJ170" s="307"/>
      <c r="AK170" s="307"/>
      <c r="AL170" s="307"/>
      <c r="AM170" s="307"/>
      <c r="AN170" s="307"/>
      <c r="AO170" s="307"/>
      <c r="AP170" s="307"/>
      <c r="AQ170" s="307"/>
      <c r="AR170" s="307"/>
      <c r="AS170" s="307"/>
      <c r="AT170" s="307"/>
      <c r="AU170" s="307"/>
      <c r="AV170" s="307"/>
      <c r="AW170" s="307"/>
      <c r="AX170" s="307"/>
      <c r="AY170" s="307"/>
      <c r="AZ170" s="307"/>
      <c r="BA170" s="307"/>
      <c r="BB170" s="307"/>
      <c r="BC170" s="307"/>
      <c r="BD170" s="307"/>
      <c r="BE170" s="307"/>
      <c r="BF170" s="307"/>
      <c r="BG170" s="307"/>
    </row>
    <row r="171" spans="1:59" ht="15.75" customHeight="1" x14ac:dyDescent="0.2">
      <c r="A171" s="190"/>
      <c r="B171" s="190"/>
      <c r="C171" s="190" t="s">
        <v>240</v>
      </c>
      <c r="D171" s="301" t="s">
        <v>146</v>
      </c>
      <c r="E171" s="301" t="s">
        <v>146</v>
      </c>
      <c r="F171" s="301" t="s">
        <v>146</v>
      </c>
      <c r="G171" s="301" t="s">
        <v>146</v>
      </c>
      <c r="H171" s="301" t="s">
        <v>146</v>
      </c>
      <c r="I171" s="301">
        <f t="shared" ref="I171:AB171" si="92">I170/D170-1</f>
        <v>1.2289868982706897E-2</v>
      </c>
      <c r="J171" s="301">
        <f t="shared" si="92"/>
        <v>1.8098466134235602E-2</v>
      </c>
      <c r="K171" s="301">
        <f t="shared" si="92"/>
        <v>-7.4723543633947398E-2</v>
      </c>
      <c r="L171" s="301">
        <f t="shared" si="92"/>
        <v>2.0968171156382054E-2</v>
      </c>
      <c r="M171" s="301">
        <f t="shared" si="92"/>
        <v>-9.0095436581981714E-3</v>
      </c>
      <c r="N171" s="301">
        <f t="shared" si="92"/>
        <v>7.4728913355144977E-2</v>
      </c>
      <c r="O171" s="301">
        <f t="shared" si="92"/>
        <v>4.5966585033916818E-2</v>
      </c>
      <c r="P171" s="301">
        <f t="shared" si="92"/>
        <v>-1.2387429452733967E-2</v>
      </c>
      <c r="Q171" s="301">
        <f t="shared" si="92"/>
        <v>-8.0517161016530059E-3</v>
      </c>
      <c r="R171" s="301">
        <f t="shared" si="92"/>
        <v>2.2737906599228364E-2</v>
      </c>
      <c r="S171" s="301">
        <f t="shared" si="92"/>
        <v>0.11754275004178161</v>
      </c>
      <c r="T171" s="301">
        <f t="shared" si="92"/>
        <v>0.15564088917106211</v>
      </c>
      <c r="U171" s="301">
        <f t="shared" si="92"/>
        <v>9.5697314784828791E-2</v>
      </c>
      <c r="V171" s="301">
        <f t="shared" si="92"/>
        <v>0.14791981595356285</v>
      </c>
      <c r="W171" s="301">
        <f t="shared" si="92"/>
        <v>0.12890929008857133</v>
      </c>
      <c r="X171" s="301">
        <f t="shared" si="92"/>
        <v>-1.4716384048088393E-2</v>
      </c>
      <c r="Y171" s="301">
        <f t="shared" si="92"/>
        <v>-3.5118880153117704E-4</v>
      </c>
      <c r="Z171" s="301">
        <f t="shared" si="92"/>
        <v>4.1346038498074833E-2</v>
      </c>
      <c r="AA171" s="301">
        <f t="shared" si="92"/>
        <v>-8.2277367911810506E-3</v>
      </c>
      <c r="AB171" s="301">
        <f t="shared" si="92"/>
        <v>4.5439678800398564E-3</v>
      </c>
      <c r="AC171" s="312"/>
      <c r="AD171" s="312"/>
      <c r="AE171" s="312"/>
      <c r="AF171" s="312"/>
      <c r="AG171" s="312"/>
      <c r="AH171" s="312"/>
      <c r="AI171" s="312"/>
      <c r="AJ171" s="312"/>
      <c r="AK171" s="312"/>
      <c r="AL171" s="312"/>
      <c r="AM171" s="312"/>
      <c r="AN171" s="312"/>
      <c r="AO171" s="312"/>
      <c r="AP171" s="312"/>
      <c r="AQ171" s="312"/>
      <c r="AR171" s="312"/>
      <c r="AS171" s="312"/>
      <c r="AT171" s="312"/>
      <c r="AU171" s="312"/>
      <c r="AV171" s="312"/>
      <c r="AW171" s="312"/>
      <c r="AX171" s="312"/>
      <c r="AY171" s="312"/>
      <c r="AZ171" s="312"/>
      <c r="BA171" s="312"/>
      <c r="BB171" s="312"/>
      <c r="BC171" s="312"/>
      <c r="BD171" s="312"/>
      <c r="BE171" s="312"/>
      <c r="BF171" s="312"/>
      <c r="BG171" s="312"/>
    </row>
    <row r="172" spans="1:59" ht="15.75" customHeight="1" x14ac:dyDescent="0.2">
      <c r="A172" s="190"/>
      <c r="B172" s="190"/>
      <c r="C172" s="190"/>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307"/>
      <c r="AD172" s="307"/>
      <c r="AE172" s="307"/>
      <c r="AF172" s="307"/>
      <c r="AG172" s="307"/>
      <c r="AH172" s="307"/>
      <c r="AI172" s="307"/>
      <c r="AJ172" s="307"/>
      <c r="AK172" s="307"/>
      <c r="AL172" s="307"/>
      <c r="AM172" s="307"/>
      <c r="AN172" s="307"/>
      <c r="AO172" s="307"/>
      <c r="AP172" s="307"/>
      <c r="AQ172" s="307"/>
      <c r="AR172" s="307"/>
      <c r="AS172" s="307"/>
      <c r="AT172" s="307"/>
      <c r="AU172" s="307"/>
      <c r="AV172" s="307"/>
      <c r="AW172" s="307"/>
      <c r="AX172" s="307"/>
      <c r="AY172" s="307"/>
      <c r="AZ172" s="307"/>
      <c r="BA172" s="307"/>
      <c r="BB172" s="307"/>
      <c r="BC172" s="307"/>
      <c r="BD172" s="307"/>
      <c r="BE172" s="307"/>
      <c r="BF172" s="307"/>
      <c r="BG172" s="307"/>
    </row>
    <row r="173" spans="1:59" ht="15.75" customHeight="1" x14ac:dyDescent="0.2">
      <c r="A173" s="307"/>
      <c r="B173" s="307"/>
      <c r="C173" s="335" t="s">
        <v>227</v>
      </c>
      <c r="D173" s="172">
        <f t="shared" ref="D173:AB173" si="93">(D170-D174)*-1</f>
        <v>-80.583254191658995</v>
      </c>
      <c r="E173" s="172">
        <f t="shared" si="93"/>
        <v>-86.2947563881539</v>
      </c>
      <c r="F173" s="172">
        <f t="shared" si="93"/>
        <v>-96.243812649330181</v>
      </c>
      <c r="G173" s="172">
        <f t="shared" si="93"/>
        <v>-99.757003956388729</v>
      </c>
      <c r="H173" s="172">
        <f t="shared" si="93"/>
        <v>-362.8788271855318</v>
      </c>
      <c r="I173" s="172">
        <f t="shared" si="93"/>
        <v>-77.457329519999973</v>
      </c>
      <c r="J173" s="172">
        <f t="shared" si="93"/>
        <v>-81.804290809999998</v>
      </c>
      <c r="K173" s="172">
        <f t="shared" si="93"/>
        <v>-84.515235419999982</v>
      </c>
      <c r="L173" s="172">
        <f t="shared" si="93"/>
        <v>-81.542595999999989</v>
      </c>
      <c r="M173" s="172">
        <f t="shared" si="93"/>
        <v>-325.31945174999998</v>
      </c>
      <c r="N173" s="172">
        <f t="shared" si="93"/>
        <v>-76.605722389999997</v>
      </c>
      <c r="O173" s="172">
        <f t="shared" si="93"/>
        <v>-82.445925950000003</v>
      </c>
      <c r="P173" s="172">
        <f t="shared" si="93"/>
        <v>-83.843213059999997</v>
      </c>
      <c r="Q173" s="172">
        <f t="shared" si="93"/>
        <v>-83.190230579999977</v>
      </c>
      <c r="R173" s="172">
        <f t="shared" si="93"/>
        <v>-326.0850919799999</v>
      </c>
      <c r="S173" s="172">
        <f t="shared" si="93"/>
        <v>-71.947923320000015</v>
      </c>
      <c r="T173" s="172">
        <f t="shared" si="93"/>
        <v>-80.502734020000034</v>
      </c>
      <c r="U173" s="172">
        <f t="shared" si="93"/>
        <v>-82.822489390000015</v>
      </c>
      <c r="V173" s="172">
        <f t="shared" si="93"/>
        <v>-98.470128520000017</v>
      </c>
      <c r="W173" s="172">
        <f t="shared" si="93"/>
        <v>-333.74327525000012</v>
      </c>
      <c r="X173" s="172">
        <f t="shared" si="93"/>
        <v>-82.200816780000011</v>
      </c>
      <c r="Y173" s="172">
        <f t="shared" si="93"/>
        <v>-89.954464290000004</v>
      </c>
      <c r="Z173" s="172">
        <f t="shared" si="93"/>
        <v>-90.705674540000004</v>
      </c>
      <c r="AA173" s="172">
        <f t="shared" si="93"/>
        <v>-92.787256279999994</v>
      </c>
      <c r="AB173" s="172">
        <f t="shared" si="93"/>
        <v>-355.64821189000008</v>
      </c>
      <c r="AC173" s="307"/>
      <c r="AD173" s="307"/>
      <c r="AE173" s="307"/>
      <c r="AF173" s="307"/>
      <c r="AG173" s="307"/>
      <c r="AH173" s="307"/>
      <c r="AI173" s="307"/>
      <c r="AJ173" s="307"/>
      <c r="AK173" s="307"/>
      <c r="AL173" s="307"/>
      <c r="AM173" s="307"/>
      <c r="AN173" s="307"/>
      <c r="AO173" s="307"/>
      <c r="AP173" s="307"/>
      <c r="AQ173" s="307"/>
      <c r="AR173" s="307"/>
      <c r="AS173" s="307"/>
      <c r="AT173" s="307"/>
      <c r="AU173" s="307"/>
      <c r="AV173" s="307"/>
      <c r="AW173" s="307"/>
      <c r="AX173" s="307"/>
      <c r="AY173" s="307"/>
      <c r="AZ173" s="307"/>
      <c r="BA173" s="307"/>
      <c r="BB173" s="307"/>
      <c r="BC173" s="307"/>
      <c r="BD173" s="307"/>
      <c r="BE173" s="307"/>
      <c r="BF173" s="307"/>
      <c r="BG173" s="307"/>
    </row>
    <row r="174" spans="1:59" ht="15.75" customHeight="1" x14ac:dyDescent="0.2">
      <c r="A174" s="307"/>
      <c r="B174" s="307"/>
      <c r="C174" s="308" t="s">
        <v>189</v>
      </c>
      <c r="D174" s="172">
        <v>71.391250388341007</v>
      </c>
      <c r="E174" s="172">
        <v>66.904699821846123</v>
      </c>
      <c r="F174" s="172">
        <v>94.769922190669803</v>
      </c>
      <c r="G174" s="172">
        <v>72.450135763611286</v>
      </c>
      <c r="H174" s="172">
        <v>305.51600816446819</v>
      </c>
      <c r="I174" s="172">
        <v>76.384921810000009</v>
      </c>
      <c r="J174" s="172">
        <v>74.16784057000001</v>
      </c>
      <c r="K174" s="172">
        <v>92.225276269999995</v>
      </c>
      <c r="L174" s="172">
        <v>94.275412500000002</v>
      </c>
      <c r="M174" s="172">
        <v>337.05345115</v>
      </c>
      <c r="N174" s="172">
        <v>88.732993210000004</v>
      </c>
      <c r="O174" s="172">
        <v>80.695711670000009</v>
      </c>
      <c r="P174" s="172">
        <v>90.707938010000007</v>
      </c>
      <c r="Q174" s="172">
        <v>91.21214123</v>
      </c>
      <c r="R174" s="172">
        <v>351.34878412</v>
      </c>
      <c r="S174" s="172">
        <v>112.82515959999999</v>
      </c>
      <c r="T174" s="172">
        <v>108.03041313999999</v>
      </c>
      <c r="U174" s="172">
        <v>108.43273812999999</v>
      </c>
      <c r="V174" s="172">
        <v>101.72981003</v>
      </c>
      <c r="W174" s="172">
        <f>SUM(S174:V174)</f>
        <v>431.01812089999999</v>
      </c>
      <c r="X174" s="172">
        <v>99.853074489999997</v>
      </c>
      <c r="Y174" s="172">
        <v>98.51247214</v>
      </c>
      <c r="Z174" s="172">
        <v>108.45719898</v>
      </c>
      <c r="AA174" s="172">
        <v>105.76548987</v>
      </c>
      <c r="AB174" s="172">
        <f>SUM(X174:AA174)</f>
        <v>412.58823547999998</v>
      </c>
      <c r="AC174" s="307"/>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7"/>
      <c r="AY174" s="307"/>
      <c r="AZ174" s="307"/>
      <c r="BA174" s="307"/>
      <c r="BB174" s="307"/>
      <c r="BC174" s="307"/>
      <c r="BD174" s="307"/>
      <c r="BE174" s="307"/>
      <c r="BF174" s="307"/>
      <c r="BG174" s="307"/>
    </row>
    <row r="175" spans="1:59" ht="15.75" customHeight="1" x14ac:dyDescent="0.2">
      <c r="A175" s="312"/>
      <c r="B175" s="312"/>
      <c r="C175" s="313" t="s">
        <v>222</v>
      </c>
      <c r="D175" s="140">
        <f t="shared" ref="D175:AB175" si="94">D174/D170</f>
        <v>0.46975807281385384</v>
      </c>
      <c r="E175" s="140">
        <f t="shared" si="94"/>
        <v>0.43671630093866448</v>
      </c>
      <c r="F175" s="140">
        <f t="shared" si="94"/>
        <v>0.49614192544872504</v>
      </c>
      <c r="G175" s="140">
        <f t="shared" si="94"/>
        <v>0.42071505212508314</v>
      </c>
      <c r="H175" s="140">
        <f t="shared" si="94"/>
        <v>0.45708912158856974</v>
      </c>
      <c r="I175" s="140">
        <f t="shared" si="94"/>
        <v>0.4965145865302647</v>
      </c>
      <c r="J175" s="140">
        <f t="shared" si="94"/>
        <v>0.47551982468779935</v>
      </c>
      <c r="K175" s="140">
        <f t="shared" si="94"/>
        <v>0.5218117532202331</v>
      </c>
      <c r="L175" s="140">
        <f t="shared" si="94"/>
        <v>0.53621021705521144</v>
      </c>
      <c r="M175" s="140">
        <f t="shared" si="94"/>
        <v>0.50885754787720505</v>
      </c>
      <c r="N175" s="140">
        <f t="shared" si="94"/>
        <v>0.53667402028614763</v>
      </c>
      <c r="O175" s="140">
        <f t="shared" si="94"/>
        <v>0.49463590562920329</v>
      </c>
      <c r="P175" s="140">
        <f t="shared" si="94"/>
        <v>0.51966393492085039</v>
      </c>
      <c r="Q175" s="140">
        <f t="shared" si="94"/>
        <v>0.52299828427430839</v>
      </c>
      <c r="R175" s="140">
        <f t="shared" si="94"/>
        <v>0.5186466111537289</v>
      </c>
      <c r="S175" s="140">
        <f t="shared" si="94"/>
        <v>0.61061469461355022</v>
      </c>
      <c r="T175" s="140">
        <f t="shared" si="94"/>
        <v>0.57300487880955597</v>
      </c>
      <c r="U175" s="140">
        <f t="shared" si="94"/>
        <v>0.56695306860912298</v>
      </c>
      <c r="V175" s="140">
        <f t="shared" si="94"/>
        <v>0.50814106521113112</v>
      </c>
      <c r="W175" s="140">
        <f t="shared" si="94"/>
        <v>0.56359816678751418</v>
      </c>
      <c r="X175" s="140">
        <f t="shared" si="94"/>
        <v>0.54848085802192581</v>
      </c>
      <c r="Y175" s="140">
        <f t="shared" si="94"/>
        <v>0.52270426848366214</v>
      </c>
      <c r="Z175" s="140">
        <f t="shared" si="94"/>
        <v>0.54456534525300815</v>
      </c>
      <c r="AA175" s="140">
        <f t="shared" si="94"/>
        <v>0.5326820803077571</v>
      </c>
      <c r="AB175" s="140">
        <f t="shared" si="94"/>
        <v>0.53705891837397834</v>
      </c>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c r="AW175" s="312"/>
      <c r="AX175" s="312"/>
      <c r="AY175" s="312"/>
      <c r="AZ175" s="312"/>
      <c r="BA175" s="312"/>
      <c r="BB175" s="312"/>
      <c r="BC175" s="312"/>
      <c r="BD175" s="312"/>
      <c r="BE175" s="312"/>
      <c r="BF175" s="312"/>
      <c r="BG175" s="312"/>
    </row>
    <row r="176" spans="1:59" ht="15.75" customHeight="1" x14ac:dyDescent="0.2">
      <c r="A176" s="190"/>
      <c r="B176" s="190"/>
      <c r="C176" s="190" t="s">
        <v>241</v>
      </c>
      <c r="D176" s="301" t="s">
        <v>146</v>
      </c>
      <c r="E176" s="301" t="s">
        <v>146</v>
      </c>
      <c r="F176" s="301" t="s">
        <v>146</v>
      </c>
      <c r="G176" s="301" t="s">
        <v>146</v>
      </c>
      <c r="H176" s="301" t="s">
        <v>146</v>
      </c>
      <c r="I176" s="301">
        <f t="shared" ref="I176:AB176" si="95">I174/D174-1</f>
        <v>6.9947947325412319E-2</v>
      </c>
      <c r="J176" s="301">
        <f t="shared" si="95"/>
        <v>0.10855949981831148</v>
      </c>
      <c r="K176" s="301">
        <f t="shared" si="95"/>
        <v>-2.6850775666462767E-2</v>
      </c>
      <c r="L176" s="301">
        <f t="shared" si="95"/>
        <v>0.30124549121066857</v>
      </c>
      <c r="M176" s="301">
        <f t="shared" si="95"/>
        <v>0.10322681019239521</v>
      </c>
      <c r="N176" s="301">
        <f t="shared" si="95"/>
        <v>0.16165587536653647</v>
      </c>
      <c r="O176" s="301">
        <f t="shared" si="95"/>
        <v>8.8014846459483431E-2</v>
      </c>
      <c r="P176" s="301">
        <f t="shared" si="95"/>
        <v>-1.6452520625233058E-2</v>
      </c>
      <c r="Q176" s="301">
        <f t="shared" si="95"/>
        <v>-3.2492790949071648E-2</v>
      </c>
      <c r="R176" s="301">
        <f t="shared" si="95"/>
        <v>4.241265864872612E-2</v>
      </c>
      <c r="S176" s="301">
        <f t="shared" si="95"/>
        <v>0.27151305865431863</v>
      </c>
      <c r="T176" s="301">
        <f t="shared" si="95"/>
        <v>0.33873796889955576</v>
      </c>
      <c r="U176" s="301">
        <f t="shared" si="95"/>
        <v>0.19540517080264719</v>
      </c>
      <c r="V176" s="301">
        <f t="shared" si="95"/>
        <v>0.1153099648595981</v>
      </c>
      <c r="W176" s="301">
        <f t="shared" si="95"/>
        <v>0.22675284611996727</v>
      </c>
      <c r="X176" s="301">
        <f t="shared" si="95"/>
        <v>-0.11497510977152647</v>
      </c>
      <c r="Y176" s="301">
        <f t="shared" si="95"/>
        <v>-8.810427289272138E-2</v>
      </c>
      <c r="Z176" s="301">
        <f t="shared" si="95"/>
        <v>2.2558546820694581E-4</v>
      </c>
      <c r="AA176" s="301">
        <f t="shared" si="95"/>
        <v>3.9670572851850272E-2</v>
      </c>
      <c r="AB176" s="301">
        <f t="shared" si="95"/>
        <v>-4.2758957283552168E-2</v>
      </c>
      <c r="AC176" s="312"/>
      <c r="AD176" s="312"/>
      <c r="AE176" s="312"/>
      <c r="AF176" s="312"/>
      <c r="AG176" s="312"/>
      <c r="AH176" s="312"/>
      <c r="AI176" s="312"/>
      <c r="AJ176" s="312"/>
      <c r="AK176" s="312"/>
      <c r="AL176" s="312"/>
      <c r="AM176" s="312"/>
      <c r="AN176" s="312"/>
      <c r="AO176" s="312"/>
      <c r="AP176" s="312"/>
      <c r="AQ176" s="312"/>
      <c r="AR176" s="312"/>
      <c r="AS176" s="312"/>
      <c r="AT176" s="312"/>
      <c r="AU176" s="312"/>
      <c r="AV176" s="312"/>
      <c r="AW176" s="312"/>
      <c r="AX176" s="312"/>
      <c r="AY176" s="312"/>
      <c r="AZ176" s="312"/>
      <c r="BA176" s="312"/>
      <c r="BB176" s="312"/>
      <c r="BC176" s="312"/>
      <c r="BD176" s="312"/>
      <c r="BE176" s="312"/>
      <c r="BF176" s="312"/>
      <c r="BG176" s="312"/>
    </row>
    <row r="177" spans="1:59" ht="15.75" customHeight="1" x14ac:dyDescent="0.2">
      <c r="A177" s="307"/>
      <c r="B177" s="307"/>
      <c r="C177" s="308"/>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307"/>
      <c r="AD177" s="307"/>
      <c r="AE177" s="307"/>
      <c r="AF177" s="307"/>
      <c r="AG177" s="307"/>
      <c r="AH177" s="307"/>
      <c r="AI177" s="307"/>
      <c r="AJ177" s="307"/>
      <c r="AK177" s="307"/>
      <c r="AL177" s="307"/>
      <c r="AM177" s="307"/>
      <c r="AN177" s="307"/>
      <c r="AO177" s="307"/>
      <c r="AP177" s="307"/>
      <c r="AQ177" s="307"/>
      <c r="AR177" s="307"/>
      <c r="AS177" s="307"/>
      <c r="AT177" s="307"/>
      <c r="AU177" s="307"/>
      <c r="AV177" s="307"/>
      <c r="AW177" s="307"/>
      <c r="AX177" s="307"/>
      <c r="AY177" s="307"/>
      <c r="AZ177" s="307"/>
      <c r="BA177" s="307"/>
      <c r="BB177" s="307"/>
      <c r="BC177" s="307"/>
      <c r="BD177" s="307"/>
      <c r="BE177" s="307"/>
      <c r="BF177" s="307"/>
      <c r="BG177" s="307"/>
    </row>
    <row r="178" spans="1:59" ht="15.75" customHeight="1" x14ac:dyDescent="0.2">
      <c r="A178" s="307"/>
      <c r="B178" s="307"/>
      <c r="C178" s="308" t="s">
        <v>242</v>
      </c>
      <c r="D178" s="172">
        <f t="shared" ref="D178:AB178" si="96">D181-D174</f>
        <v>-16.776713192323484</v>
      </c>
      <c r="E178" s="172">
        <f t="shared" si="96"/>
        <v>-17.790963568723512</v>
      </c>
      <c r="F178" s="172">
        <f t="shared" si="96"/>
        <v>-18.011990777052404</v>
      </c>
      <c r="G178" s="172">
        <f t="shared" si="96"/>
        <v>-18.332010371707483</v>
      </c>
      <c r="H178" s="172">
        <f t="shared" si="96"/>
        <v>-70.911677909806883</v>
      </c>
      <c r="I178" s="172">
        <f t="shared" si="96"/>
        <v>-24.995797460000013</v>
      </c>
      <c r="J178" s="172">
        <f t="shared" si="96"/>
        <v>-24.648493120000012</v>
      </c>
      <c r="K178" s="172">
        <f t="shared" si="96"/>
        <v>-24.100485809999995</v>
      </c>
      <c r="L178" s="172">
        <f t="shared" si="96"/>
        <v>-23.692846469999992</v>
      </c>
      <c r="M178" s="172">
        <f t="shared" si="96"/>
        <v>-97.437622859999976</v>
      </c>
      <c r="N178" s="172">
        <f t="shared" si="96"/>
        <v>-23.658049480000003</v>
      </c>
      <c r="O178" s="172">
        <f t="shared" si="96"/>
        <v>-23.71512563000001</v>
      </c>
      <c r="P178" s="172">
        <f t="shared" si="96"/>
        <v>-24.008875650000007</v>
      </c>
      <c r="Q178" s="172">
        <f t="shared" si="96"/>
        <v>-25.521354479999999</v>
      </c>
      <c r="R178" s="172">
        <f t="shared" si="96"/>
        <v>-96.903405240000012</v>
      </c>
      <c r="S178" s="172">
        <f t="shared" si="96"/>
        <v>-28.479328359999997</v>
      </c>
      <c r="T178" s="172">
        <f t="shared" si="96"/>
        <v>-29.944790179999984</v>
      </c>
      <c r="U178" s="172">
        <f t="shared" si="96"/>
        <v>-29.263522099999989</v>
      </c>
      <c r="V178" s="172">
        <f t="shared" si="96"/>
        <v>-29.068045949999998</v>
      </c>
      <c r="W178" s="172">
        <f t="shared" si="96"/>
        <v>-116.75568658999998</v>
      </c>
      <c r="X178" s="172">
        <f t="shared" si="96"/>
        <v>-29.449314829999992</v>
      </c>
      <c r="Y178" s="172">
        <f t="shared" si="96"/>
        <v>-30.003882349999998</v>
      </c>
      <c r="Z178" s="172">
        <f t="shared" si="96"/>
        <v>-29.911573469999993</v>
      </c>
      <c r="AA178" s="172">
        <f t="shared" si="96"/>
        <v>-30.849116639999991</v>
      </c>
      <c r="AB178" s="172">
        <f t="shared" si="96"/>
        <v>-120.21388728999995</v>
      </c>
      <c r="AC178" s="307"/>
      <c r="AD178" s="307"/>
      <c r="AE178" s="307"/>
      <c r="AF178" s="307"/>
      <c r="AG178" s="307"/>
      <c r="AH178" s="307"/>
      <c r="AI178" s="307"/>
      <c r="AJ178" s="307"/>
      <c r="AK178" s="307"/>
      <c r="AL178" s="307"/>
      <c r="AM178" s="307"/>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row>
    <row r="179" spans="1:59" ht="15.75" customHeight="1" x14ac:dyDescent="0.2">
      <c r="A179" s="307"/>
      <c r="B179" s="307"/>
      <c r="C179" s="308" t="s">
        <v>243</v>
      </c>
      <c r="D179" s="301" t="s">
        <v>146</v>
      </c>
      <c r="E179" s="301" t="s">
        <v>146</v>
      </c>
      <c r="F179" s="301" t="s">
        <v>146</v>
      </c>
      <c r="G179" s="301" t="s">
        <v>146</v>
      </c>
      <c r="H179" s="301" t="s">
        <v>146</v>
      </c>
      <c r="I179" s="301">
        <f t="shared" ref="I179:AB179" si="97">I178/D178-1</f>
        <v>0.48991028060474529</v>
      </c>
      <c r="J179" s="301">
        <f t="shared" si="97"/>
        <v>0.38545014859858551</v>
      </c>
      <c r="K179" s="301">
        <f t="shared" si="97"/>
        <v>0.33802454755331324</v>
      </c>
      <c r="L179" s="301">
        <f t="shared" si="97"/>
        <v>0.29243034394995204</v>
      </c>
      <c r="M179" s="301">
        <f t="shared" si="97"/>
        <v>0.3740701917099134</v>
      </c>
      <c r="N179" s="301">
        <f t="shared" si="97"/>
        <v>-5.3518915815379264E-2</v>
      </c>
      <c r="O179" s="301">
        <f t="shared" si="97"/>
        <v>-3.7867121752877431E-2</v>
      </c>
      <c r="P179" s="301">
        <f t="shared" si="97"/>
        <v>-3.8011748278524715E-3</v>
      </c>
      <c r="Q179" s="301">
        <f t="shared" si="97"/>
        <v>7.7175531117178009E-2</v>
      </c>
      <c r="R179" s="301">
        <f t="shared" si="97"/>
        <v>-5.4826626955744029E-3</v>
      </c>
      <c r="S179" s="301">
        <f t="shared" si="97"/>
        <v>0.20379021035000355</v>
      </c>
      <c r="T179" s="301">
        <f t="shared" si="97"/>
        <v>0.26268739399463059</v>
      </c>
      <c r="U179" s="301">
        <f t="shared" si="97"/>
        <v>0.21886266256704023</v>
      </c>
      <c r="V179" s="301">
        <f t="shared" si="97"/>
        <v>0.13896956263741367</v>
      </c>
      <c r="W179" s="301">
        <f t="shared" si="97"/>
        <v>0.204866705156872</v>
      </c>
      <c r="X179" s="301">
        <f t="shared" si="97"/>
        <v>3.4059316910098447E-2</v>
      </c>
      <c r="Y179" s="301">
        <f t="shared" si="97"/>
        <v>1.9733706479425628E-3</v>
      </c>
      <c r="Z179" s="301">
        <f t="shared" si="97"/>
        <v>2.2145364723544558E-2</v>
      </c>
      <c r="AA179" s="301">
        <f t="shared" si="97"/>
        <v>6.127246024943056E-2</v>
      </c>
      <c r="AB179" s="301">
        <f t="shared" si="97"/>
        <v>2.9619120070303762E-2</v>
      </c>
      <c r="AC179" s="307"/>
      <c r="AD179" s="307"/>
      <c r="AE179" s="307"/>
      <c r="AF179" s="307"/>
      <c r="AG179" s="307"/>
      <c r="AH179" s="307"/>
      <c r="AI179" s="307"/>
      <c r="AJ179" s="307"/>
      <c r="AK179" s="307"/>
      <c r="AL179" s="307"/>
      <c r="AM179" s="307"/>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row>
    <row r="180" spans="1:59" ht="15.75" customHeight="1" x14ac:dyDescent="0.2">
      <c r="A180" s="307"/>
      <c r="B180" s="307"/>
      <c r="C180" s="308"/>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row>
    <row r="181" spans="1:59" ht="15.75" customHeight="1" x14ac:dyDescent="0.2">
      <c r="A181" s="307"/>
      <c r="B181" s="307"/>
      <c r="C181" s="308" t="s">
        <v>190</v>
      </c>
      <c r="D181" s="172">
        <v>54.614537196017523</v>
      </c>
      <c r="E181" s="172">
        <v>49.11373625312261</v>
      </c>
      <c r="F181" s="172">
        <v>76.757931413617399</v>
      </c>
      <c r="G181" s="172">
        <v>54.118125391903803</v>
      </c>
      <c r="H181" s="172">
        <v>234.60433025466131</v>
      </c>
      <c r="I181" s="172">
        <v>51.389124349999996</v>
      </c>
      <c r="J181" s="172">
        <v>49.519347449999998</v>
      </c>
      <c r="K181" s="172">
        <v>68.12479046</v>
      </c>
      <c r="L181" s="172">
        <v>70.58256603000001</v>
      </c>
      <c r="M181" s="172">
        <v>239.61582829000002</v>
      </c>
      <c r="N181" s="172">
        <v>65.074943730000001</v>
      </c>
      <c r="O181" s="172">
        <v>56.980586039999999</v>
      </c>
      <c r="P181" s="172">
        <v>66.699062359999999</v>
      </c>
      <c r="Q181" s="172">
        <v>65.690786750000001</v>
      </c>
      <c r="R181" s="172">
        <v>254.44537887999999</v>
      </c>
      <c r="S181" s="172">
        <v>84.345831239999995</v>
      </c>
      <c r="T181" s="172">
        <v>78.085622960000009</v>
      </c>
      <c r="U181" s="172">
        <v>79.169216030000001</v>
      </c>
      <c r="V181" s="172">
        <v>72.661764079999998</v>
      </c>
      <c r="W181" s="172">
        <f>SUM(S181:V181)</f>
        <v>314.26243431</v>
      </c>
      <c r="X181" s="172">
        <v>70.403759660000006</v>
      </c>
      <c r="Y181" s="172">
        <v>68.508589790000002</v>
      </c>
      <c r="Z181" s="172">
        <v>78.545625510000008</v>
      </c>
      <c r="AA181" s="172">
        <v>74.916373230000005</v>
      </c>
      <c r="AB181" s="172">
        <f>SUM(X181:AA181)</f>
        <v>292.37434819000003</v>
      </c>
      <c r="AC181" s="307"/>
      <c r="AD181" s="307"/>
      <c r="AE181" s="307"/>
      <c r="AF181" s="307"/>
      <c r="AG181" s="307"/>
      <c r="AH181" s="307"/>
      <c r="AI181" s="307"/>
      <c r="AJ181" s="307"/>
      <c r="AK181" s="307"/>
      <c r="AL181" s="307"/>
      <c r="AM181" s="307"/>
      <c r="AN181" s="307"/>
      <c r="AO181" s="307"/>
      <c r="AP181" s="307"/>
      <c r="AQ181" s="307"/>
      <c r="AR181" s="307"/>
      <c r="AS181" s="307"/>
      <c r="AT181" s="307"/>
      <c r="AU181" s="307"/>
      <c r="AV181" s="307"/>
      <c r="AW181" s="307"/>
      <c r="AX181" s="307"/>
      <c r="AY181" s="307"/>
      <c r="AZ181" s="307"/>
      <c r="BA181" s="307"/>
      <c r="BB181" s="307"/>
      <c r="BC181" s="307"/>
      <c r="BD181" s="307"/>
      <c r="BE181" s="307"/>
      <c r="BF181" s="307"/>
      <c r="BG181" s="307"/>
    </row>
    <row r="182" spans="1:59" ht="15.75" customHeight="1" x14ac:dyDescent="0.2">
      <c r="A182" s="312"/>
      <c r="B182" s="312"/>
      <c r="C182" s="313" t="s">
        <v>244</v>
      </c>
      <c r="D182" s="140">
        <f t="shared" ref="D182:AB182" si="98">D181/D170</f>
        <v>0.3593664433843784</v>
      </c>
      <c r="E182" s="140">
        <f t="shared" si="98"/>
        <v>0.3205868837145176</v>
      </c>
      <c r="F182" s="140">
        <f t="shared" si="98"/>
        <v>0.40184508971521143</v>
      </c>
      <c r="G182" s="140">
        <f t="shared" si="98"/>
        <v>0.3142617982035884</v>
      </c>
      <c r="H182" s="140">
        <f t="shared" si="98"/>
        <v>0.35099662332341702</v>
      </c>
      <c r="I182" s="140">
        <f t="shared" si="98"/>
        <v>0.33403778159595138</v>
      </c>
      <c r="J182" s="140">
        <f t="shared" si="98"/>
        <v>0.31748843214403727</v>
      </c>
      <c r="K182" s="140">
        <f t="shared" si="98"/>
        <v>0.38545090657816916</v>
      </c>
      <c r="L182" s="140">
        <f t="shared" si="98"/>
        <v>0.40145242590436925</v>
      </c>
      <c r="M182" s="140">
        <f t="shared" si="98"/>
        <v>0.36175366963369787</v>
      </c>
      <c r="N182" s="140">
        <f t="shared" si="98"/>
        <v>0.39358563718030964</v>
      </c>
      <c r="O182" s="140">
        <f t="shared" si="98"/>
        <v>0.34927065138773977</v>
      </c>
      <c r="P182" s="140">
        <f t="shared" si="98"/>
        <v>0.38211757385233036</v>
      </c>
      <c r="Q182" s="140">
        <f t="shared" si="98"/>
        <v>0.37666223267631838</v>
      </c>
      <c r="R182" s="140">
        <f t="shared" si="98"/>
        <v>0.37560179355784068</v>
      </c>
      <c r="S182" s="140">
        <f t="shared" si="98"/>
        <v>0.45648332488189669</v>
      </c>
      <c r="T182" s="140">
        <f t="shared" si="98"/>
        <v>0.41417450531249062</v>
      </c>
      <c r="U182" s="140">
        <f t="shared" si="98"/>
        <v>0.41394537057409891</v>
      </c>
      <c r="V182" s="140">
        <f t="shared" si="98"/>
        <v>0.36294598592922489</v>
      </c>
      <c r="W182" s="140">
        <f t="shared" si="98"/>
        <v>0.41092873658643808</v>
      </c>
      <c r="X182" s="140">
        <f t="shared" si="98"/>
        <v>0.38671933441722367</v>
      </c>
      <c r="Y182" s="140">
        <f t="shared" si="98"/>
        <v>0.36350455463282449</v>
      </c>
      <c r="Z182" s="140">
        <f t="shared" si="98"/>
        <v>0.39437885245270088</v>
      </c>
      <c r="AA182" s="140">
        <f t="shared" si="98"/>
        <v>0.37731219881191258</v>
      </c>
      <c r="AB182" s="140">
        <f t="shared" si="98"/>
        <v>0.38057859554948442</v>
      </c>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c r="AW182" s="312"/>
      <c r="AX182" s="312"/>
      <c r="AY182" s="312"/>
      <c r="AZ182" s="312"/>
      <c r="BA182" s="312"/>
      <c r="BB182" s="312"/>
      <c r="BC182" s="312"/>
      <c r="BD182" s="312"/>
      <c r="BE182" s="312"/>
      <c r="BF182" s="312"/>
      <c r="BG182" s="312"/>
    </row>
    <row r="183" spans="1:59" ht="15.75" customHeight="1" x14ac:dyDescent="0.2">
      <c r="A183" s="307"/>
      <c r="B183" s="307"/>
      <c r="C183" s="190" t="s">
        <v>245</v>
      </c>
      <c r="D183" s="301" t="s">
        <v>146</v>
      </c>
      <c r="E183" s="301" t="s">
        <v>146</v>
      </c>
      <c r="F183" s="301" t="s">
        <v>146</v>
      </c>
      <c r="G183" s="301" t="s">
        <v>146</v>
      </c>
      <c r="H183" s="301" t="s">
        <v>146</v>
      </c>
      <c r="I183" s="301">
        <f t="shared" ref="I183:AB183" si="99">I181/D181-1</f>
        <v>-5.9057771275094151E-2</v>
      </c>
      <c r="J183" s="301">
        <f t="shared" si="99"/>
        <v>8.2586100716701694E-3</v>
      </c>
      <c r="K183" s="301">
        <f t="shared" si="99"/>
        <v>-0.11247229823191696</v>
      </c>
      <c r="L183" s="301">
        <f t="shared" si="99"/>
        <v>0.30423154015159826</v>
      </c>
      <c r="M183" s="301">
        <f t="shared" si="99"/>
        <v>2.1361489917508303E-2</v>
      </c>
      <c r="N183" s="301">
        <f t="shared" si="99"/>
        <v>0.26631742714253903</v>
      </c>
      <c r="O183" s="301">
        <f t="shared" si="99"/>
        <v>0.15067320096521186</v>
      </c>
      <c r="P183" s="301">
        <f t="shared" si="99"/>
        <v>-2.09281832703343E-2</v>
      </c>
      <c r="Q183" s="301">
        <f t="shared" si="99"/>
        <v>-6.9305772730348658E-2</v>
      </c>
      <c r="R183" s="301">
        <f t="shared" si="99"/>
        <v>6.1888860580830318E-2</v>
      </c>
      <c r="S183" s="301">
        <f t="shared" si="99"/>
        <v>0.29613375602683734</v>
      </c>
      <c r="T183" s="301">
        <f t="shared" si="99"/>
        <v>0.37038995887449122</v>
      </c>
      <c r="U183" s="301">
        <f t="shared" si="99"/>
        <v>0.1869614538611335</v>
      </c>
      <c r="V183" s="301">
        <f t="shared" si="99"/>
        <v>0.10611803686458354</v>
      </c>
      <c r="W183" s="301">
        <f t="shared" si="99"/>
        <v>0.23508800078546743</v>
      </c>
      <c r="X183" s="301">
        <f t="shared" si="99"/>
        <v>-0.16529651050955707</v>
      </c>
      <c r="Y183" s="301">
        <f t="shared" si="99"/>
        <v>-0.12264784229109527</v>
      </c>
      <c r="Z183" s="301">
        <f t="shared" si="99"/>
        <v>-7.8766792355717818E-3</v>
      </c>
      <c r="AA183" s="301">
        <f t="shared" si="99"/>
        <v>3.1028824837196378E-2</v>
      </c>
      <c r="AB183" s="301">
        <f t="shared" si="99"/>
        <v>-6.9649069472964009E-2</v>
      </c>
      <c r="AC183" s="307"/>
      <c r="AD183" s="307"/>
      <c r="AE183" s="307"/>
      <c r="AF183" s="307"/>
      <c r="AG183" s="307"/>
      <c r="AH183" s="307"/>
      <c r="AI183" s="307"/>
      <c r="AJ183" s="307"/>
      <c r="AK183" s="307"/>
      <c r="AL183" s="307"/>
      <c r="AM183" s="307"/>
      <c r="AN183" s="307"/>
      <c r="AO183" s="307"/>
      <c r="AP183" s="307"/>
      <c r="AQ183" s="307"/>
      <c r="AR183" s="307"/>
      <c r="AS183" s="307"/>
      <c r="AT183" s="307"/>
      <c r="AU183" s="307"/>
      <c r="AV183" s="307"/>
      <c r="AW183" s="307"/>
      <c r="AX183" s="307"/>
      <c r="AY183" s="307"/>
      <c r="AZ183" s="307"/>
      <c r="BA183" s="307"/>
      <c r="BB183" s="307"/>
      <c r="BC183" s="307"/>
      <c r="BD183" s="307"/>
      <c r="BE183" s="307"/>
      <c r="BF183" s="307"/>
      <c r="BG183" s="307"/>
    </row>
    <row r="184" spans="1:59" ht="15.75" customHeight="1" x14ac:dyDescent="0.2">
      <c r="A184" s="307"/>
      <c r="B184" s="307"/>
      <c r="C184" s="308" t="s">
        <v>246</v>
      </c>
      <c r="D184" s="172">
        <v>8.4116525699999976</v>
      </c>
      <c r="E184" s="172">
        <v>10.997611050000001</v>
      </c>
      <c r="F184" s="172">
        <v>8.0666841900000001</v>
      </c>
      <c r="G184" s="172">
        <v>49.044311010000001</v>
      </c>
      <c r="H184" s="172">
        <f>SUM(D184:G184)</f>
        <v>76.520258819999995</v>
      </c>
      <c r="I184" s="172">
        <v>58.54052489</v>
      </c>
      <c r="J184" s="172">
        <v>56.83265437</v>
      </c>
      <c r="K184" s="172">
        <v>72.185164149999991</v>
      </c>
      <c r="L184" s="172">
        <v>58.781831139999994</v>
      </c>
      <c r="M184" s="172">
        <f>SUM(I184:L184)</f>
        <v>246.34017454999997</v>
      </c>
      <c r="N184" s="172">
        <v>57.7</v>
      </c>
      <c r="O184" s="172">
        <v>132.00011524000001</v>
      </c>
      <c r="P184" s="172">
        <v>20.990084899999999</v>
      </c>
      <c r="Q184" s="172">
        <v>32.607661449999995</v>
      </c>
      <c r="R184" s="172">
        <f>SUM(N184:Q184)</f>
        <v>243.29786159</v>
      </c>
      <c r="S184" s="172">
        <v>15.051717760000001</v>
      </c>
      <c r="T184" s="172">
        <v>8.8725461299999999</v>
      </c>
      <c r="U184" s="172">
        <v>12.477934440000002</v>
      </c>
      <c r="V184" s="172">
        <v>19.288367390000001</v>
      </c>
      <c r="W184" s="172">
        <f>SUM(S184:V184)</f>
        <v>55.690565720000009</v>
      </c>
      <c r="X184" s="172">
        <v>9.1916069799999995</v>
      </c>
      <c r="Y184" s="172">
        <v>9.5233291000000015</v>
      </c>
      <c r="Z184" s="172">
        <v>28.483083639999997</v>
      </c>
      <c r="AA184" s="172">
        <v>24.693720970000001</v>
      </c>
      <c r="AB184" s="172">
        <f>SUM(X184:AA184)</f>
        <v>71.891740690000006</v>
      </c>
      <c r="AC184" s="307"/>
      <c r="AD184" s="307"/>
      <c r="AE184" s="307"/>
      <c r="AF184" s="307"/>
      <c r="AG184" s="307"/>
      <c r="AH184" s="307"/>
      <c r="AI184" s="307"/>
      <c r="AJ184" s="307"/>
      <c r="AK184" s="307"/>
      <c r="AL184" s="307"/>
      <c r="AM184" s="307"/>
      <c r="AN184" s="307"/>
      <c r="AO184" s="307"/>
      <c r="AP184" s="307"/>
      <c r="AQ184" s="307"/>
      <c r="AR184" s="307"/>
      <c r="AS184" s="307"/>
      <c r="AT184" s="307"/>
      <c r="AU184" s="307"/>
      <c r="AV184" s="307"/>
      <c r="AW184" s="307"/>
      <c r="AX184" s="307"/>
      <c r="AY184" s="307"/>
      <c r="AZ184" s="307"/>
      <c r="BA184" s="307"/>
      <c r="BB184" s="307"/>
      <c r="BC184" s="307"/>
      <c r="BD184" s="307"/>
      <c r="BE184" s="307"/>
      <c r="BF184" s="307"/>
      <c r="BG184" s="307"/>
    </row>
    <row r="185" spans="1:59" ht="15.75" customHeight="1" x14ac:dyDescent="0.2">
      <c r="A185" s="289"/>
      <c r="B185" s="289"/>
      <c r="C185" s="190" t="s">
        <v>247</v>
      </c>
      <c r="D185" s="301" t="s">
        <v>146</v>
      </c>
      <c r="E185" s="301" t="s">
        <v>146</v>
      </c>
      <c r="F185" s="301" t="s">
        <v>146</v>
      </c>
      <c r="G185" s="301" t="s">
        <v>146</v>
      </c>
      <c r="H185" s="301" t="s">
        <v>146</v>
      </c>
      <c r="I185" s="301">
        <f t="shared" ref="I185:AB185" si="100">I184/D184-1</f>
        <v>5.9594558741980972</v>
      </c>
      <c r="J185" s="301">
        <f t="shared" si="100"/>
        <v>4.1677272556388498</v>
      </c>
      <c r="K185" s="301">
        <f t="shared" si="100"/>
        <v>7.9485546291108733</v>
      </c>
      <c r="L185" s="301">
        <f t="shared" si="100"/>
        <v>0.19854535479180324</v>
      </c>
      <c r="M185" s="301">
        <f t="shared" si="100"/>
        <v>2.2192804670129314</v>
      </c>
      <c r="N185" s="301">
        <f t="shared" si="100"/>
        <v>-1.4358000574463237E-2</v>
      </c>
      <c r="O185" s="301">
        <f t="shared" si="100"/>
        <v>1.3226104200700211</v>
      </c>
      <c r="P185" s="301">
        <f t="shared" si="100"/>
        <v>-0.70921885200146073</v>
      </c>
      <c r="Q185" s="301">
        <f t="shared" si="100"/>
        <v>-0.44527652817860142</v>
      </c>
      <c r="R185" s="301">
        <f t="shared" si="100"/>
        <v>-1.2350047918726625E-2</v>
      </c>
      <c r="S185" s="301">
        <f t="shared" si="100"/>
        <v>-0.73913834038128257</v>
      </c>
      <c r="T185" s="301">
        <f t="shared" si="100"/>
        <v>-0.93278380012117323</v>
      </c>
      <c r="U185" s="301">
        <f t="shared" si="100"/>
        <v>-0.40553196904887212</v>
      </c>
      <c r="V185" s="301">
        <f t="shared" si="100"/>
        <v>-0.40847130605865622</v>
      </c>
      <c r="W185" s="301">
        <f t="shared" si="100"/>
        <v>-0.77110129387882376</v>
      </c>
      <c r="X185" s="301">
        <f t="shared" si="100"/>
        <v>-0.38933169445770954</v>
      </c>
      <c r="Y185" s="301">
        <f t="shared" si="100"/>
        <v>7.3347938738753227E-2</v>
      </c>
      <c r="Z185" s="301">
        <f t="shared" si="100"/>
        <v>1.2826761734452576</v>
      </c>
      <c r="AA185" s="301">
        <f t="shared" si="100"/>
        <v>0.28023904100885133</v>
      </c>
      <c r="AB185" s="301">
        <f t="shared" si="100"/>
        <v>0.2909141747896038</v>
      </c>
      <c r="AC185" s="289"/>
      <c r="AD185" s="289"/>
      <c r="AE185" s="289"/>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89"/>
      <c r="BE185" s="289"/>
      <c r="BF185" s="289"/>
      <c r="BG185" s="289"/>
    </row>
    <row r="186" spans="1:59" ht="15.75" customHeight="1"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c r="AS186" s="289"/>
      <c r="AT186" s="289"/>
      <c r="AU186" s="289"/>
      <c r="AV186" s="289"/>
      <c r="AW186" s="289"/>
      <c r="AX186" s="289"/>
      <c r="AY186" s="289"/>
      <c r="AZ186" s="289"/>
      <c r="BA186" s="289"/>
      <c r="BB186" s="289"/>
      <c r="BC186" s="289"/>
      <c r="BD186" s="289"/>
      <c r="BE186" s="289"/>
      <c r="BF186" s="289"/>
      <c r="BG186" s="289"/>
    </row>
    <row r="187" spans="1:59" ht="15.75" customHeight="1" x14ac:dyDescent="0.2">
      <c r="A187" s="162"/>
      <c r="B187" s="162"/>
      <c r="C187" s="227" t="s">
        <v>27</v>
      </c>
      <c r="D187" s="339" t="s">
        <v>98</v>
      </c>
      <c r="E187" s="339" t="s">
        <v>99</v>
      </c>
      <c r="F187" s="339" t="s">
        <v>100</v>
      </c>
      <c r="G187" s="339" t="s">
        <v>101</v>
      </c>
      <c r="H187" s="229">
        <v>2018</v>
      </c>
      <c r="I187" s="339" t="s">
        <v>102</v>
      </c>
      <c r="J187" s="339" t="s">
        <v>103</v>
      </c>
      <c r="K187" s="339" t="s">
        <v>104</v>
      </c>
      <c r="L187" s="339" t="s">
        <v>105</v>
      </c>
      <c r="M187" s="229">
        <v>2019</v>
      </c>
      <c r="N187" s="339" t="s">
        <v>158</v>
      </c>
      <c r="O187" s="339" t="s">
        <v>107</v>
      </c>
      <c r="P187" s="339" t="s">
        <v>108</v>
      </c>
      <c r="Q187" s="339" t="s">
        <v>109</v>
      </c>
      <c r="R187" s="229">
        <v>2020</v>
      </c>
      <c r="S187" s="339" t="s">
        <v>110</v>
      </c>
      <c r="T187" s="339" t="s">
        <v>111</v>
      </c>
      <c r="U187" s="339" t="s">
        <v>112</v>
      </c>
      <c r="V187" s="339" t="s">
        <v>113</v>
      </c>
      <c r="W187" s="229">
        <v>2021</v>
      </c>
      <c r="X187" s="339" t="s">
        <v>114</v>
      </c>
      <c r="Y187" s="339" t="s">
        <v>115</v>
      </c>
      <c r="Z187" s="339" t="str">
        <f>$Z$4</f>
        <v>3Q22</v>
      </c>
      <c r="AA187" s="339" t="str">
        <f>$AA$4</f>
        <v>4Q22</v>
      </c>
      <c r="AB187" s="229">
        <v>2022</v>
      </c>
      <c r="AC187" s="307"/>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7"/>
      <c r="AY187" s="307"/>
      <c r="AZ187" s="307"/>
      <c r="BA187" s="307"/>
      <c r="BB187" s="307"/>
      <c r="BC187" s="307"/>
      <c r="BD187" s="307"/>
      <c r="BE187" s="307"/>
      <c r="BF187" s="307"/>
      <c r="BG187" s="307"/>
    </row>
    <row r="188" spans="1:59" ht="15.75" customHeight="1" x14ac:dyDescent="0.2">
      <c r="A188" s="307"/>
      <c r="B188" s="307"/>
      <c r="C188" s="308" t="s">
        <v>188</v>
      </c>
      <c r="D188" s="172">
        <v>17.037530830000001</v>
      </c>
      <c r="E188" s="172">
        <v>19.618133219999997</v>
      </c>
      <c r="F188" s="172">
        <v>20.516277439999996</v>
      </c>
      <c r="G188" s="172">
        <v>18.723955759999999</v>
      </c>
      <c r="H188" s="172">
        <v>75.89589724999999</v>
      </c>
      <c r="I188" s="172">
        <v>19.935042360000001</v>
      </c>
      <c r="J188" s="172">
        <v>24.29726582</v>
      </c>
      <c r="K188" s="172">
        <v>16.690395429999999</v>
      </c>
      <c r="L188" s="172">
        <v>15.021225900000001</v>
      </c>
      <c r="M188" s="172">
        <v>75.943929510000004</v>
      </c>
      <c r="N188" s="172">
        <v>10.32955308</v>
      </c>
      <c r="O188" s="172">
        <v>11.88092131</v>
      </c>
      <c r="P188" s="172">
        <v>10.68923274</v>
      </c>
      <c r="Q188" s="172">
        <v>8.2146191200000001</v>
      </c>
      <c r="R188" s="172">
        <v>41.114326250000005</v>
      </c>
      <c r="S188" s="172">
        <v>8.0606307299999997</v>
      </c>
      <c r="T188" s="172">
        <v>9.0403167699999987</v>
      </c>
      <c r="U188" s="172">
        <v>9.6838037899999989</v>
      </c>
      <c r="V188" s="172">
        <v>12.29042988</v>
      </c>
      <c r="W188" s="172">
        <f>SUM(S188:V188)</f>
        <v>39.075181169999993</v>
      </c>
      <c r="X188" s="172">
        <v>11.50371466</v>
      </c>
      <c r="Y188" s="172">
        <v>11.358109499999999</v>
      </c>
      <c r="Z188" s="172">
        <v>14.83575501</v>
      </c>
      <c r="AA188" s="172">
        <v>17.273622809999999</v>
      </c>
      <c r="AB188" s="172">
        <f>SUM(X188:AA188)</f>
        <v>54.971201979999996</v>
      </c>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c r="BD188" s="307"/>
      <c r="BE188" s="307"/>
      <c r="BF188" s="307"/>
      <c r="BG188" s="307"/>
    </row>
    <row r="189" spans="1:59" ht="15.75" customHeight="1" x14ac:dyDescent="0.2">
      <c r="A189" s="190"/>
      <c r="B189" s="190"/>
      <c r="C189" s="190" t="s">
        <v>240</v>
      </c>
      <c r="D189" s="301" t="s">
        <v>146</v>
      </c>
      <c r="E189" s="301" t="s">
        <v>146</v>
      </c>
      <c r="F189" s="301" t="s">
        <v>146</v>
      </c>
      <c r="G189" s="301" t="s">
        <v>146</v>
      </c>
      <c r="H189" s="301" t="s">
        <v>146</v>
      </c>
      <c r="I189" s="301">
        <f t="shared" ref="I189:AB189" si="101">I188/D188-1</f>
        <v>0.1700663998152836</v>
      </c>
      <c r="J189" s="301">
        <f t="shared" si="101"/>
        <v>0.23851059361906013</v>
      </c>
      <c r="K189" s="301">
        <f t="shared" si="101"/>
        <v>-0.18648032135404768</v>
      </c>
      <c r="L189" s="301">
        <f t="shared" si="101"/>
        <v>-0.19775361080002885</v>
      </c>
      <c r="M189" s="301">
        <f t="shared" si="101"/>
        <v>6.3287030973224745E-4</v>
      </c>
      <c r="N189" s="301">
        <f t="shared" si="101"/>
        <v>-0.48183942158425397</v>
      </c>
      <c r="O189" s="301">
        <f t="shared" si="101"/>
        <v>-0.5110181780116031</v>
      </c>
      <c r="P189" s="301">
        <f t="shared" si="101"/>
        <v>-0.35955784961291359</v>
      </c>
      <c r="Q189" s="301">
        <f t="shared" si="101"/>
        <v>-0.45313257555097419</v>
      </c>
      <c r="R189" s="301">
        <f t="shared" si="101"/>
        <v>-0.45862261124391479</v>
      </c>
      <c r="S189" s="301">
        <f t="shared" si="101"/>
        <v>-0.21965348669276608</v>
      </c>
      <c r="T189" s="301">
        <f t="shared" si="101"/>
        <v>-0.23908958454333884</v>
      </c>
      <c r="U189" s="301">
        <f t="shared" si="101"/>
        <v>-9.4059973662805718E-2</v>
      </c>
      <c r="V189" s="301">
        <f t="shared" si="101"/>
        <v>0.49616551911417162</v>
      </c>
      <c r="W189" s="301">
        <f t="shared" si="101"/>
        <v>-4.9596947487373977E-2</v>
      </c>
      <c r="X189" s="301">
        <f t="shared" si="101"/>
        <v>0.42714820283052468</v>
      </c>
      <c r="Y189" s="301">
        <f t="shared" si="101"/>
        <v>0.25638401717200021</v>
      </c>
      <c r="Z189" s="301">
        <f t="shared" si="101"/>
        <v>0.53201730763278943</v>
      </c>
      <c r="AA189" s="301">
        <f t="shared" si="101"/>
        <v>0.40545310283321023</v>
      </c>
      <c r="AB189" s="301">
        <f t="shared" si="101"/>
        <v>0.40680606804720809</v>
      </c>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2"/>
      <c r="AY189" s="312"/>
      <c r="AZ189" s="312"/>
      <c r="BA189" s="312"/>
      <c r="BB189" s="312"/>
      <c r="BC189" s="312"/>
      <c r="BD189" s="312"/>
      <c r="BE189" s="312"/>
      <c r="BF189" s="312"/>
      <c r="BG189" s="312"/>
    </row>
    <row r="190" spans="1:59" ht="15.75" customHeight="1" x14ac:dyDescent="0.2">
      <c r="A190" s="307"/>
      <c r="B190" s="307"/>
      <c r="C190" s="308"/>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7"/>
      <c r="AY190" s="307"/>
      <c r="AZ190" s="307"/>
      <c r="BA190" s="307"/>
      <c r="BB190" s="307"/>
      <c r="BC190" s="307"/>
      <c r="BD190" s="307"/>
      <c r="BE190" s="307"/>
      <c r="BF190" s="307"/>
      <c r="BG190" s="307"/>
    </row>
    <row r="191" spans="1:59" ht="15.75" customHeight="1" x14ac:dyDescent="0.2">
      <c r="A191" s="307"/>
      <c r="B191" s="307"/>
      <c r="C191" s="335" t="s">
        <v>227</v>
      </c>
      <c r="D191" s="172">
        <f t="shared" ref="D191:AB191" si="102">(D188-D192)*-1</f>
        <v>-11.083869210303998</v>
      </c>
      <c r="E191" s="172">
        <f t="shared" si="102"/>
        <v>-15.147150449247</v>
      </c>
      <c r="F191" s="172">
        <f t="shared" si="102"/>
        <v>-15.90538839817399</v>
      </c>
      <c r="G191" s="172">
        <f t="shared" si="102"/>
        <v>-15.696248887559012</v>
      </c>
      <c r="H191" s="172">
        <f t="shared" si="102"/>
        <v>-57.832656945284</v>
      </c>
      <c r="I191" s="172">
        <f t="shared" si="102"/>
        <v>-15.641184770000001</v>
      </c>
      <c r="J191" s="172">
        <f t="shared" si="102"/>
        <v>-19.39720355</v>
      </c>
      <c r="K191" s="172">
        <f t="shared" si="102"/>
        <v>-15.18472555</v>
      </c>
      <c r="L191" s="172">
        <f t="shared" si="102"/>
        <v>-70.854786970000006</v>
      </c>
      <c r="M191" s="172">
        <f t="shared" si="102"/>
        <v>-121.07790084000001</v>
      </c>
      <c r="N191" s="172">
        <f t="shared" si="102"/>
        <v>-11.790860540000001</v>
      </c>
      <c r="O191" s="172">
        <f t="shared" si="102"/>
        <v>-11.6544697</v>
      </c>
      <c r="P191" s="172">
        <f t="shared" si="102"/>
        <v>-12.510219679999999</v>
      </c>
      <c r="Q191" s="172">
        <f t="shared" si="102"/>
        <v>-7.6560167400000001</v>
      </c>
      <c r="R191" s="172">
        <f t="shared" si="102"/>
        <v>-43.611566660000008</v>
      </c>
      <c r="S191" s="172">
        <f t="shared" si="102"/>
        <v>-9.160285459999999</v>
      </c>
      <c r="T191" s="172">
        <f t="shared" si="102"/>
        <v>-9.8814365699999982</v>
      </c>
      <c r="U191" s="172">
        <f t="shared" si="102"/>
        <v>-9.9927362899999981</v>
      </c>
      <c r="V191" s="172">
        <f t="shared" si="102"/>
        <v>-11.880071969999999</v>
      </c>
      <c r="W191" s="172">
        <f t="shared" si="102"/>
        <v>-40.914530289999995</v>
      </c>
      <c r="X191" s="172">
        <f t="shared" si="102"/>
        <v>-11.85370483</v>
      </c>
      <c r="Y191" s="172">
        <f t="shared" si="102"/>
        <v>-10.46792378</v>
      </c>
      <c r="Z191" s="172">
        <f t="shared" si="102"/>
        <v>-15.03214</v>
      </c>
      <c r="AA191" s="172">
        <f t="shared" si="102"/>
        <v>-16.322502659999998</v>
      </c>
      <c r="AB191" s="172">
        <f t="shared" si="102"/>
        <v>-53.676271269999994</v>
      </c>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7"/>
      <c r="AY191" s="307"/>
      <c r="AZ191" s="307"/>
      <c r="BA191" s="307"/>
      <c r="BB191" s="307"/>
      <c r="BC191" s="307"/>
      <c r="BD191" s="307"/>
      <c r="BE191" s="307"/>
      <c r="BF191" s="307"/>
      <c r="BG191" s="307"/>
    </row>
    <row r="192" spans="1:59" ht="15.75" customHeight="1" x14ac:dyDescent="0.2">
      <c r="A192" s="307"/>
      <c r="B192" s="307"/>
      <c r="C192" s="308" t="s">
        <v>189</v>
      </c>
      <c r="D192" s="172">
        <v>5.9536616196960024</v>
      </c>
      <c r="E192" s="172">
        <v>4.4709827707529977</v>
      </c>
      <c r="F192" s="172">
        <v>4.610889041826006</v>
      </c>
      <c r="G192" s="172">
        <v>3.0277068724409868</v>
      </c>
      <c r="H192" s="172">
        <v>18.063240304715993</v>
      </c>
      <c r="I192" s="172">
        <v>4.29385759</v>
      </c>
      <c r="J192" s="172">
        <v>4.9000622699999994</v>
      </c>
      <c r="K192" s="172">
        <v>1.5056698799999999</v>
      </c>
      <c r="L192" s="172">
        <v>-55.833561070000002</v>
      </c>
      <c r="M192" s="172">
        <v>-45.133971330000001</v>
      </c>
      <c r="N192" s="172">
        <v>-1.46130746</v>
      </c>
      <c r="O192" s="172">
        <v>0.22645161</v>
      </c>
      <c r="P192" s="172">
        <v>-1.8209869400000001</v>
      </c>
      <c r="Q192" s="172">
        <v>0.55860237999999995</v>
      </c>
      <c r="R192" s="172">
        <v>-2.4972404099999999</v>
      </c>
      <c r="S192" s="172">
        <v>-1.0996547299999999</v>
      </c>
      <c r="T192" s="172">
        <v>-0.84111980000000008</v>
      </c>
      <c r="U192" s="172">
        <v>-0.3089325</v>
      </c>
      <c r="V192" s="172">
        <v>0.41035790999999999</v>
      </c>
      <c r="W192" s="172">
        <f>SUM(S192:V192)</f>
        <v>-1.8393491200000001</v>
      </c>
      <c r="X192" s="172">
        <v>-0.34999016999999999</v>
      </c>
      <c r="Y192" s="172">
        <v>0.89018571999999996</v>
      </c>
      <c r="Z192" s="172">
        <v>-0.19638498999999998</v>
      </c>
      <c r="AA192" s="172">
        <v>0.95112015000000005</v>
      </c>
      <c r="AB192" s="172">
        <f>SUM(X192:AA192)</f>
        <v>1.29493071</v>
      </c>
      <c r="AC192" s="307"/>
      <c r="AD192" s="307"/>
      <c r="AE192" s="307"/>
      <c r="AF192" s="307"/>
      <c r="AG192" s="307"/>
      <c r="AH192" s="307"/>
      <c r="AI192" s="307"/>
      <c r="AJ192" s="307"/>
      <c r="AK192" s="307"/>
      <c r="AL192" s="307"/>
      <c r="AM192" s="307"/>
      <c r="AN192" s="307"/>
      <c r="AO192" s="307"/>
      <c r="AP192" s="307"/>
      <c r="AQ192" s="307"/>
      <c r="AR192" s="307"/>
      <c r="AS192" s="307"/>
      <c r="AT192" s="307"/>
      <c r="AU192" s="307"/>
      <c r="AV192" s="307"/>
      <c r="AW192" s="307"/>
      <c r="AX192" s="307"/>
      <c r="AY192" s="307"/>
      <c r="AZ192" s="307"/>
      <c r="BA192" s="307"/>
      <c r="BB192" s="307"/>
      <c r="BC192" s="307"/>
      <c r="BD192" s="307"/>
      <c r="BE192" s="307"/>
      <c r="BF192" s="307"/>
      <c r="BG192" s="307"/>
    </row>
    <row r="193" spans="1:59" ht="15.75" customHeight="1" x14ac:dyDescent="0.2">
      <c r="A193" s="312"/>
      <c r="B193" s="312"/>
      <c r="C193" s="313" t="s">
        <v>222</v>
      </c>
      <c r="D193" s="140">
        <f t="shared" ref="D193:AB193" si="103">D192/D188</f>
        <v>0.34944392348289599</v>
      </c>
      <c r="E193" s="140">
        <f t="shared" si="103"/>
        <v>0.22790052043254491</v>
      </c>
      <c r="F193" s="140">
        <f t="shared" si="103"/>
        <v>0.22474296593573492</v>
      </c>
      <c r="G193" s="140">
        <f t="shared" si="103"/>
        <v>0.16170230859597945</v>
      </c>
      <c r="H193" s="140">
        <f t="shared" si="103"/>
        <v>0.23800022081847114</v>
      </c>
      <c r="I193" s="140">
        <f t="shared" si="103"/>
        <v>0.21539244875725461</v>
      </c>
      <c r="J193" s="140">
        <f t="shared" si="103"/>
        <v>0.20167134468136627</v>
      </c>
      <c r="K193" s="140">
        <f t="shared" si="103"/>
        <v>9.0211755995525861E-2</v>
      </c>
      <c r="L193" s="140">
        <f t="shared" si="103"/>
        <v>-3.716977658261567</v>
      </c>
      <c r="M193" s="140">
        <f t="shared" si="103"/>
        <v>-0.59430650509145611</v>
      </c>
      <c r="N193" s="140">
        <f t="shared" si="103"/>
        <v>-0.14146860456425478</v>
      </c>
      <c r="O193" s="140">
        <f t="shared" si="103"/>
        <v>1.9060105196505171E-2</v>
      </c>
      <c r="P193" s="140">
        <f t="shared" si="103"/>
        <v>-0.17035712331210781</v>
      </c>
      <c r="Q193" s="140">
        <f t="shared" si="103"/>
        <v>6.8001007939610961E-2</v>
      </c>
      <c r="R193" s="140">
        <f t="shared" si="103"/>
        <v>-6.0738935494534574E-2</v>
      </c>
      <c r="S193" s="140">
        <f t="shared" si="103"/>
        <v>-0.13642291364462492</v>
      </c>
      <c r="T193" s="140">
        <f t="shared" si="103"/>
        <v>-9.304096542183446E-2</v>
      </c>
      <c r="U193" s="140">
        <f t="shared" si="103"/>
        <v>-3.1901978468318389E-2</v>
      </c>
      <c r="V193" s="140">
        <f t="shared" si="103"/>
        <v>3.3388409844619688E-2</v>
      </c>
      <c r="W193" s="140">
        <f t="shared" si="103"/>
        <v>-4.7072056096112536E-2</v>
      </c>
      <c r="X193" s="140">
        <f t="shared" si="103"/>
        <v>-3.0424100418359995E-2</v>
      </c>
      <c r="Y193" s="140">
        <f t="shared" si="103"/>
        <v>7.8374461876776241E-2</v>
      </c>
      <c r="Z193" s="140">
        <f t="shared" si="103"/>
        <v>-1.3237276422239867E-2</v>
      </c>
      <c r="AA193" s="140">
        <f t="shared" si="103"/>
        <v>5.5061995995963287E-2</v>
      </c>
      <c r="AB193" s="140">
        <f t="shared" si="103"/>
        <v>2.3556528934388785E-2</v>
      </c>
      <c r="AC193" s="312"/>
      <c r="AD193" s="312"/>
      <c r="AE193" s="312"/>
      <c r="AF193" s="312"/>
      <c r="AG193" s="312"/>
      <c r="AH193" s="312"/>
      <c r="AI193" s="312"/>
      <c r="AJ193" s="312"/>
      <c r="AK193" s="312"/>
      <c r="AL193" s="312"/>
      <c r="AM193" s="312"/>
      <c r="AN193" s="312"/>
      <c r="AO193" s="312"/>
      <c r="AP193" s="312"/>
      <c r="AQ193" s="312"/>
      <c r="AR193" s="312"/>
      <c r="AS193" s="312"/>
      <c r="AT193" s="312"/>
      <c r="AU193" s="312"/>
      <c r="AV193" s="312"/>
      <c r="AW193" s="312"/>
      <c r="AX193" s="312"/>
      <c r="AY193" s="312"/>
      <c r="AZ193" s="312"/>
      <c r="BA193" s="312"/>
      <c r="BB193" s="312"/>
      <c r="BC193" s="312"/>
      <c r="BD193" s="312"/>
      <c r="BE193" s="312"/>
      <c r="BF193" s="312"/>
      <c r="BG193" s="312"/>
    </row>
    <row r="194" spans="1:59" ht="15.75" customHeight="1" x14ac:dyDescent="0.2">
      <c r="A194" s="190"/>
      <c r="B194" s="190"/>
      <c r="C194" s="190" t="s">
        <v>241</v>
      </c>
      <c r="D194" s="301" t="s">
        <v>146</v>
      </c>
      <c r="E194" s="301" t="s">
        <v>146</v>
      </c>
      <c r="F194" s="301" t="s">
        <v>146</v>
      </c>
      <c r="G194" s="301" t="s">
        <v>146</v>
      </c>
      <c r="H194" s="301" t="s">
        <v>146</v>
      </c>
      <c r="I194" s="301">
        <f t="shared" ref="I194:AB194" si="104">I192/D192-1</f>
        <v>-0.27878709535742019</v>
      </c>
      <c r="J194" s="301">
        <f t="shared" si="104"/>
        <v>9.596983957393701E-2</v>
      </c>
      <c r="K194" s="301">
        <f t="shared" si="104"/>
        <v>-0.67345345629837061</v>
      </c>
      <c r="L194" s="301">
        <f t="shared" si="104"/>
        <v>-19.440874041741719</v>
      </c>
      <c r="M194" s="301">
        <f t="shared" si="104"/>
        <v>-3.4986641692529727</v>
      </c>
      <c r="N194" s="301">
        <f t="shared" si="104"/>
        <v>-1.3403250874931789</v>
      </c>
      <c r="O194" s="301">
        <f t="shared" si="104"/>
        <v>-0.95378597300968582</v>
      </c>
      <c r="P194" s="301">
        <f t="shared" si="104"/>
        <v>-2.2094197833060196</v>
      </c>
      <c r="Q194" s="301">
        <f t="shared" si="104"/>
        <v>-1.0100047779381234</v>
      </c>
      <c r="R194" s="301">
        <f t="shared" si="104"/>
        <v>-0.94467049239382761</v>
      </c>
      <c r="S194" s="301">
        <f t="shared" si="104"/>
        <v>-0.24748572076679887</v>
      </c>
      <c r="T194" s="301">
        <f t="shared" si="104"/>
        <v>-4.7143467427765255</v>
      </c>
      <c r="U194" s="301">
        <f t="shared" si="104"/>
        <v>-0.83034886565413812</v>
      </c>
      <c r="V194" s="301">
        <f t="shared" si="104"/>
        <v>-0.26538460147627718</v>
      </c>
      <c r="W194" s="301">
        <f t="shared" si="104"/>
        <v>-0.26344731863441206</v>
      </c>
      <c r="X194" s="301">
        <f t="shared" si="104"/>
        <v>-0.68172721814237092</v>
      </c>
      <c r="Y194" s="301">
        <f t="shared" si="104"/>
        <v>-2.0583340446866187</v>
      </c>
      <c r="Z194" s="301">
        <f t="shared" si="104"/>
        <v>-0.36431100644962899</v>
      </c>
      <c r="AA194" s="301">
        <f t="shared" si="104"/>
        <v>1.317781933337169</v>
      </c>
      <c r="AB194" s="301">
        <f t="shared" si="104"/>
        <v>-1.7040157281288719</v>
      </c>
      <c r="AC194" s="312"/>
      <c r="AD194" s="312"/>
      <c r="AE194" s="312"/>
      <c r="AF194" s="312"/>
      <c r="AG194" s="312"/>
      <c r="AH194" s="312"/>
      <c r="AI194" s="312"/>
      <c r="AJ194" s="312"/>
      <c r="AK194" s="312"/>
      <c r="AL194" s="312"/>
      <c r="AM194" s="312"/>
      <c r="AN194" s="312"/>
      <c r="AO194" s="312"/>
      <c r="AP194" s="312"/>
      <c r="AQ194" s="312"/>
      <c r="AR194" s="312"/>
      <c r="AS194" s="312"/>
      <c r="AT194" s="312"/>
      <c r="AU194" s="312"/>
      <c r="AV194" s="312"/>
      <c r="AW194" s="312"/>
      <c r="AX194" s="312"/>
      <c r="AY194" s="312"/>
      <c r="AZ194" s="312"/>
      <c r="BA194" s="312"/>
      <c r="BB194" s="312"/>
      <c r="BC194" s="312"/>
      <c r="BD194" s="312"/>
      <c r="BE194" s="312"/>
      <c r="BF194" s="312"/>
      <c r="BG194" s="312"/>
    </row>
    <row r="195" spans="1:59" ht="15.75" customHeight="1" x14ac:dyDescent="0.2">
      <c r="A195" s="307"/>
      <c r="B195" s="307"/>
      <c r="C195" s="308"/>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row>
    <row r="196" spans="1:59" ht="15.75" customHeight="1" x14ac:dyDescent="0.2">
      <c r="A196" s="307"/>
      <c r="B196" s="307"/>
      <c r="C196" s="308" t="s">
        <v>242</v>
      </c>
      <c r="D196" s="172">
        <f t="shared" ref="D196:AB196" si="105">D199-D192</f>
        <v>-3.0590749999999995</v>
      </c>
      <c r="E196" s="172">
        <f t="shared" si="105"/>
        <v>-3.0697220700000001</v>
      </c>
      <c r="F196" s="172">
        <f t="shared" si="105"/>
        <v>-3.0350390899999997</v>
      </c>
      <c r="G196" s="172">
        <f t="shared" si="105"/>
        <v>-2.9867868900000003</v>
      </c>
      <c r="H196" s="172">
        <f t="shared" si="105"/>
        <v>-12.15062305</v>
      </c>
      <c r="I196" s="172">
        <f t="shared" si="105"/>
        <v>-3.4548770200000001</v>
      </c>
      <c r="J196" s="172">
        <f t="shared" si="105"/>
        <v>-3.4484614399999991</v>
      </c>
      <c r="K196" s="172">
        <f t="shared" si="105"/>
        <v>-3.4613335899999997</v>
      </c>
      <c r="L196" s="172">
        <f t="shared" si="105"/>
        <v>-3.3823316499999976</v>
      </c>
      <c r="M196" s="172">
        <f t="shared" si="105"/>
        <v>-13.7470037</v>
      </c>
      <c r="N196" s="172">
        <f t="shared" si="105"/>
        <v>-3.3779308600000006</v>
      </c>
      <c r="O196" s="172">
        <f t="shared" si="105"/>
        <v>-3.4460188999999999</v>
      </c>
      <c r="P196" s="172">
        <f t="shared" si="105"/>
        <v>-3.2670977100000007</v>
      </c>
      <c r="Q196" s="172">
        <f t="shared" si="105"/>
        <v>-3.3135778399999998</v>
      </c>
      <c r="R196" s="172">
        <f t="shared" si="105"/>
        <v>-13.40462531</v>
      </c>
      <c r="S196" s="172">
        <f t="shared" si="105"/>
        <v>-3.4067543999999996</v>
      </c>
      <c r="T196" s="172">
        <f t="shared" si="105"/>
        <v>-3.3250176699999998</v>
      </c>
      <c r="U196" s="172">
        <f t="shared" si="105"/>
        <v>-3.2965013399999998</v>
      </c>
      <c r="V196" s="172">
        <f t="shared" si="105"/>
        <v>-3.5429103099999999</v>
      </c>
      <c r="W196" s="172">
        <f t="shared" si="105"/>
        <v>-13.571183720000001</v>
      </c>
      <c r="X196" s="172">
        <f t="shared" si="105"/>
        <v>-3.3824698400000002</v>
      </c>
      <c r="Y196" s="172">
        <f t="shared" si="105"/>
        <v>-3.2744722899999998</v>
      </c>
      <c r="Z196" s="172">
        <f t="shared" si="105"/>
        <v>-3.5532041400000001</v>
      </c>
      <c r="AA196" s="172">
        <f t="shared" si="105"/>
        <v>-3.7279070400000003</v>
      </c>
      <c r="AB196" s="172">
        <f t="shared" si="105"/>
        <v>-13.938053310000001</v>
      </c>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row>
    <row r="197" spans="1:59" ht="15.75" customHeight="1" x14ac:dyDescent="0.2">
      <c r="A197" s="307"/>
      <c r="B197" s="307"/>
      <c r="C197" s="308" t="s">
        <v>243</v>
      </c>
      <c r="D197" s="301" t="s">
        <v>146</v>
      </c>
      <c r="E197" s="301" t="s">
        <v>146</v>
      </c>
      <c r="F197" s="301" t="s">
        <v>146</v>
      </c>
      <c r="G197" s="301" t="s">
        <v>146</v>
      </c>
      <c r="H197" s="301" t="s">
        <v>146</v>
      </c>
      <c r="I197" s="301">
        <f t="shared" ref="I197:AB197" si="106">I196/D196-1</f>
        <v>0.12938617719408674</v>
      </c>
      <c r="J197" s="301">
        <f t="shared" si="106"/>
        <v>0.1233790425854413</v>
      </c>
      <c r="K197" s="301">
        <f t="shared" si="106"/>
        <v>0.14045766375944768</v>
      </c>
      <c r="L197" s="301">
        <f t="shared" si="106"/>
        <v>0.13243153079461822</v>
      </c>
      <c r="M197" s="301">
        <f t="shared" si="106"/>
        <v>0.13138261663051098</v>
      </c>
      <c r="N197" s="301">
        <f t="shared" si="106"/>
        <v>-2.2271750790133549E-2</v>
      </c>
      <c r="O197" s="301">
        <f t="shared" si="106"/>
        <v>-7.0829848107545335E-4</v>
      </c>
      <c r="P197" s="301">
        <f t="shared" si="106"/>
        <v>-5.6115908781851687E-2</v>
      </c>
      <c r="Q197" s="301">
        <f t="shared" si="106"/>
        <v>-2.0327341347498473E-2</v>
      </c>
      <c r="R197" s="301">
        <f t="shared" si="106"/>
        <v>-2.4905673808758855E-2</v>
      </c>
      <c r="S197" s="301">
        <f t="shared" si="106"/>
        <v>8.5328981541081816E-3</v>
      </c>
      <c r="T197" s="301">
        <f t="shared" si="106"/>
        <v>-3.5113339047560088E-2</v>
      </c>
      <c r="U197" s="301">
        <f t="shared" si="106"/>
        <v>8.9999236661946203E-3</v>
      </c>
      <c r="V197" s="301">
        <f t="shared" si="106"/>
        <v>6.9209923856806244E-2</v>
      </c>
      <c r="W197" s="301">
        <f t="shared" si="106"/>
        <v>1.2425443169660655E-2</v>
      </c>
      <c r="X197" s="301">
        <f t="shared" si="106"/>
        <v>-7.1283565378236213E-3</v>
      </c>
      <c r="Y197" s="301">
        <f t="shared" si="106"/>
        <v>-1.5201537259800446E-2</v>
      </c>
      <c r="Z197" s="301">
        <f t="shared" si="106"/>
        <v>7.7871286410579943E-2</v>
      </c>
      <c r="AA197" s="301">
        <f t="shared" si="106"/>
        <v>5.2216035353150225E-2</v>
      </c>
      <c r="AB197" s="301">
        <f t="shared" si="106"/>
        <v>2.7032983825820533E-2</v>
      </c>
      <c r="AC197" s="307"/>
      <c r="AD197" s="307"/>
      <c r="AE197" s="307"/>
      <c r="AF197" s="307"/>
      <c r="AG197" s="307"/>
      <c r="AH197" s="307"/>
      <c r="AI197" s="307"/>
      <c r="AJ197" s="307"/>
      <c r="AK197" s="307"/>
      <c r="AL197" s="307"/>
      <c r="AM197" s="307"/>
      <c r="AN197" s="307"/>
      <c r="AO197" s="307"/>
      <c r="AP197" s="307"/>
      <c r="AQ197" s="307"/>
      <c r="AR197" s="307"/>
      <c r="AS197" s="307"/>
      <c r="AT197" s="307"/>
      <c r="AU197" s="307"/>
      <c r="AV197" s="307"/>
      <c r="AW197" s="307"/>
      <c r="AX197" s="307"/>
      <c r="AY197" s="307"/>
      <c r="AZ197" s="307"/>
      <c r="BA197" s="307"/>
      <c r="BB197" s="307"/>
      <c r="BC197" s="307"/>
      <c r="BD197" s="307"/>
      <c r="BE197" s="307"/>
      <c r="BF197" s="307"/>
      <c r="BG197" s="307"/>
    </row>
    <row r="198" spans="1:59" ht="15.75" customHeight="1" x14ac:dyDescent="0.2">
      <c r="A198" s="307"/>
      <c r="B198" s="307"/>
      <c r="C198" s="308"/>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row>
    <row r="199" spans="1:59" ht="15.75" customHeight="1" x14ac:dyDescent="0.2">
      <c r="A199" s="307"/>
      <c r="B199" s="307"/>
      <c r="C199" s="308" t="s">
        <v>190</v>
      </c>
      <c r="D199" s="172">
        <v>2.8945866196960028</v>
      </c>
      <c r="E199" s="172">
        <v>1.4012607007529978</v>
      </c>
      <c r="F199" s="172">
        <v>1.5758499518260061</v>
      </c>
      <c r="G199" s="172">
        <v>4.0919982440986671E-2</v>
      </c>
      <c r="H199" s="172">
        <v>5.9126172547159941</v>
      </c>
      <c r="I199" s="172">
        <v>0.83898056999999993</v>
      </c>
      <c r="J199" s="172">
        <v>1.4516008300000001</v>
      </c>
      <c r="K199" s="172">
        <v>-1.9556637100000001</v>
      </c>
      <c r="L199" s="172">
        <v>-59.215892719999999</v>
      </c>
      <c r="M199" s="172">
        <v>-58.880975030000002</v>
      </c>
      <c r="N199" s="172">
        <v>-4.8392383200000006</v>
      </c>
      <c r="O199" s="172">
        <v>-3.2195672900000001</v>
      </c>
      <c r="P199" s="172">
        <v>-5.0880846500000008</v>
      </c>
      <c r="Q199" s="172">
        <v>-2.7549754599999998</v>
      </c>
      <c r="R199" s="172">
        <v>-15.90186572</v>
      </c>
      <c r="S199" s="172">
        <v>-4.5064091299999998</v>
      </c>
      <c r="T199" s="172">
        <v>-4.1661374699999998</v>
      </c>
      <c r="U199" s="172">
        <v>-3.6054338399999999</v>
      </c>
      <c r="V199" s="172">
        <v>-3.1325523999999998</v>
      </c>
      <c r="W199" s="172">
        <f>SUM(S199:V199)</f>
        <v>-15.41053284</v>
      </c>
      <c r="X199" s="172">
        <v>-3.7324600100000001</v>
      </c>
      <c r="Y199" s="172">
        <v>-2.38428657</v>
      </c>
      <c r="Z199" s="172">
        <v>-3.7495891299999999</v>
      </c>
      <c r="AA199" s="172">
        <v>-2.7767868900000003</v>
      </c>
      <c r="AB199" s="172">
        <f>SUM(X199:AA199)</f>
        <v>-12.6431226</v>
      </c>
      <c r="AC199" s="307"/>
      <c r="AD199" s="307"/>
      <c r="AE199" s="307"/>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row>
    <row r="200" spans="1:59" ht="15.75" customHeight="1" x14ac:dyDescent="0.2">
      <c r="A200" s="312"/>
      <c r="B200" s="312"/>
      <c r="C200" s="313" t="s">
        <v>244</v>
      </c>
      <c r="D200" s="140">
        <f t="shared" ref="D200:AB200" si="107">D199/D188</f>
        <v>0.16989472527316932</v>
      </c>
      <c r="E200" s="140">
        <f t="shared" si="107"/>
        <v>7.1426811360647796E-2</v>
      </c>
      <c r="F200" s="140">
        <f t="shared" si="107"/>
        <v>7.6809740774591823E-2</v>
      </c>
      <c r="G200" s="140">
        <f t="shared" si="107"/>
        <v>2.1854346894155806E-3</v>
      </c>
      <c r="H200" s="140">
        <f t="shared" si="107"/>
        <v>7.7904306674706256E-2</v>
      </c>
      <c r="I200" s="140">
        <f t="shared" si="107"/>
        <v>4.2085717945773149E-2</v>
      </c>
      <c r="J200" s="140">
        <f t="shared" si="107"/>
        <v>5.9743381858428382E-2</v>
      </c>
      <c r="K200" s="140">
        <f t="shared" si="107"/>
        <v>-0.11717300037630086</v>
      </c>
      <c r="L200" s="140">
        <f t="shared" si="107"/>
        <v>-3.9421478056594568</v>
      </c>
      <c r="M200" s="140">
        <f t="shared" si="107"/>
        <v>-0.77532168021733427</v>
      </c>
      <c r="N200" s="140">
        <f t="shared" si="107"/>
        <v>-0.46848477204398087</v>
      </c>
      <c r="O200" s="140">
        <f t="shared" si="107"/>
        <v>-0.27098633228806396</v>
      </c>
      <c r="P200" s="140">
        <f t="shared" si="107"/>
        <v>-0.47600092296240909</v>
      </c>
      <c r="Q200" s="140">
        <f t="shared" si="107"/>
        <v>-0.33537470450608059</v>
      </c>
      <c r="R200" s="140">
        <f t="shared" si="107"/>
        <v>-0.38677189122125033</v>
      </c>
      <c r="S200" s="140">
        <f t="shared" si="107"/>
        <v>-0.55906408331398649</v>
      </c>
      <c r="T200" s="140">
        <f t="shared" si="107"/>
        <v>-0.46083976656937437</v>
      </c>
      <c r="U200" s="140">
        <f t="shared" si="107"/>
        <v>-0.37231587072459676</v>
      </c>
      <c r="V200" s="140">
        <f t="shared" si="107"/>
        <v>-0.2548773664212956</v>
      </c>
      <c r="W200" s="140">
        <f t="shared" si="107"/>
        <v>-0.39438160946599654</v>
      </c>
      <c r="X200" s="140">
        <f t="shared" si="107"/>
        <v>-0.32445693589552227</v>
      </c>
      <c r="Y200" s="140">
        <f t="shared" si="107"/>
        <v>-0.20991931535789474</v>
      </c>
      <c r="Z200" s="140">
        <f t="shared" si="107"/>
        <v>-0.25274002755320507</v>
      </c>
      <c r="AA200" s="140">
        <f t="shared" si="107"/>
        <v>-0.16075301171868073</v>
      </c>
      <c r="AB200" s="140">
        <f t="shared" si="107"/>
        <v>-0.22999538202930161</v>
      </c>
      <c r="AC200" s="312"/>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2"/>
      <c r="AY200" s="312"/>
      <c r="AZ200" s="312"/>
      <c r="BA200" s="312"/>
      <c r="BB200" s="312"/>
      <c r="BC200" s="312"/>
      <c r="BD200" s="312"/>
      <c r="BE200" s="312"/>
      <c r="BF200" s="312"/>
      <c r="BG200" s="312"/>
    </row>
    <row r="201" spans="1:59" ht="15.75" customHeight="1" x14ac:dyDescent="0.2">
      <c r="A201" s="307"/>
      <c r="B201" s="307"/>
      <c r="C201" s="190" t="s">
        <v>245</v>
      </c>
      <c r="D201" s="301" t="s">
        <v>146</v>
      </c>
      <c r="E201" s="301" t="s">
        <v>146</v>
      </c>
      <c r="F201" s="301" t="s">
        <v>146</v>
      </c>
      <c r="G201" s="301" t="s">
        <v>146</v>
      </c>
      <c r="H201" s="301" t="s">
        <v>146</v>
      </c>
      <c r="I201" s="301">
        <f t="shared" ref="I201:AB201" si="108">I199/D199-1</f>
        <v>-0.71015530705102481</v>
      </c>
      <c r="J201" s="301">
        <f t="shared" si="108"/>
        <v>3.5924884798346879E-2</v>
      </c>
      <c r="K201" s="301">
        <f t="shared" si="108"/>
        <v>-2.241021524754871</v>
      </c>
      <c r="L201" s="301">
        <f t="shared" si="108"/>
        <v>-1448.1143238000905</v>
      </c>
      <c r="M201" s="301">
        <f t="shared" si="108"/>
        <v>-10.958529783580298</v>
      </c>
      <c r="N201" s="301">
        <f t="shared" si="108"/>
        <v>-6.7679980836743345</v>
      </c>
      <c r="O201" s="301">
        <f t="shared" si="108"/>
        <v>-3.2179425799859871</v>
      </c>
      <c r="P201" s="301">
        <f t="shared" si="108"/>
        <v>1.6017175775072294</v>
      </c>
      <c r="Q201" s="301">
        <f t="shared" si="108"/>
        <v>-0.95347574217910058</v>
      </c>
      <c r="R201" s="301">
        <f t="shared" si="108"/>
        <v>-0.72993202453087846</v>
      </c>
      <c r="S201" s="301">
        <f t="shared" si="108"/>
        <v>-6.8777185166611243E-2</v>
      </c>
      <c r="T201" s="301">
        <f t="shared" si="108"/>
        <v>0.29400540344041071</v>
      </c>
      <c r="U201" s="301">
        <f t="shared" si="108"/>
        <v>-0.29139664765600959</v>
      </c>
      <c r="V201" s="301">
        <f t="shared" si="108"/>
        <v>0.13705274166035575</v>
      </c>
      <c r="W201" s="301">
        <f t="shared" si="108"/>
        <v>-3.0897813417078757E-2</v>
      </c>
      <c r="X201" s="301">
        <f t="shared" si="108"/>
        <v>-0.17174408662712781</v>
      </c>
      <c r="Y201" s="301">
        <f t="shared" si="108"/>
        <v>-0.42769853679360226</v>
      </c>
      <c r="Z201" s="301">
        <f t="shared" si="108"/>
        <v>3.9982786093781142E-2</v>
      </c>
      <c r="AA201" s="301">
        <f t="shared" si="108"/>
        <v>-0.11357048967480943</v>
      </c>
      <c r="AB201" s="301">
        <f t="shared" si="108"/>
        <v>-0.17957914036669997</v>
      </c>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row>
    <row r="202" spans="1:59" ht="15.75" customHeight="1" x14ac:dyDescent="0.2">
      <c r="A202" s="307"/>
      <c r="B202" s="307"/>
      <c r="C202" s="308" t="s">
        <v>246</v>
      </c>
      <c r="D202" s="172">
        <v>0.21836718999999999</v>
      </c>
      <c r="E202" s="172">
        <v>1.1094640500000004</v>
      </c>
      <c r="F202" s="172">
        <v>4.9845690200000004</v>
      </c>
      <c r="G202" s="172">
        <v>2.6806704600000018</v>
      </c>
      <c r="H202" s="172">
        <f>SUM(D202:G202)</f>
        <v>8.9930707200000022</v>
      </c>
      <c r="I202" s="172">
        <v>0.85676039999999998</v>
      </c>
      <c r="J202" s="172">
        <v>0.92787512999999999</v>
      </c>
      <c r="K202" s="172">
        <v>2.0670614</v>
      </c>
      <c r="L202" s="172">
        <v>0.52748435999999999</v>
      </c>
      <c r="M202" s="172">
        <f>SUM(I202:L202)</f>
        <v>4.37918129</v>
      </c>
      <c r="N202" s="172">
        <v>0.28620612000000001</v>
      </c>
      <c r="O202" s="172">
        <v>0.35039535999999999</v>
      </c>
      <c r="P202" s="172">
        <v>0.23522620000000002</v>
      </c>
      <c r="Q202" s="172">
        <v>0.57203477999999996</v>
      </c>
      <c r="R202" s="172">
        <f>SUM(N202:Q202)</f>
        <v>1.4438624600000001</v>
      </c>
      <c r="S202" s="172">
        <v>1.3</v>
      </c>
      <c r="T202" s="172">
        <v>2.3803548999999999</v>
      </c>
      <c r="U202" s="172">
        <v>5.7340321300000001</v>
      </c>
      <c r="V202" s="172">
        <v>6.0690055599999999</v>
      </c>
      <c r="W202" s="172">
        <f>SUM(S202:V202)</f>
        <v>15.483392590000001</v>
      </c>
      <c r="X202" s="172">
        <v>2.8675736000000001</v>
      </c>
      <c r="Y202" s="172">
        <v>4.9792733199999999</v>
      </c>
      <c r="Z202" s="172">
        <v>2.9712975299999997</v>
      </c>
      <c r="AA202" s="172">
        <v>1.21829506</v>
      </c>
      <c r="AB202" s="172">
        <f>SUM(X202:AA202)</f>
        <v>12.036439510000001</v>
      </c>
      <c r="AC202" s="307"/>
      <c r="AD202" s="307"/>
      <c r="AE202" s="307"/>
      <c r="AF202" s="307"/>
      <c r="AG202" s="307"/>
      <c r="AH202" s="307"/>
      <c r="AI202" s="307"/>
      <c r="AJ202" s="307"/>
      <c r="AK202" s="307"/>
      <c r="AL202" s="307"/>
      <c r="AM202" s="307"/>
      <c r="AN202" s="307"/>
      <c r="AO202" s="307"/>
      <c r="AP202" s="307"/>
      <c r="AQ202" s="307"/>
      <c r="AR202" s="307"/>
      <c r="AS202" s="307"/>
      <c r="AT202" s="307"/>
      <c r="AU202" s="307"/>
      <c r="AV202" s="307"/>
      <c r="AW202" s="307"/>
      <c r="AX202" s="307"/>
      <c r="AY202" s="307"/>
      <c r="AZ202" s="307"/>
      <c r="BA202" s="307"/>
      <c r="BB202" s="307"/>
      <c r="BC202" s="307"/>
      <c r="BD202" s="307"/>
      <c r="BE202" s="307"/>
      <c r="BF202" s="307"/>
      <c r="BG202" s="307"/>
    </row>
    <row r="203" spans="1:59" ht="15.75" customHeight="1" x14ac:dyDescent="0.2">
      <c r="A203" s="289"/>
      <c r="B203" s="289"/>
      <c r="C203" s="190" t="s">
        <v>247</v>
      </c>
      <c r="D203" s="301" t="s">
        <v>146</v>
      </c>
      <c r="E203" s="301" t="s">
        <v>146</v>
      </c>
      <c r="F203" s="301" t="s">
        <v>146</v>
      </c>
      <c r="G203" s="301" t="s">
        <v>146</v>
      </c>
      <c r="H203" s="301" t="s">
        <v>146</v>
      </c>
      <c r="I203" s="301">
        <f t="shared" ref="I203:AB203" si="109">I202/D202-1</f>
        <v>2.923485025383163</v>
      </c>
      <c r="J203" s="301">
        <f t="shared" si="109"/>
        <v>-0.16367264896956357</v>
      </c>
      <c r="K203" s="301">
        <f t="shared" si="109"/>
        <v>-0.58530789889634227</v>
      </c>
      <c r="L203" s="301">
        <f t="shared" si="109"/>
        <v>-0.80322670471028368</v>
      </c>
      <c r="M203" s="301">
        <f t="shared" si="109"/>
        <v>-0.5130493880959941</v>
      </c>
      <c r="N203" s="301">
        <f t="shared" si="109"/>
        <v>-0.66594380412540066</v>
      </c>
      <c r="O203" s="301">
        <f t="shared" si="109"/>
        <v>-0.6223679796224304</v>
      </c>
      <c r="P203" s="301">
        <f t="shared" si="109"/>
        <v>-0.8862026062699444</v>
      </c>
      <c r="Q203" s="301">
        <f t="shared" si="109"/>
        <v>8.4458276639709284E-2</v>
      </c>
      <c r="R203" s="301">
        <f t="shared" si="109"/>
        <v>-0.67028940699552542</v>
      </c>
      <c r="S203" s="301">
        <f t="shared" si="109"/>
        <v>3.5421809987850716</v>
      </c>
      <c r="T203" s="301">
        <f t="shared" si="109"/>
        <v>5.7933402428616638</v>
      </c>
      <c r="U203" s="301">
        <f t="shared" si="109"/>
        <v>23.376672879126559</v>
      </c>
      <c r="V203" s="301">
        <f t="shared" si="109"/>
        <v>9.6095044780319139</v>
      </c>
      <c r="W203" s="301">
        <f t="shared" si="109"/>
        <v>9.7235924604619193</v>
      </c>
      <c r="X203" s="301">
        <f t="shared" si="109"/>
        <v>1.205825846153846</v>
      </c>
      <c r="Y203" s="301">
        <f t="shared" si="109"/>
        <v>1.091819719824132</v>
      </c>
      <c r="Z203" s="301">
        <f t="shared" si="109"/>
        <v>-0.48181358900059046</v>
      </c>
      <c r="AA203" s="301">
        <f t="shared" si="109"/>
        <v>-0.79925952481743978</v>
      </c>
      <c r="AB203" s="301">
        <f t="shared" si="109"/>
        <v>-0.22262259772617443</v>
      </c>
      <c r="AC203" s="289"/>
      <c r="AD203" s="289"/>
      <c r="AE203" s="289"/>
      <c r="AF203" s="289"/>
      <c r="AG203" s="289"/>
      <c r="AH203" s="289"/>
      <c r="AI203" s="289"/>
      <c r="AJ203" s="289"/>
      <c r="AK203" s="289"/>
      <c r="AL203" s="289"/>
      <c r="AM203" s="289"/>
      <c r="AN203" s="289"/>
      <c r="AO203" s="289"/>
      <c r="AP203" s="289"/>
      <c r="AQ203" s="289"/>
      <c r="AR203" s="289"/>
      <c r="AS203" s="289"/>
      <c r="AT203" s="289"/>
      <c r="AU203" s="289"/>
      <c r="AV203" s="289"/>
      <c r="AW203" s="289"/>
      <c r="AX203" s="289"/>
      <c r="AY203" s="289"/>
      <c r="AZ203" s="289"/>
      <c r="BA203" s="289"/>
      <c r="BB203" s="289"/>
      <c r="BC203" s="289"/>
      <c r="BD203" s="289"/>
      <c r="BE203" s="289"/>
      <c r="BF203" s="289"/>
      <c r="BG203" s="289"/>
    </row>
    <row r="204" spans="1:59" ht="15.75" customHeight="1" x14ac:dyDescent="0.2">
      <c r="A204" s="190"/>
      <c r="B204" s="190"/>
      <c r="C204" s="190"/>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307"/>
      <c r="AD204" s="307"/>
      <c r="AE204" s="307"/>
      <c r="AF204" s="307"/>
      <c r="AG204" s="307"/>
      <c r="AH204" s="307"/>
      <c r="AI204" s="307"/>
      <c r="AJ204" s="307"/>
      <c r="AK204" s="307"/>
      <c r="AL204" s="307"/>
      <c r="AM204" s="307"/>
      <c r="AN204" s="307"/>
      <c r="AO204" s="307"/>
      <c r="AP204" s="307"/>
      <c r="AQ204" s="307"/>
      <c r="AR204" s="307"/>
      <c r="AS204" s="307"/>
      <c r="AT204" s="307"/>
      <c r="AU204" s="307"/>
      <c r="AV204" s="307"/>
      <c r="AW204" s="307"/>
      <c r="AX204" s="307"/>
      <c r="AY204" s="307"/>
      <c r="AZ204" s="307"/>
      <c r="BA204" s="307"/>
      <c r="BB204" s="307"/>
      <c r="BC204" s="307"/>
      <c r="BD204" s="307"/>
      <c r="BE204" s="307"/>
      <c r="BF204" s="307"/>
      <c r="BG204" s="307"/>
    </row>
    <row r="205" spans="1:59" ht="15.75" customHeight="1" x14ac:dyDescent="0.2">
      <c r="A205" s="329"/>
      <c r="B205" s="329"/>
      <c r="C205" s="227" t="s">
        <v>21</v>
      </c>
      <c r="D205" s="339" t="s">
        <v>98</v>
      </c>
      <c r="E205" s="339" t="s">
        <v>99</v>
      </c>
      <c r="F205" s="339" t="s">
        <v>100</v>
      </c>
      <c r="G205" s="339" t="s">
        <v>101</v>
      </c>
      <c r="H205" s="229">
        <v>2018</v>
      </c>
      <c r="I205" s="339" t="s">
        <v>102</v>
      </c>
      <c r="J205" s="339" t="s">
        <v>103</v>
      </c>
      <c r="K205" s="339" t="s">
        <v>104</v>
      </c>
      <c r="L205" s="339" t="s">
        <v>105</v>
      </c>
      <c r="M205" s="229">
        <v>2019</v>
      </c>
      <c r="N205" s="339" t="s">
        <v>158</v>
      </c>
      <c r="O205" s="339" t="s">
        <v>107</v>
      </c>
      <c r="P205" s="339" t="s">
        <v>108</v>
      </c>
      <c r="Q205" s="339" t="s">
        <v>109</v>
      </c>
      <c r="R205" s="229">
        <v>2020</v>
      </c>
      <c r="S205" s="339" t="s">
        <v>110</v>
      </c>
      <c r="T205" s="339" t="s">
        <v>111</v>
      </c>
      <c r="U205" s="339" t="s">
        <v>112</v>
      </c>
      <c r="V205" s="339" t="s">
        <v>113</v>
      </c>
      <c r="W205" s="229">
        <v>2021</v>
      </c>
      <c r="X205" s="339" t="s">
        <v>114</v>
      </c>
      <c r="Y205" s="339" t="s">
        <v>115</v>
      </c>
      <c r="Z205" s="339" t="str">
        <f>$Z$4</f>
        <v>3Q22</v>
      </c>
      <c r="AA205" s="339" t="str">
        <f>$AA$4</f>
        <v>4Q22</v>
      </c>
      <c r="AB205" s="229">
        <v>2022</v>
      </c>
      <c r="AC205" s="307"/>
      <c r="AD205" s="307"/>
      <c r="AE205" s="307"/>
      <c r="AF205" s="307"/>
      <c r="AG205" s="307"/>
      <c r="AH205" s="307"/>
      <c r="AI205" s="307"/>
      <c r="AJ205" s="307"/>
      <c r="AK205" s="307"/>
      <c r="AL205" s="307"/>
      <c r="AM205" s="307"/>
      <c r="AN205" s="307"/>
      <c r="AO205" s="307"/>
      <c r="AP205" s="307"/>
      <c r="AQ205" s="307"/>
      <c r="AR205" s="307"/>
      <c r="AS205" s="307"/>
      <c r="AT205" s="307"/>
      <c r="AU205" s="307"/>
      <c r="AV205" s="307"/>
      <c r="AW205" s="307"/>
      <c r="AX205" s="307"/>
      <c r="AY205" s="307"/>
      <c r="AZ205" s="307"/>
      <c r="BA205" s="307"/>
      <c r="BB205" s="307"/>
      <c r="BC205" s="307"/>
      <c r="BD205" s="307"/>
      <c r="BE205" s="307"/>
      <c r="BF205" s="307"/>
      <c r="BG205" s="307"/>
    </row>
    <row r="206" spans="1:59" ht="15.75" customHeight="1" x14ac:dyDescent="0.2">
      <c r="A206" s="329"/>
      <c r="B206" s="329"/>
      <c r="C206" s="308" t="s">
        <v>188</v>
      </c>
      <c r="D206" s="172">
        <v>48.503792289999993</v>
      </c>
      <c r="E206" s="172">
        <v>49.893319379999895</v>
      </c>
      <c r="F206" s="172">
        <v>55.431284790000007</v>
      </c>
      <c r="G206" s="172">
        <v>53.696582599999999</v>
      </c>
      <c r="H206" s="172">
        <v>207.52497905999991</v>
      </c>
      <c r="I206" s="172">
        <v>53.571234140000001</v>
      </c>
      <c r="J206" s="172">
        <v>44.924755000000005</v>
      </c>
      <c r="K206" s="172">
        <v>43.741632729999999</v>
      </c>
      <c r="L206" s="172">
        <v>36.99686294</v>
      </c>
      <c r="M206" s="172">
        <v>179.23448481</v>
      </c>
      <c r="N206" s="172">
        <v>35.860346589999999</v>
      </c>
      <c r="O206" s="172">
        <v>35.954452400000001</v>
      </c>
      <c r="P206" s="172">
        <v>38.735448429999998</v>
      </c>
      <c r="Q206" s="172">
        <v>35.816100519999999</v>
      </c>
      <c r="R206" s="172">
        <v>146.36634794</v>
      </c>
      <c r="S206" s="172">
        <v>42.738869659999999</v>
      </c>
      <c r="T206" s="172">
        <v>43.355555379999998</v>
      </c>
      <c r="U206" s="172">
        <v>48.40839854</v>
      </c>
      <c r="V206" s="172">
        <v>55.149600739999997</v>
      </c>
      <c r="W206" s="172">
        <f>SUM(S206:V206)</f>
        <v>189.65242432000002</v>
      </c>
      <c r="X206" s="172">
        <v>63.095396690000001</v>
      </c>
      <c r="Y206" s="172">
        <v>59.693902070000007</v>
      </c>
      <c r="Z206" s="172">
        <v>66.163430529999999</v>
      </c>
      <c r="AA206" s="172">
        <v>56.371018930000005</v>
      </c>
      <c r="AB206" s="172">
        <f>SUM(X206:AA206)</f>
        <v>245.32374822000003</v>
      </c>
      <c r="AC206" s="307"/>
      <c r="AD206" s="307"/>
      <c r="AE206" s="307"/>
      <c r="AF206" s="307"/>
      <c r="AG206" s="307"/>
      <c r="AH206" s="307"/>
      <c r="AI206" s="307"/>
      <c r="AJ206" s="307"/>
      <c r="AK206" s="307"/>
      <c r="AL206" s="307"/>
      <c r="AM206" s="307"/>
      <c r="AN206" s="307"/>
      <c r="AO206" s="307"/>
      <c r="AP206" s="307"/>
      <c r="AQ206" s="307"/>
      <c r="AR206" s="307"/>
      <c r="AS206" s="307"/>
      <c r="AT206" s="307"/>
      <c r="AU206" s="307"/>
      <c r="AV206" s="307"/>
      <c r="AW206" s="307"/>
      <c r="AX206" s="307"/>
      <c r="AY206" s="307"/>
      <c r="AZ206" s="307"/>
      <c r="BA206" s="307"/>
      <c r="BB206" s="307"/>
      <c r="BC206" s="307"/>
      <c r="BD206" s="307"/>
      <c r="BE206" s="307"/>
      <c r="BF206" s="307"/>
      <c r="BG206" s="307"/>
    </row>
    <row r="207" spans="1:59" ht="15.75" customHeight="1" x14ac:dyDescent="0.2">
      <c r="A207" s="329"/>
      <c r="B207" s="329"/>
      <c r="C207" s="196" t="s">
        <v>240</v>
      </c>
      <c r="D207" s="301" t="s">
        <v>146</v>
      </c>
      <c r="E207" s="301" t="s">
        <v>146</v>
      </c>
      <c r="F207" s="301" t="s">
        <v>146</v>
      </c>
      <c r="G207" s="301" t="s">
        <v>146</v>
      </c>
      <c r="H207" s="301" t="s">
        <v>146</v>
      </c>
      <c r="I207" s="301">
        <f t="shared" ref="I207:AB207" si="110">I206/D206-1</f>
        <v>0.10447516803845369</v>
      </c>
      <c r="J207" s="301">
        <f t="shared" si="110"/>
        <v>-9.9583760746765893E-2</v>
      </c>
      <c r="K207" s="301">
        <f t="shared" si="110"/>
        <v>-0.21088546123882845</v>
      </c>
      <c r="L207" s="301">
        <f t="shared" si="110"/>
        <v>-0.31100153587800206</v>
      </c>
      <c r="M207" s="301">
        <f t="shared" si="110"/>
        <v>-0.13632332058600294</v>
      </c>
      <c r="N207" s="301">
        <f t="shared" si="110"/>
        <v>-0.33060443415799201</v>
      </c>
      <c r="O207" s="301">
        <f t="shared" si="110"/>
        <v>-0.19967393478272732</v>
      </c>
      <c r="P207" s="301">
        <f t="shared" si="110"/>
        <v>-0.11444895829337742</v>
      </c>
      <c r="Q207" s="301">
        <f t="shared" si="110"/>
        <v>-3.191520378132906E-2</v>
      </c>
      <c r="R207" s="301">
        <f t="shared" si="110"/>
        <v>-0.18338065303025997</v>
      </c>
      <c r="S207" s="301">
        <f t="shared" si="110"/>
        <v>0.19181418263029681</v>
      </c>
      <c r="T207" s="301">
        <f t="shared" si="110"/>
        <v>0.20584663333657116</v>
      </c>
      <c r="U207" s="301">
        <f t="shared" si="110"/>
        <v>0.2497182942771472</v>
      </c>
      <c r="V207" s="301">
        <f t="shared" si="110"/>
        <v>0.53979913891530473</v>
      </c>
      <c r="W207" s="301">
        <f t="shared" si="110"/>
        <v>0.295737900065282</v>
      </c>
      <c r="X207" s="301">
        <f t="shared" si="110"/>
        <v>0.47630007980889588</v>
      </c>
      <c r="Y207" s="301">
        <f t="shared" si="110"/>
        <v>0.37684551718456172</v>
      </c>
      <c r="Z207" s="301">
        <f t="shared" si="110"/>
        <v>0.36677585967503057</v>
      </c>
      <c r="AA207" s="301">
        <f t="shared" si="110"/>
        <v>2.2147362331022435E-2</v>
      </c>
      <c r="AB207" s="301">
        <f t="shared" si="110"/>
        <v>0.29354396127341853</v>
      </c>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c r="AW207" s="312"/>
      <c r="AX207" s="312"/>
      <c r="AY207" s="312"/>
      <c r="AZ207" s="312"/>
      <c r="BA207" s="312"/>
      <c r="BB207" s="312"/>
      <c r="BC207" s="312"/>
      <c r="BD207" s="312"/>
      <c r="BE207" s="312"/>
      <c r="BF207" s="312"/>
      <c r="BG207" s="312"/>
    </row>
    <row r="208" spans="1:59" ht="15.75" customHeight="1" x14ac:dyDescent="0.2">
      <c r="A208" s="329"/>
      <c r="B208" s="329"/>
      <c r="C208" s="308"/>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307"/>
      <c r="AD208" s="307"/>
      <c r="AE208" s="307"/>
      <c r="AF208" s="307"/>
      <c r="AG208" s="307"/>
      <c r="AH208" s="307"/>
      <c r="AI208" s="307"/>
      <c r="AJ208" s="307"/>
      <c r="AK208" s="307"/>
      <c r="AL208" s="307"/>
      <c r="AM208" s="307"/>
      <c r="AN208" s="307"/>
      <c r="AO208" s="307"/>
      <c r="AP208" s="307"/>
      <c r="AQ208" s="307"/>
      <c r="AR208" s="307"/>
      <c r="AS208" s="307"/>
      <c r="AT208" s="307"/>
      <c r="AU208" s="307"/>
      <c r="AV208" s="307"/>
      <c r="AW208" s="307"/>
      <c r="AX208" s="307"/>
      <c r="AY208" s="307"/>
      <c r="AZ208" s="307"/>
      <c r="BA208" s="307"/>
      <c r="BB208" s="307"/>
      <c r="BC208" s="307"/>
      <c r="BD208" s="307"/>
      <c r="BE208" s="307"/>
      <c r="BF208" s="307"/>
      <c r="BG208" s="307"/>
    </row>
    <row r="209" spans="1:59" ht="15.75" customHeight="1" x14ac:dyDescent="0.2">
      <c r="A209" s="329"/>
      <c r="B209" s="329"/>
      <c r="C209" s="335" t="s">
        <v>227</v>
      </c>
      <c r="D209" s="172">
        <f t="shared" ref="D209:AB209" si="111">(D206-D210)*-1</f>
        <v>-42.850784180415992</v>
      </c>
      <c r="E209" s="172">
        <f t="shared" si="111"/>
        <v>-44.534751478588994</v>
      </c>
      <c r="F209" s="172">
        <f t="shared" si="111"/>
        <v>-45.682243609774908</v>
      </c>
      <c r="G209" s="172">
        <f t="shared" si="111"/>
        <v>-48.296453678266104</v>
      </c>
      <c r="H209" s="172">
        <f t="shared" si="111"/>
        <v>-181.36423294704602</v>
      </c>
      <c r="I209" s="172">
        <f t="shared" si="111"/>
        <v>-37.52900666</v>
      </c>
      <c r="J209" s="172">
        <f t="shared" si="111"/>
        <v>-38.306118640000001</v>
      </c>
      <c r="K209" s="172">
        <f t="shared" si="111"/>
        <v>-32.86449168</v>
      </c>
      <c r="L209" s="172">
        <f t="shared" si="111"/>
        <v>-30.586839519999998</v>
      </c>
      <c r="M209" s="172">
        <f t="shared" si="111"/>
        <v>-139.28645649999999</v>
      </c>
      <c r="N209" s="172">
        <f t="shared" si="111"/>
        <v>-31.427102300000001</v>
      </c>
      <c r="O209" s="172">
        <f t="shared" si="111"/>
        <v>-28.451992260000001</v>
      </c>
      <c r="P209" s="172">
        <f t="shared" si="111"/>
        <v>-30.877075299999998</v>
      </c>
      <c r="Q209" s="172">
        <f t="shared" si="111"/>
        <v>-32.564748549999997</v>
      </c>
      <c r="R209" s="172">
        <f t="shared" si="111"/>
        <v>-123.32091840999999</v>
      </c>
      <c r="S209" s="172">
        <f t="shared" si="111"/>
        <v>-32.520668369999996</v>
      </c>
      <c r="T209" s="172">
        <f t="shared" si="111"/>
        <v>-33.853134499999996</v>
      </c>
      <c r="U209" s="172">
        <f t="shared" si="111"/>
        <v>-39.113349530000001</v>
      </c>
      <c r="V209" s="172">
        <f t="shared" si="111"/>
        <v>-45.449600739999994</v>
      </c>
      <c r="W209" s="172">
        <f t="shared" si="111"/>
        <v>-150.93675314000001</v>
      </c>
      <c r="X209" s="172">
        <f t="shared" si="111"/>
        <v>-44.095396690000001</v>
      </c>
      <c r="Y209" s="172">
        <f t="shared" si="111"/>
        <v>-47.967582270000008</v>
      </c>
      <c r="Z209" s="172">
        <f t="shared" si="111"/>
        <v>-50.032960329999995</v>
      </c>
      <c r="AA209" s="172">
        <f t="shared" si="111"/>
        <v>-44.472278760000009</v>
      </c>
      <c r="AB209" s="172">
        <f t="shared" si="111"/>
        <v>-186.56821805000004</v>
      </c>
      <c r="AC209" s="307"/>
      <c r="AD209" s="307"/>
      <c r="AE209" s="307"/>
      <c r="AF209" s="307"/>
      <c r="AG209" s="307"/>
      <c r="AH209" s="307"/>
      <c r="AI209" s="307"/>
      <c r="AJ209" s="307"/>
      <c r="AK209" s="307"/>
      <c r="AL209" s="307"/>
      <c r="AM209" s="307"/>
      <c r="AN209" s="307"/>
      <c r="AO209" s="307"/>
      <c r="AP209" s="307"/>
      <c r="AQ209" s="307"/>
      <c r="AR209" s="307"/>
      <c r="AS209" s="307"/>
      <c r="AT209" s="307"/>
      <c r="AU209" s="307"/>
      <c r="AV209" s="307"/>
      <c r="AW209" s="307"/>
      <c r="AX209" s="307"/>
      <c r="AY209" s="307"/>
      <c r="AZ209" s="307"/>
      <c r="BA209" s="307"/>
      <c r="BB209" s="307"/>
      <c r="BC209" s="307"/>
      <c r="BD209" s="307"/>
      <c r="BE209" s="307"/>
      <c r="BF209" s="307"/>
      <c r="BG209" s="307"/>
    </row>
    <row r="210" spans="1:59" ht="15.75" customHeight="1" x14ac:dyDescent="0.2">
      <c r="A210" s="329"/>
      <c r="B210" s="329"/>
      <c r="C210" s="308" t="s">
        <v>189</v>
      </c>
      <c r="D210" s="172">
        <v>5.6530081095839986</v>
      </c>
      <c r="E210" s="172">
        <v>5.3585679014109022</v>
      </c>
      <c r="F210" s="172">
        <v>9.7490411802250989</v>
      </c>
      <c r="G210" s="172">
        <v>5.4001289217338968</v>
      </c>
      <c r="H210" s="172">
        <v>26.160746112953895</v>
      </c>
      <c r="I210" s="172">
        <v>16.042227480000001</v>
      </c>
      <c r="J210" s="172">
        <v>6.6186363600000018</v>
      </c>
      <c r="K210" s="172">
        <v>10.877141050000001</v>
      </c>
      <c r="L210" s="172">
        <v>6.4100234199999999</v>
      </c>
      <c r="M210" s="172">
        <v>39.948028310000005</v>
      </c>
      <c r="N210" s="172">
        <v>4.4332442899999984</v>
      </c>
      <c r="O210" s="172">
        <v>7.5024601399999993</v>
      </c>
      <c r="P210" s="172">
        <v>7.8583731300000004</v>
      </c>
      <c r="Q210" s="172">
        <v>3.25135197</v>
      </c>
      <c r="R210" s="172">
        <v>23.04542953</v>
      </c>
      <c r="S210" s="172">
        <v>10.21820129</v>
      </c>
      <c r="T210" s="172">
        <v>9.5024208800000007</v>
      </c>
      <c r="U210" s="172">
        <v>9.2950490099999996</v>
      </c>
      <c r="V210" s="172">
        <v>9.6999999999999993</v>
      </c>
      <c r="W210" s="172">
        <f>SUM(S210:V210)</f>
        <v>38.715671180000001</v>
      </c>
      <c r="X210" s="172">
        <v>19</v>
      </c>
      <c r="Y210" s="172">
        <v>11.726319800000001</v>
      </c>
      <c r="Z210" s="172">
        <v>16.130470200000001</v>
      </c>
      <c r="AA210" s="172">
        <v>11.89874017</v>
      </c>
      <c r="AB210" s="172">
        <f>SUM(X210:AA210)</f>
        <v>58.75553017</v>
      </c>
      <c r="AC210" s="307"/>
      <c r="AD210" s="307"/>
      <c r="AE210" s="307"/>
      <c r="AF210" s="307"/>
      <c r="AG210" s="307"/>
      <c r="AH210" s="307"/>
      <c r="AI210" s="307"/>
      <c r="AJ210" s="307"/>
      <c r="AK210" s="307"/>
      <c r="AL210" s="307"/>
      <c r="AM210" s="307"/>
      <c r="AN210" s="307"/>
      <c r="AO210" s="307"/>
      <c r="AP210" s="307"/>
      <c r="AQ210" s="307"/>
      <c r="AR210" s="307"/>
      <c r="AS210" s="307"/>
      <c r="AT210" s="307"/>
      <c r="AU210" s="307"/>
      <c r="AV210" s="307"/>
      <c r="AW210" s="307"/>
      <c r="AX210" s="307"/>
      <c r="AY210" s="307"/>
      <c r="AZ210" s="307"/>
      <c r="BA210" s="307"/>
      <c r="BB210" s="307"/>
      <c r="BC210" s="307"/>
      <c r="BD210" s="307"/>
      <c r="BE210" s="307"/>
      <c r="BF210" s="307"/>
      <c r="BG210" s="307"/>
    </row>
    <row r="211" spans="1:59" ht="15.75" customHeight="1" x14ac:dyDescent="0.2">
      <c r="A211" s="329"/>
      <c r="B211" s="329"/>
      <c r="C211" s="313" t="s">
        <v>222</v>
      </c>
      <c r="D211" s="140">
        <f t="shared" ref="D211:AB211" si="112">D210/D206</f>
        <v>0.11654775518963859</v>
      </c>
      <c r="E211" s="140">
        <f t="shared" si="112"/>
        <v>0.10740050908617084</v>
      </c>
      <c r="F211" s="140">
        <f t="shared" si="112"/>
        <v>0.17587615400146489</v>
      </c>
      <c r="G211" s="140">
        <f t="shared" si="112"/>
        <v>0.10056745998084982</v>
      </c>
      <c r="H211" s="140">
        <f t="shared" si="112"/>
        <v>0.12606070956590851</v>
      </c>
      <c r="I211" s="140">
        <f t="shared" si="112"/>
        <v>0.29945599980161297</v>
      </c>
      <c r="J211" s="140">
        <f t="shared" si="112"/>
        <v>0.14732715537346838</v>
      </c>
      <c r="K211" s="140">
        <f t="shared" si="112"/>
        <v>0.24866792506672855</v>
      </c>
      <c r="L211" s="140">
        <f t="shared" si="112"/>
        <v>0.17325856601397566</v>
      </c>
      <c r="M211" s="140">
        <f t="shared" si="112"/>
        <v>0.22288137437584885</v>
      </c>
      <c r="N211" s="140">
        <f t="shared" si="112"/>
        <v>0.12362524937882924</v>
      </c>
      <c r="O211" s="140">
        <f t="shared" si="112"/>
        <v>0.20866567668820898</v>
      </c>
      <c r="P211" s="140">
        <f t="shared" si="112"/>
        <v>0.20287290966054269</v>
      </c>
      <c r="Q211" s="140">
        <f t="shared" si="112"/>
        <v>9.0779060891467478E-2</v>
      </c>
      <c r="R211" s="140">
        <f t="shared" si="112"/>
        <v>0.15745032826430172</v>
      </c>
      <c r="S211" s="140">
        <f t="shared" si="112"/>
        <v>0.23908450015849109</v>
      </c>
      <c r="T211" s="140">
        <f t="shared" si="112"/>
        <v>0.21917423953432935</v>
      </c>
      <c r="U211" s="140">
        <f t="shared" si="112"/>
        <v>0.19201314834489874</v>
      </c>
      <c r="V211" s="140">
        <f t="shared" si="112"/>
        <v>0.17588522618196564</v>
      </c>
      <c r="W211" s="140">
        <f t="shared" si="112"/>
        <v>0.20414013329286607</v>
      </c>
      <c r="X211" s="140">
        <f t="shared" si="112"/>
        <v>0.30113131855483388</v>
      </c>
      <c r="Y211" s="140">
        <f t="shared" si="112"/>
        <v>0.1964408322017405</v>
      </c>
      <c r="Z211" s="140">
        <f t="shared" si="112"/>
        <v>0.24379736768162408</v>
      </c>
      <c r="AA211" s="140">
        <f t="shared" si="112"/>
        <v>0.21107903308924628</v>
      </c>
      <c r="AB211" s="140">
        <f t="shared" si="112"/>
        <v>0.2395020074343131</v>
      </c>
      <c r="AC211" s="307"/>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c r="BA211" s="307"/>
      <c r="BB211" s="307"/>
      <c r="BC211" s="307"/>
      <c r="BD211" s="307"/>
      <c r="BE211" s="307"/>
      <c r="BF211" s="307"/>
      <c r="BG211" s="307"/>
    </row>
    <row r="212" spans="1:59" ht="15.75" customHeight="1" x14ac:dyDescent="0.2">
      <c r="A212" s="190"/>
      <c r="B212" s="190"/>
      <c r="C212" s="190" t="s">
        <v>241</v>
      </c>
      <c r="D212" s="301" t="s">
        <v>146</v>
      </c>
      <c r="E212" s="301" t="s">
        <v>146</v>
      </c>
      <c r="F212" s="301" t="s">
        <v>146</v>
      </c>
      <c r="G212" s="301" t="s">
        <v>146</v>
      </c>
      <c r="H212" s="301" t="s">
        <v>146</v>
      </c>
      <c r="I212" s="301">
        <f t="shared" ref="I212:AB212" si="113">I210/D210-1</f>
        <v>1.8378214163185658</v>
      </c>
      <c r="J212" s="301">
        <f t="shared" si="113"/>
        <v>0.23515022703310806</v>
      </c>
      <c r="K212" s="301">
        <f t="shared" si="113"/>
        <v>0.11571393011069975</v>
      </c>
      <c r="L212" s="301">
        <f t="shared" si="113"/>
        <v>0.18701303485581255</v>
      </c>
      <c r="M212" s="301">
        <f t="shared" si="113"/>
        <v>0.52702174997291551</v>
      </c>
      <c r="N212" s="301">
        <f t="shared" si="113"/>
        <v>-0.72365157547310899</v>
      </c>
      <c r="O212" s="301">
        <f t="shared" si="113"/>
        <v>0.13353563059324758</v>
      </c>
      <c r="P212" s="301">
        <f t="shared" si="113"/>
        <v>-0.27753321448378199</v>
      </c>
      <c r="Q212" s="301">
        <f t="shared" si="113"/>
        <v>-0.49277065667881759</v>
      </c>
      <c r="R212" s="301">
        <f t="shared" si="113"/>
        <v>-0.42311471917548571</v>
      </c>
      <c r="S212" s="301">
        <f t="shared" si="113"/>
        <v>1.3049037277393083</v>
      </c>
      <c r="T212" s="301">
        <f t="shared" si="113"/>
        <v>0.26657399075498467</v>
      </c>
      <c r="U212" s="301">
        <f t="shared" si="113"/>
        <v>0.18282103130422356</v>
      </c>
      <c r="V212" s="301">
        <f t="shared" si="113"/>
        <v>1.9833743284335958</v>
      </c>
      <c r="W212" s="301">
        <f t="shared" si="113"/>
        <v>0.67997177616502436</v>
      </c>
      <c r="X212" s="301">
        <f t="shared" si="113"/>
        <v>0.85942706164873384</v>
      </c>
      <c r="Y212" s="301">
        <f t="shared" si="113"/>
        <v>0.23403498414606116</v>
      </c>
      <c r="Z212" s="301">
        <f t="shared" si="113"/>
        <v>0.73538301763080227</v>
      </c>
      <c r="AA212" s="301">
        <f t="shared" si="113"/>
        <v>0.22667424432989702</v>
      </c>
      <c r="AB212" s="301">
        <f t="shared" si="113"/>
        <v>0.51761621016019799</v>
      </c>
      <c r="AC212" s="312"/>
      <c r="AD212" s="312"/>
      <c r="AE212" s="312"/>
      <c r="AF212" s="312"/>
      <c r="AG212" s="312"/>
      <c r="AH212" s="312"/>
      <c r="AI212" s="312"/>
      <c r="AJ212" s="312"/>
      <c r="AK212" s="312"/>
      <c r="AL212" s="312"/>
      <c r="AM212" s="312"/>
      <c r="AN212" s="312"/>
      <c r="AO212" s="312"/>
      <c r="AP212" s="312"/>
      <c r="AQ212" s="312"/>
      <c r="AR212" s="312"/>
      <c r="AS212" s="312"/>
      <c r="AT212" s="312"/>
      <c r="AU212" s="312"/>
      <c r="AV212" s="312"/>
      <c r="AW212" s="312"/>
      <c r="AX212" s="312"/>
      <c r="AY212" s="312"/>
      <c r="AZ212" s="312"/>
      <c r="BA212" s="312"/>
      <c r="BB212" s="312"/>
      <c r="BC212" s="312"/>
      <c r="BD212" s="312"/>
      <c r="BE212" s="312"/>
      <c r="BF212" s="312"/>
      <c r="BG212" s="312"/>
    </row>
    <row r="213" spans="1:59" ht="15.75" customHeight="1" x14ac:dyDescent="0.2">
      <c r="A213" s="329"/>
      <c r="B213" s="329"/>
      <c r="C213" s="308"/>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7"/>
      <c r="AY213" s="307"/>
      <c r="AZ213" s="307"/>
      <c r="BA213" s="307"/>
      <c r="BB213" s="307"/>
      <c r="BC213" s="307"/>
      <c r="BD213" s="307"/>
      <c r="BE213" s="307"/>
      <c r="BF213" s="307"/>
      <c r="BG213" s="307"/>
    </row>
    <row r="214" spans="1:59" ht="15.75" customHeight="1" x14ac:dyDescent="0.2">
      <c r="A214" s="268"/>
      <c r="B214" s="268"/>
      <c r="C214" s="307" t="s">
        <v>242</v>
      </c>
      <c r="D214" s="292">
        <f t="shared" ref="D214:AB214" si="114">D217-D210</f>
        <v>-1.3292255005999998</v>
      </c>
      <c r="E214" s="292">
        <f t="shared" si="114"/>
        <v>-1.360745756839</v>
      </c>
      <c r="F214" s="292">
        <f t="shared" si="114"/>
        <v>-1.3806286452889971</v>
      </c>
      <c r="G214" s="292">
        <f t="shared" si="114"/>
        <v>-1.4076829109099993</v>
      </c>
      <c r="H214" s="292">
        <f t="shared" si="114"/>
        <v>-5.4782828136379962</v>
      </c>
      <c r="I214" s="292">
        <f t="shared" si="114"/>
        <v>-4.2334012200000011</v>
      </c>
      <c r="J214" s="292">
        <f t="shared" si="114"/>
        <v>-4.3563483900000008</v>
      </c>
      <c r="K214" s="292">
        <f t="shared" si="114"/>
        <v>-4.4800070200000013</v>
      </c>
      <c r="L214" s="292">
        <f t="shared" si="114"/>
        <v>-4.4467880999999991</v>
      </c>
      <c r="M214" s="292">
        <f t="shared" si="114"/>
        <v>-17.516544730000007</v>
      </c>
      <c r="N214" s="292">
        <f t="shared" si="114"/>
        <v>-4.1991379599999972</v>
      </c>
      <c r="O214" s="292">
        <f t="shared" si="114"/>
        <v>-4.1761762499999984</v>
      </c>
      <c r="P214" s="292">
        <f t="shared" si="114"/>
        <v>-4.0962238699999993</v>
      </c>
      <c r="Q214" s="292">
        <f t="shared" si="114"/>
        <v>-4.1073871999999998</v>
      </c>
      <c r="R214" s="292">
        <f t="shared" si="114"/>
        <v>-16.578925279999996</v>
      </c>
      <c r="S214" s="292">
        <f t="shared" si="114"/>
        <v>-4.1033831999999997</v>
      </c>
      <c r="T214" s="292">
        <f t="shared" si="114"/>
        <v>-4.0902739100000005</v>
      </c>
      <c r="U214" s="292">
        <f t="shared" si="114"/>
        <v>-3.7193670499999989</v>
      </c>
      <c r="V214" s="292">
        <f t="shared" si="114"/>
        <v>-3.0999999999999996</v>
      </c>
      <c r="W214" s="292">
        <f t="shared" si="114"/>
        <v>-15.013024160000001</v>
      </c>
      <c r="X214" s="292">
        <f t="shared" si="114"/>
        <v>-3.0999999999999996</v>
      </c>
      <c r="Y214" s="292">
        <f t="shared" si="114"/>
        <v>-3.1622634000000005</v>
      </c>
      <c r="Z214" s="292">
        <f t="shared" si="114"/>
        <v>-3.0924681900000017</v>
      </c>
      <c r="AA214" s="292">
        <f t="shared" si="114"/>
        <v>-3.0778680400000002</v>
      </c>
      <c r="AB214" s="292">
        <f t="shared" si="114"/>
        <v>-12.432599629999999</v>
      </c>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c r="BD214" s="268"/>
      <c r="BE214" s="268"/>
      <c r="BF214" s="268"/>
      <c r="BG214" s="268"/>
    </row>
    <row r="215" spans="1:59" ht="15.75" customHeight="1" x14ac:dyDescent="0.2">
      <c r="A215" s="268"/>
      <c r="B215" s="268"/>
      <c r="C215" s="307" t="s">
        <v>243</v>
      </c>
      <c r="D215" s="301" t="s">
        <v>146</v>
      </c>
      <c r="E215" s="301" t="s">
        <v>146</v>
      </c>
      <c r="F215" s="301" t="s">
        <v>146</v>
      </c>
      <c r="G215" s="301" t="s">
        <v>146</v>
      </c>
      <c r="H215" s="301" t="s">
        <v>146</v>
      </c>
      <c r="I215" s="301">
        <f t="shared" ref="I215:AB215" si="115">I214/D214-1</f>
        <v>2.1848630786041072</v>
      </c>
      <c r="J215" s="301">
        <f t="shared" si="115"/>
        <v>2.2014418329841119</v>
      </c>
      <c r="K215" s="301">
        <f t="shared" si="115"/>
        <v>2.2449037149031725</v>
      </c>
      <c r="L215" s="301">
        <f t="shared" si="115"/>
        <v>2.1589415951106234</v>
      </c>
      <c r="M215" s="301">
        <f t="shared" si="115"/>
        <v>2.1974517062889074</v>
      </c>
      <c r="N215" s="301">
        <f t="shared" si="115"/>
        <v>-8.0935536745566639E-3</v>
      </c>
      <c r="O215" s="301">
        <f t="shared" si="115"/>
        <v>-4.1358524128508156E-2</v>
      </c>
      <c r="P215" s="301">
        <f t="shared" si="115"/>
        <v>-8.5665747461262209E-2</v>
      </c>
      <c r="Q215" s="301">
        <f t="shared" si="115"/>
        <v>-7.6324954634109821E-2</v>
      </c>
      <c r="R215" s="301">
        <f t="shared" si="115"/>
        <v>-5.3527648543275852E-2</v>
      </c>
      <c r="S215" s="301">
        <f t="shared" si="115"/>
        <v>-2.2803432731225981E-2</v>
      </c>
      <c r="T215" s="301">
        <f t="shared" si="115"/>
        <v>-2.0569615566392363E-2</v>
      </c>
      <c r="U215" s="301">
        <f t="shared" si="115"/>
        <v>-9.2001031183874371E-2</v>
      </c>
      <c r="V215" s="301">
        <f t="shared" si="115"/>
        <v>-0.24526229229131358</v>
      </c>
      <c r="W215" s="301">
        <f t="shared" si="115"/>
        <v>-9.4451304505788536E-2</v>
      </c>
      <c r="X215" s="301">
        <f t="shared" si="115"/>
        <v>-0.24452583419457385</v>
      </c>
      <c r="Y215" s="301">
        <f t="shared" si="115"/>
        <v>-0.22688224075438501</v>
      </c>
      <c r="Z215" s="301">
        <f t="shared" si="115"/>
        <v>-0.16854987732388427</v>
      </c>
      <c r="AA215" s="301">
        <f t="shared" si="115"/>
        <v>-7.1393419354837118E-3</v>
      </c>
      <c r="AB215" s="301">
        <f t="shared" si="115"/>
        <v>-0.1718790633052576</v>
      </c>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row>
    <row r="216" spans="1:59" ht="15.75" customHeight="1" x14ac:dyDescent="0.2">
      <c r="A216" s="329"/>
      <c r="B216" s="329"/>
      <c r="C216" s="308"/>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307"/>
      <c r="AD216" s="307"/>
      <c r="AE216" s="307"/>
      <c r="AF216" s="307"/>
      <c r="AG216" s="307"/>
      <c r="AH216" s="307"/>
      <c r="AI216" s="307"/>
      <c r="AJ216" s="307"/>
      <c r="AK216" s="307"/>
      <c r="AL216" s="307"/>
      <c r="AM216" s="307"/>
      <c r="AN216" s="307"/>
      <c r="AO216" s="307"/>
      <c r="AP216" s="307"/>
      <c r="AQ216" s="307"/>
      <c r="AR216" s="307"/>
      <c r="AS216" s="307"/>
      <c r="AT216" s="307"/>
      <c r="AU216" s="307"/>
      <c r="AV216" s="307"/>
      <c r="AW216" s="307"/>
      <c r="AX216" s="307"/>
      <c r="AY216" s="307"/>
      <c r="AZ216" s="307"/>
      <c r="BA216" s="307"/>
      <c r="BB216" s="307"/>
      <c r="BC216" s="307"/>
      <c r="BD216" s="307"/>
      <c r="BE216" s="307"/>
      <c r="BF216" s="307"/>
      <c r="BG216" s="307"/>
    </row>
    <row r="217" spans="1:59" ht="15.75" customHeight="1" x14ac:dyDescent="0.2">
      <c r="A217" s="329"/>
      <c r="B217" s="329"/>
      <c r="C217" s="308" t="s">
        <v>190</v>
      </c>
      <c r="D217" s="172">
        <v>4.3237826089839988</v>
      </c>
      <c r="E217" s="172">
        <v>3.9978221445719022</v>
      </c>
      <c r="F217" s="172">
        <v>8.3684125349361018</v>
      </c>
      <c r="G217" s="172">
        <v>3.9924460108238975</v>
      </c>
      <c r="H217" s="172">
        <v>20.682463299315899</v>
      </c>
      <c r="I217" s="172">
        <v>11.80882626</v>
      </c>
      <c r="J217" s="172">
        <v>2.2622879700000009</v>
      </c>
      <c r="K217" s="172">
        <v>6.3971340299999992</v>
      </c>
      <c r="L217" s="172">
        <v>1.9632353200000008</v>
      </c>
      <c r="M217" s="172">
        <v>22.431483579999998</v>
      </c>
      <c r="N217" s="172">
        <v>0.23410633000000125</v>
      </c>
      <c r="O217" s="172">
        <v>3.3262838900000009</v>
      </c>
      <c r="P217" s="172">
        <v>3.762149260000001</v>
      </c>
      <c r="Q217" s="172">
        <v>-0.85603522999999981</v>
      </c>
      <c r="R217" s="172">
        <v>6.4665042500000034</v>
      </c>
      <c r="S217" s="172">
        <v>6.11481809</v>
      </c>
      <c r="T217" s="172">
        <v>5.4121469700000002</v>
      </c>
      <c r="U217" s="172">
        <v>5.5756819600000007</v>
      </c>
      <c r="V217" s="172">
        <v>6.6</v>
      </c>
      <c r="W217" s="172">
        <f>SUM(S217:V217)</f>
        <v>23.702647020000001</v>
      </c>
      <c r="X217" s="172">
        <v>15.9</v>
      </c>
      <c r="Y217" s="172">
        <v>8.5640564000000001</v>
      </c>
      <c r="Z217" s="172">
        <v>13.03800201</v>
      </c>
      <c r="AA217" s="172">
        <v>8.8208721299999997</v>
      </c>
      <c r="AB217" s="172">
        <f>SUM(X217:AA217)</f>
        <v>46.322930540000002</v>
      </c>
      <c r="AC217" s="307"/>
      <c r="AD217" s="307"/>
      <c r="AE217" s="307"/>
      <c r="AF217" s="307"/>
      <c r="AG217" s="307"/>
      <c r="AH217" s="307"/>
      <c r="AI217" s="307"/>
      <c r="AJ217" s="307"/>
      <c r="AK217" s="307"/>
      <c r="AL217" s="307"/>
      <c r="AM217" s="307"/>
      <c r="AN217" s="307"/>
      <c r="AO217" s="307"/>
      <c r="AP217" s="307"/>
      <c r="AQ217" s="307"/>
      <c r="AR217" s="307"/>
      <c r="AS217" s="307"/>
      <c r="AT217" s="307"/>
      <c r="AU217" s="307"/>
      <c r="AV217" s="307"/>
      <c r="AW217" s="307"/>
      <c r="AX217" s="307"/>
      <c r="AY217" s="307"/>
      <c r="AZ217" s="307"/>
      <c r="BA217" s="307"/>
      <c r="BB217" s="307"/>
      <c r="BC217" s="307"/>
      <c r="BD217" s="307"/>
      <c r="BE217" s="307"/>
      <c r="BF217" s="307"/>
      <c r="BG217" s="307"/>
    </row>
    <row r="218" spans="1:59" ht="15.75" customHeight="1" x14ac:dyDescent="0.2">
      <c r="A218" s="329"/>
      <c r="B218" s="329"/>
      <c r="C218" s="313" t="s">
        <v>244</v>
      </c>
      <c r="D218" s="140">
        <f t="shared" ref="D218:AB218" si="116">D217/D206</f>
        <v>8.9143186642654151E-2</v>
      </c>
      <c r="E218" s="140">
        <f t="shared" si="116"/>
        <v>8.0127403713581319E-2</v>
      </c>
      <c r="F218" s="140">
        <f t="shared" si="116"/>
        <v>0.15096912450504471</v>
      </c>
      <c r="G218" s="140">
        <f t="shared" si="116"/>
        <v>7.4351957191851115E-2</v>
      </c>
      <c r="H218" s="140">
        <f t="shared" si="116"/>
        <v>9.9662524448857578E-2</v>
      </c>
      <c r="I218" s="140">
        <f t="shared" si="116"/>
        <v>0.22043222355377307</v>
      </c>
      <c r="J218" s="140">
        <f t="shared" si="116"/>
        <v>5.035726894893474E-2</v>
      </c>
      <c r="K218" s="140">
        <f t="shared" si="116"/>
        <v>0.14624817663956458</v>
      </c>
      <c r="L218" s="140">
        <f t="shared" si="116"/>
        <v>5.3064913184231205E-2</v>
      </c>
      <c r="M218" s="140">
        <f t="shared" si="116"/>
        <v>0.12515160575142001</v>
      </c>
      <c r="N218" s="140">
        <f t="shared" si="116"/>
        <v>6.5282785098703996E-3</v>
      </c>
      <c r="O218" s="140">
        <f t="shared" si="116"/>
        <v>9.2513824240582812E-2</v>
      </c>
      <c r="P218" s="140">
        <f t="shared" si="116"/>
        <v>9.7124195342638026E-2</v>
      </c>
      <c r="Q218" s="140">
        <f t="shared" si="116"/>
        <v>-2.3900849550106185E-2</v>
      </c>
      <c r="R218" s="140">
        <f t="shared" si="116"/>
        <v>4.4180266441100381E-2</v>
      </c>
      <c r="S218" s="140">
        <f t="shared" si="116"/>
        <v>0.14307393102918109</v>
      </c>
      <c r="T218" s="140">
        <f t="shared" si="116"/>
        <v>0.1248316835654384</v>
      </c>
      <c r="U218" s="140">
        <f t="shared" si="116"/>
        <v>0.11518005404357259</v>
      </c>
      <c r="V218" s="140">
        <f t="shared" si="116"/>
        <v>0.11967448379391477</v>
      </c>
      <c r="W218" s="140">
        <f t="shared" si="116"/>
        <v>0.12497940432338786</v>
      </c>
      <c r="X218" s="140">
        <f t="shared" si="116"/>
        <v>0.25199936658009781</v>
      </c>
      <c r="Y218" s="140">
        <f t="shared" si="116"/>
        <v>0.14346618503775085</v>
      </c>
      <c r="Z218" s="140">
        <f t="shared" si="116"/>
        <v>0.19705752718018868</v>
      </c>
      <c r="AA218" s="140">
        <f t="shared" si="116"/>
        <v>0.15647884848335841</v>
      </c>
      <c r="AB218" s="140">
        <f t="shared" si="116"/>
        <v>0.18882367025657373</v>
      </c>
      <c r="AC218" s="307"/>
      <c r="AD218" s="307"/>
      <c r="AE218" s="307"/>
      <c r="AF218" s="307"/>
      <c r="AG218" s="307"/>
      <c r="AH218" s="307"/>
      <c r="AI218" s="307"/>
      <c r="AJ218" s="307"/>
      <c r="AK218" s="307"/>
      <c r="AL218" s="307"/>
      <c r="AM218" s="307"/>
      <c r="AN218" s="307"/>
      <c r="AO218" s="307"/>
      <c r="AP218" s="307"/>
      <c r="AQ218" s="307"/>
      <c r="AR218" s="307"/>
      <c r="AS218" s="307"/>
      <c r="AT218" s="307"/>
      <c r="AU218" s="307"/>
      <c r="AV218" s="307"/>
      <c r="AW218" s="307"/>
      <c r="AX218" s="307"/>
      <c r="AY218" s="307"/>
      <c r="AZ218" s="307"/>
      <c r="BA218" s="307"/>
      <c r="BB218" s="307"/>
      <c r="BC218" s="307"/>
      <c r="BD218" s="307"/>
      <c r="BE218" s="307"/>
      <c r="BF218" s="307"/>
      <c r="BG218" s="307"/>
    </row>
    <row r="219" spans="1:59" ht="15.75" customHeight="1" x14ac:dyDescent="0.2">
      <c r="A219" s="307"/>
      <c r="B219" s="307"/>
      <c r="C219" s="190" t="s">
        <v>245</v>
      </c>
      <c r="D219" s="301" t="s">
        <v>146</v>
      </c>
      <c r="E219" s="301" t="s">
        <v>146</v>
      </c>
      <c r="F219" s="301" t="s">
        <v>146</v>
      </c>
      <c r="G219" s="301" t="s">
        <v>146</v>
      </c>
      <c r="H219" s="301" t="s">
        <v>146</v>
      </c>
      <c r="I219" s="301">
        <f t="shared" ref="I219:AB219" si="117">I217/D217-1</f>
        <v>1.7311332062494316</v>
      </c>
      <c r="J219" s="301">
        <f t="shared" si="117"/>
        <v>-0.43411990624153873</v>
      </c>
      <c r="K219" s="301">
        <f t="shared" si="117"/>
        <v>-0.23556182211458754</v>
      </c>
      <c r="L219" s="301">
        <f t="shared" si="117"/>
        <v>-0.5082625251092977</v>
      </c>
      <c r="M219" s="301">
        <f t="shared" si="117"/>
        <v>8.4565375766529227E-2</v>
      </c>
      <c r="N219" s="301">
        <f t="shared" si="117"/>
        <v>-0.980175309142028</v>
      </c>
      <c r="O219" s="301">
        <f t="shared" si="117"/>
        <v>0.47031851563972182</v>
      </c>
      <c r="P219" s="301">
        <f t="shared" si="117"/>
        <v>-0.4119008227188885</v>
      </c>
      <c r="Q219" s="301">
        <f t="shared" si="117"/>
        <v>-1.4360329203938729</v>
      </c>
      <c r="R219" s="301">
        <f t="shared" si="117"/>
        <v>-0.71172195423732187</v>
      </c>
      <c r="S219" s="301">
        <f t="shared" si="117"/>
        <v>25.119832342850223</v>
      </c>
      <c r="T219" s="301">
        <f t="shared" si="117"/>
        <v>0.62708510427232311</v>
      </c>
      <c r="U219" s="301">
        <f t="shared" si="117"/>
        <v>0.48204698289934389</v>
      </c>
      <c r="V219" s="301">
        <f t="shared" si="117"/>
        <v>-8.7099630584129137</v>
      </c>
      <c r="W219" s="301">
        <f t="shared" si="117"/>
        <v>2.6654498479607414</v>
      </c>
      <c r="X219" s="301">
        <f t="shared" si="117"/>
        <v>1.600240884680185</v>
      </c>
      <c r="Y219" s="301">
        <f t="shared" si="117"/>
        <v>0.58237691021166027</v>
      </c>
      <c r="Z219" s="301">
        <f t="shared" si="117"/>
        <v>1.3383690288532879</v>
      </c>
      <c r="AA219" s="301">
        <f t="shared" si="117"/>
        <v>0.33649577727272728</v>
      </c>
      <c r="AB219" s="301">
        <f t="shared" si="117"/>
        <v>0.95433575418447081</v>
      </c>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7"/>
      <c r="AY219" s="307"/>
      <c r="AZ219" s="307"/>
      <c r="BA219" s="307"/>
      <c r="BB219" s="307"/>
      <c r="BC219" s="307"/>
      <c r="BD219" s="307"/>
      <c r="BE219" s="307"/>
      <c r="BF219" s="307"/>
      <c r="BG219" s="307"/>
    </row>
    <row r="220" spans="1:59" ht="15.75" customHeight="1" x14ac:dyDescent="0.2">
      <c r="A220" s="307"/>
      <c r="B220" s="307"/>
      <c r="C220" s="308" t="s">
        <v>246</v>
      </c>
      <c r="D220" s="172">
        <v>1.4626554299999996</v>
      </c>
      <c r="E220" s="172">
        <v>0.85530867000000044</v>
      </c>
      <c r="F220" s="172">
        <v>1.37561029</v>
      </c>
      <c r="G220" s="172">
        <v>2.9481452199999993</v>
      </c>
      <c r="H220" s="172">
        <f>SUM(D220:G220)</f>
        <v>6.6417196099999991</v>
      </c>
      <c r="I220" s="172">
        <v>0.49493970000000004</v>
      </c>
      <c r="J220" s="172">
        <v>0.33305490000000004</v>
      </c>
      <c r="K220" s="172">
        <v>0.36728040000000001</v>
      </c>
      <c r="L220" s="172">
        <v>0.85088651000000004</v>
      </c>
      <c r="M220" s="172">
        <f>SUM(I220:L220)</f>
        <v>2.0461615100000001</v>
      </c>
      <c r="N220" s="172">
        <v>0</v>
      </c>
      <c r="O220" s="172">
        <v>0</v>
      </c>
      <c r="P220" s="172">
        <v>0</v>
      </c>
      <c r="Q220" s="172">
        <v>0</v>
      </c>
      <c r="R220" s="172">
        <f>SUM(N220:Q220)</f>
        <v>0</v>
      </c>
      <c r="S220" s="172">
        <v>7.0000000000000001E-3</v>
      </c>
      <c r="T220" s="172">
        <v>0.17</v>
      </c>
      <c r="U220" s="172">
        <v>0.60831733999999993</v>
      </c>
      <c r="V220" s="172">
        <v>0.3</v>
      </c>
      <c r="W220" s="172">
        <f>SUM(S220:V220)</f>
        <v>1.08531734</v>
      </c>
      <c r="X220" s="172">
        <v>0.5</v>
      </c>
      <c r="Y220" s="172">
        <v>0.50149316999999993</v>
      </c>
      <c r="Z220" s="172">
        <v>0.22117095000000001</v>
      </c>
      <c r="AA220" s="172">
        <v>3.27679309</v>
      </c>
      <c r="AB220" s="172">
        <f>SUM(X220:AA220)</f>
        <v>4.4994572100000001</v>
      </c>
      <c r="AC220" s="307"/>
      <c r="AD220" s="307"/>
      <c r="AE220" s="307"/>
      <c r="AF220" s="307"/>
      <c r="AG220" s="307"/>
      <c r="AH220" s="307"/>
      <c r="AI220" s="307"/>
      <c r="AJ220" s="307"/>
      <c r="AK220" s="307"/>
      <c r="AL220" s="307"/>
      <c r="AM220" s="307"/>
      <c r="AN220" s="307"/>
      <c r="AO220" s="307"/>
      <c r="AP220" s="307"/>
      <c r="AQ220" s="307"/>
      <c r="AR220" s="307"/>
      <c r="AS220" s="307"/>
      <c r="AT220" s="307"/>
      <c r="AU220" s="307"/>
      <c r="AV220" s="307"/>
      <c r="AW220" s="307"/>
      <c r="AX220" s="307"/>
      <c r="AY220" s="307"/>
      <c r="AZ220" s="307"/>
      <c r="BA220" s="307"/>
      <c r="BB220" s="307"/>
      <c r="BC220" s="307"/>
      <c r="BD220" s="307"/>
      <c r="BE220" s="307"/>
      <c r="BF220" s="307"/>
      <c r="BG220" s="307"/>
    </row>
    <row r="221" spans="1:59" ht="15.75" customHeight="1" x14ac:dyDescent="0.2">
      <c r="A221" s="268"/>
      <c r="B221" s="268"/>
      <c r="C221" s="307" t="s">
        <v>247</v>
      </c>
      <c r="D221" s="301" t="s">
        <v>146</v>
      </c>
      <c r="E221" s="301" t="s">
        <v>146</v>
      </c>
      <c r="F221" s="301" t="s">
        <v>146</v>
      </c>
      <c r="G221" s="301" t="s">
        <v>146</v>
      </c>
      <c r="H221" s="301" t="s">
        <v>146</v>
      </c>
      <c r="I221" s="301">
        <f t="shared" ref="I221:AB221" si="118">IFERROR((I220/D220-1),"n/a")</f>
        <v>-0.66161565475472228</v>
      </c>
      <c r="J221" s="301">
        <f t="shared" si="118"/>
        <v>-0.61060268452557609</v>
      </c>
      <c r="K221" s="301">
        <f t="shared" si="118"/>
        <v>-0.73300548660478548</v>
      </c>
      <c r="L221" s="301">
        <f t="shared" si="118"/>
        <v>-0.71138242979767452</v>
      </c>
      <c r="M221" s="301">
        <f t="shared" si="118"/>
        <v>-0.69192293108561376</v>
      </c>
      <c r="N221" s="301">
        <f t="shared" si="118"/>
        <v>-1</v>
      </c>
      <c r="O221" s="301">
        <f t="shared" si="118"/>
        <v>-1</v>
      </c>
      <c r="P221" s="301">
        <f t="shared" si="118"/>
        <v>-1</v>
      </c>
      <c r="Q221" s="301">
        <f t="shared" si="118"/>
        <v>-1</v>
      </c>
      <c r="R221" s="301">
        <f t="shared" si="118"/>
        <v>-1</v>
      </c>
      <c r="S221" s="301" t="str">
        <f t="shared" si="118"/>
        <v>n/a</v>
      </c>
      <c r="T221" s="301" t="str">
        <f t="shared" si="118"/>
        <v>n/a</v>
      </c>
      <c r="U221" s="301" t="str">
        <f t="shared" si="118"/>
        <v>n/a</v>
      </c>
      <c r="V221" s="301" t="str">
        <f t="shared" si="118"/>
        <v>n/a</v>
      </c>
      <c r="W221" s="301" t="str">
        <f t="shared" si="118"/>
        <v>n/a</v>
      </c>
      <c r="X221" s="301">
        <f t="shared" si="118"/>
        <v>70.428571428571431</v>
      </c>
      <c r="Y221" s="301">
        <f t="shared" si="118"/>
        <v>1.9499598235294111</v>
      </c>
      <c r="Z221" s="301">
        <f t="shared" si="118"/>
        <v>-0.63642175644705445</v>
      </c>
      <c r="AA221" s="301">
        <f t="shared" si="118"/>
        <v>9.9226436333333332</v>
      </c>
      <c r="AB221" s="301">
        <f t="shared" si="118"/>
        <v>3.1457526238362687</v>
      </c>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row>
    <row r="222" spans="1:59" ht="15.75" customHeight="1" x14ac:dyDescent="0.2">
      <c r="A222" s="329"/>
      <c r="B222" s="329"/>
      <c r="C222" s="340"/>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c r="BD222" s="268"/>
      <c r="BE222" s="268"/>
      <c r="BF222" s="268"/>
      <c r="BG222" s="268"/>
    </row>
    <row r="223" spans="1:59" ht="15.75" customHeight="1" x14ac:dyDescent="0.2">
      <c r="A223" s="162"/>
      <c r="B223" s="162"/>
      <c r="C223" s="227" t="s">
        <v>23</v>
      </c>
      <c r="D223" s="339" t="s">
        <v>98</v>
      </c>
      <c r="E223" s="339" t="s">
        <v>99</v>
      </c>
      <c r="F223" s="339" t="s">
        <v>100</v>
      </c>
      <c r="G223" s="339" t="s">
        <v>101</v>
      </c>
      <c r="H223" s="229">
        <v>2018</v>
      </c>
      <c r="I223" s="339" t="s">
        <v>102</v>
      </c>
      <c r="J223" s="339" t="s">
        <v>103</v>
      </c>
      <c r="K223" s="339" t="s">
        <v>104</v>
      </c>
      <c r="L223" s="339" t="s">
        <v>105</v>
      </c>
      <c r="M223" s="229">
        <v>2019</v>
      </c>
      <c r="N223" s="339" t="s">
        <v>158</v>
      </c>
      <c r="O223" s="339" t="s">
        <v>107</v>
      </c>
      <c r="P223" s="339" t="s">
        <v>108</v>
      </c>
      <c r="Q223" s="339" t="s">
        <v>109</v>
      </c>
      <c r="R223" s="229">
        <v>2020</v>
      </c>
      <c r="S223" s="339" t="s">
        <v>110</v>
      </c>
      <c r="T223" s="339" t="s">
        <v>111</v>
      </c>
      <c r="U223" s="339" t="s">
        <v>112</v>
      </c>
      <c r="V223" s="339" t="s">
        <v>113</v>
      </c>
      <c r="W223" s="229">
        <v>2021</v>
      </c>
      <c r="X223" s="339" t="s">
        <v>114</v>
      </c>
      <c r="Y223" s="339" t="s">
        <v>115</v>
      </c>
      <c r="Z223" s="339" t="str">
        <f>$Z$4</f>
        <v>3Q22</v>
      </c>
      <c r="AA223" s="339" t="str">
        <f>$AA$4</f>
        <v>4Q22</v>
      </c>
      <c r="AB223" s="229">
        <v>2022</v>
      </c>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7"/>
      <c r="AY223" s="307"/>
      <c r="AZ223" s="307"/>
      <c r="BA223" s="307"/>
      <c r="BB223" s="307"/>
      <c r="BC223" s="307"/>
      <c r="BD223" s="307"/>
      <c r="BE223" s="307"/>
      <c r="BF223" s="307"/>
      <c r="BG223" s="307"/>
    </row>
    <row r="224" spans="1:59" ht="15.75" customHeight="1" x14ac:dyDescent="0.2">
      <c r="A224" s="307"/>
      <c r="B224" s="307"/>
      <c r="C224" s="308" t="s">
        <v>188</v>
      </c>
      <c r="D224" s="292">
        <v>140.14951191</v>
      </c>
      <c r="E224" s="292">
        <v>155.63561142499901</v>
      </c>
      <c r="F224" s="292">
        <v>161.217129725001</v>
      </c>
      <c r="G224" s="292">
        <v>146.40601980000002</v>
      </c>
      <c r="H224" s="292">
        <v>603.40827286000012</v>
      </c>
      <c r="I224" s="292">
        <v>137.32483081999999</v>
      </c>
      <c r="J224" s="292">
        <v>147.71722498</v>
      </c>
      <c r="K224" s="292">
        <v>170.12914581000001</v>
      </c>
      <c r="L224" s="292">
        <v>175.50664115999999</v>
      </c>
      <c r="M224" s="292">
        <v>630.67784276999998</v>
      </c>
      <c r="N224" s="292">
        <v>182.49637002</v>
      </c>
      <c r="O224" s="292">
        <v>223.23219498</v>
      </c>
      <c r="P224" s="292">
        <v>237.3636037</v>
      </c>
      <c r="Q224" s="292">
        <v>254.36940172999999</v>
      </c>
      <c r="R224" s="292">
        <v>897.46157042999994</v>
      </c>
      <c r="S224" s="292">
        <v>246.49407238999999</v>
      </c>
      <c r="T224" s="292">
        <v>253.71552022</v>
      </c>
      <c r="U224" s="292">
        <v>278.21157765999999</v>
      </c>
      <c r="V224" s="292">
        <v>295.66862048000002</v>
      </c>
      <c r="W224" s="292">
        <f>SUM(S224:V224)</f>
        <v>1074.08979075</v>
      </c>
      <c r="X224" s="292">
        <v>253.65488915</v>
      </c>
      <c r="Y224" s="292">
        <v>263.61897232000001</v>
      </c>
      <c r="Z224" s="292">
        <v>319.70605554000002</v>
      </c>
      <c r="AA224" s="292">
        <v>295.14092382000001</v>
      </c>
      <c r="AB224" s="292">
        <f>SUM(X224:AA224)</f>
        <v>1132.1208408299999</v>
      </c>
      <c r="AC224" s="307"/>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row>
    <row r="225" spans="1:59" ht="15.75" customHeight="1" x14ac:dyDescent="0.2">
      <c r="A225" s="196"/>
      <c r="B225" s="196"/>
      <c r="C225" s="196" t="s">
        <v>248</v>
      </c>
      <c r="D225" s="301" t="s">
        <v>146</v>
      </c>
      <c r="E225" s="301" t="s">
        <v>146</v>
      </c>
      <c r="F225" s="301" t="s">
        <v>146</v>
      </c>
      <c r="G225" s="301" t="s">
        <v>146</v>
      </c>
      <c r="H225" s="301" t="s">
        <v>146</v>
      </c>
      <c r="I225" s="301">
        <f t="shared" ref="I225:AB225" si="119">I224/D224-1</f>
        <v>-2.0154769370969605E-2</v>
      </c>
      <c r="J225" s="301">
        <f t="shared" si="119"/>
        <v>-5.0877728898279129E-2</v>
      </c>
      <c r="K225" s="301">
        <f t="shared" si="119"/>
        <v>5.5279585365406447E-2</v>
      </c>
      <c r="L225" s="301">
        <f t="shared" si="119"/>
        <v>0.19876656301259521</v>
      </c>
      <c r="M225" s="301">
        <f t="shared" si="119"/>
        <v>4.5192568840246583E-2</v>
      </c>
      <c r="N225" s="301">
        <f t="shared" si="119"/>
        <v>0.32893933988681989</v>
      </c>
      <c r="O225" s="301">
        <f t="shared" si="119"/>
        <v>0.51121302888152864</v>
      </c>
      <c r="P225" s="301">
        <f t="shared" si="119"/>
        <v>0.39519658768572974</v>
      </c>
      <c r="Q225" s="301">
        <f t="shared" si="119"/>
        <v>0.4493434553174831</v>
      </c>
      <c r="R225" s="301">
        <f t="shared" si="119"/>
        <v>0.42301109943590087</v>
      </c>
      <c r="S225" s="301">
        <f t="shared" si="119"/>
        <v>0.3506793168707214</v>
      </c>
      <c r="T225" s="301">
        <f t="shared" si="119"/>
        <v>0.13655434084107387</v>
      </c>
      <c r="U225" s="301">
        <f t="shared" si="119"/>
        <v>0.17209030080124288</v>
      </c>
      <c r="V225" s="301">
        <f t="shared" si="119"/>
        <v>0.16235922429788552</v>
      </c>
      <c r="W225" s="301">
        <f t="shared" si="119"/>
        <v>0.19680867252663803</v>
      </c>
      <c r="X225" s="301">
        <f t="shared" si="119"/>
        <v>2.9050665156240552E-2</v>
      </c>
      <c r="Y225" s="301">
        <f t="shared" si="119"/>
        <v>3.9033686592813144E-2</v>
      </c>
      <c r="Z225" s="301">
        <f t="shared" si="119"/>
        <v>0.14914720023158079</v>
      </c>
      <c r="AA225" s="301">
        <f t="shared" si="119"/>
        <v>-1.7847570673659163E-3</v>
      </c>
      <c r="AB225" s="301">
        <f t="shared" si="119"/>
        <v>5.402811811429542E-2</v>
      </c>
      <c r="AC225" s="312"/>
      <c r="AD225" s="312"/>
      <c r="AE225" s="312"/>
      <c r="AF225" s="312"/>
      <c r="AG225" s="312"/>
      <c r="AH225" s="312"/>
      <c r="AI225" s="312"/>
      <c r="AJ225" s="312"/>
      <c r="AK225" s="312"/>
      <c r="AL225" s="312"/>
      <c r="AM225" s="312"/>
      <c r="AN225" s="312"/>
      <c r="AO225" s="312"/>
      <c r="AP225" s="312"/>
      <c r="AQ225" s="312"/>
      <c r="AR225" s="312"/>
      <c r="AS225" s="312"/>
      <c r="AT225" s="312"/>
      <c r="AU225" s="312"/>
      <c r="AV225" s="312"/>
      <c r="AW225" s="312"/>
      <c r="AX225" s="312"/>
      <c r="AY225" s="312"/>
      <c r="AZ225" s="312"/>
      <c r="BA225" s="312"/>
      <c r="BB225" s="312"/>
      <c r="BC225" s="312"/>
      <c r="BD225" s="312"/>
      <c r="BE225" s="312"/>
      <c r="BF225" s="312"/>
      <c r="BG225" s="312"/>
    </row>
    <row r="226" spans="1:59" ht="15.75" customHeight="1" x14ac:dyDescent="0.2">
      <c r="A226" s="307"/>
      <c r="B226" s="307"/>
      <c r="C226" s="308"/>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7"/>
      <c r="AY226" s="307"/>
      <c r="AZ226" s="307"/>
      <c r="BA226" s="307"/>
      <c r="BB226" s="307"/>
      <c r="BC226" s="307"/>
      <c r="BD226" s="307"/>
      <c r="BE226" s="307"/>
      <c r="BF226" s="307"/>
      <c r="BG226" s="307"/>
    </row>
    <row r="227" spans="1:59" ht="15.75" customHeight="1" x14ac:dyDescent="0.2">
      <c r="A227" s="307"/>
      <c r="B227" s="307"/>
      <c r="C227" s="335" t="s">
        <v>227</v>
      </c>
      <c r="D227" s="172">
        <f t="shared" ref="D227:AB227" si="120">(D224-D228)*-1</f>
        <v>-76.791640933328097</v>
      </c>
      <c r="E227" s="172">
        <f t="shared" si="120"/>
        <v>-83.036983454954523</v>
      </c>
      <c r="F227" s="172">
        <f t="shared" si="120"/>
        <v>-76.329155118548115</v>
      </c>
      <c r="G227" s="172">
        <f t="shared" si="120"/>
        <v>-76.305370488410389</v>
      </c>
      <c r="H227" s="172">
        <f t="shared" si="120"/>
        <v>-312.46314999524122</v>
      </c>
      <c r="I227" s="172">
        <f t="shared" si="120"/>
        <v>-79.375980969999986</v>
      </c>
      <c r="J227" s="172">
        <f t="shared" si="120"/>
        <v>-83.757855079999999</v>
      </c>
      <c r="K227" s="172">
        <f t="shared" si="120"/>
        <v>-77.876342730000019</v>
      </c>
      <c r="L227" s="172">
        <f t="shared" si="120"/>
        <v>-89.839450039999988</v>
      </c>
      <c r="M227" s="172">
        <f t="shared" si="120"/>
        <v>-330.84962882000002</v>
      </c>
      <c r="N227" s="172">
        <f t="shared" si="120"/>
        <v>-94.549506690000001</v>
      </c>
      <c r="O227" s="172">
        <f t="shared" si="120"/>
        <v>-102.06839649000001</v>
      </c>
      <c r="P227" s="172">
        <f t="shared" si="120"/>
        <v>-117.09571587000001</v>
      </c>
      <c r="Q227" s="172">
        <f t="shared" si="120"/>
        <v>-143.51611983999999</v>
      </c>
      <c r="R227" s="172">
        <f t="shared" si="120"/>
        <v>-457.22973888999996</v>
      </c>
      <c r="S227" s="172">
        <f t="shared" si="120"/>
        <v>-115.67236798999997</v>
      </c>
      <c r="T227" s="172">
        <f t="shared" si="120"/>
        <v>-127.86440244000001</v>
      </c>
      <c r="U227" s="172">
        <f t="shared" si="120"/>
        <v>-138.94942085999998</v>
      </c>
      <c r="V227" s="172">
        <f t="shared" si="120"/>
        <v>-157.33675577000002</v>
      </c>
      <c r="W227" s="172">
        <f t="shared" si="120"/>
        <v>-539.82294705999993</v>
      </c>
      <c r="X227" s="172">
        <f t="shared" si="120"/>
        <v>-134.37100063</v>
      </c>
      <c r="Y227" s="172">
        <f t="shared" si="120"/>
        <v>-133.02799972000003</v>
      </c>
      <c r="Z227" s="172">
        <f t="shared" si="120"/>
        <v>-158.31727455000001</v>
      </c>
      <c r="AA227" s="172">
        <f t="shared" si="120"/>
        <v>-150.46902452</v>
      </c>
      <c r="AB227" s="172">
        <f t="shared" si="120"/>
        <v>-576.18529941999986</v>
      </c>
      <c r="AC227" s="307"/>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7"/>
      <c r="AY227" s="307"/>
      <c r="AZ227" s="307"/>
      <c r="BA227" s="307"/>
      <c r="BB227" s="307"/>
      <c r="BC227" s="307"/>
      <c r="BD227" s="307"/>
      <c r="BE227" s="307"/>
      <c r="BF227" s="307"/>
      <c r="BG227" s="307"/>
    </row>
    <row r="228" spans="1:59" ht="15.75" customHeight="1" x14ac:dyDescent="0.2">
      <c r="A228" s="307"/>
      <c r="B228" s="307"/>
      <c r="C228" s="308" t="s">
        <v>189</v>
      </c>
      <c r="D228" s="292">
        <v>63.357870976671904</v>
      </c>
      <c r="E228" s="292">
        <v>72.59862797004449</v>
      </c>
      <c r="F228" s="292">
        <v>84.887974606452886</v>
      </c>
      <c r="G228" s="292">
        <v>70.100649311589635</v>
      </c>
      <c r="H228" s="292">
        <v>290.9451228647589</v>
      </c>
      <c r="I228" s="292">
        <v>57.948849850000002</v>
      </c>
      <c r="J228" s="292">
        <v>63.959369899999999</v>
      </c>
      <c r="K228" s="292">
        <v>92.252803079999993</v>
      </c>
      <c r="L228" s="292">
        <v>85.667191119999998</v>
      </c>
      <c r="M228" s="292">
        <v>299.82821394999996</v>
      </c>
      <c r="N228" s="292">
        <v>87.946863329999999</v>
      </c>
      <c r="O228" s="292">
        <v>121.16379848999999</v>
      </c>
      <c r="P228" s="292">
        <v>120.26788782999999</v>
      </c>
      <c r="Q228" s="292">
        <v>110.85328189000001</v>
      </c>
      <c r="R228" s="292">
        <v>440.23183153999997</v>
      </c>
      <c r="S228" s="292">
        <v>130.82170440000002</v>
      </c>
      <c r="T228" s="292">
        <v>125.85111778</v>
      </c>
      <c r="U228" s="292">
        <v>139.26215680000001</v>
      </c>
      <c r="V228" s="292">
        <v>138.33186470999999</v>
      </c>
      <c r="W228" s="292">
        <f>SUM(S228:V228)</f>
        <v>534.26684369000009</v>
      </c>
      <c r="X228" s="292">
        <v>119.28388852</v>
      </c>
      <c r="Y228" s="292">
        <v>130.59097259999999</v>
      </c>
      <c r="Z228" s="292">
        <v>161.38878099000001</v>
      </c>
      <c r="AA228" s="292">
        <v>144.67189930000001</v>
      </c>
      <c r="AB228" s="292">
        <f>SUM(X228:AA228)</f>
        <v>555.93554141000004</v>
      </c>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row>
    <row r="229" spans="1:59" ht="15.75" customHeight="1" x14ac:dyDescent="0.2">
      <c r="A229" s="312"/>
      <c r="B229" s="312"/>
      <c r="C229" s="313" t="s">
        <v>222</v>
      </c>
      <c r="D229" s="301">
        <f t="shared" ref="D229:AB229" si="121">D228/D224</f>
        <v>0.45207343295892827</v>
      </c>
      <c r="E229" s="301">
        <f t="shared" si="121"/>
        <v>0.4664654014934741</v>
      </c>
      <c r="F229" s="301">
        <f t="shared" si="121"/>
        <v>0.52654438614092725</v>
      </c>
      <c r="G229" s="301">
        <f t="shared" si="121"/>
        <v>0.47880988368751232</v>
      </c>
      <c r="H229" s="301">
        <f t="shared" si="121"/>
        <v>0.48216959553065752</v>
      </c>
      <c r="I229" s="301">
        <f t="shared" si="121"/>
        <v>0.42198377018907152</v>
      </c>
      <c r="J229" s="301">
        <f t="shared" si="121"/>
        <v>0.43298518442016293</v>
      </c>
      <c r="K229" s="301">
        <f t="shared" si="121"/>
        <v>0.542251609157127</v>
      </c>
      <c r="L229" s="301">
        <f t="shared" si="121"/>
        <v>0.48811367224503954</v>
      </c>
      <c r="M229" s="301">
        <f t="shared" si="121"/>
        <v>0.47540629084593261</v>
      </c>
      <c r="N229" s="301">
        <f t="shared" si="121"/>
        <v>0.48191020632553838</v>
      </c>
      <c r="O229" s="301">
        <f t="shared" si="121"/>
        <v>0.54277026887118762</v>
      </c>
      <c r="P229" s="301">
        <f t="shared" si="121"/>
        <v>0.50668209428604993</v>
      </c>
      <c r="Q229" s="301">
        <f t="shared" si="121"/>
        <v>0.43579644853536686</v>
      </c>
      <c r="R229" s="301">
        <f t="shared" si="121"/>
        <v>0.49053000824210458</v>
      </c>
      <c r="S229" s="301">
        <f t="shared" si="121"/>
        <v>0.53072961605752322</v>
      </c>
      <c r="T229" s="301">
        <f t="shared" si="121"/>
        <v>0.49603239750911915</v>
      </c>
      <c r="U229" s="301">
        <f t="shared" si="121"/>
        <v>0.50056204695475004</v>
      </c>
      <c r="V229" s="301">
        <f t="shared" si="121"/>
        <v>0.46786116323547161</v>
      </c>
      <c r="W229" s="301">
        <f t="shared" si="121"/>
        <v>0.49741357593292074</v>
      </c>
      <c r="X229" s="301">
        <f t="shared" si="121"/>
        <v>0.47026055330422162</v>
      </c>
      <c r="Y229" s="301">
        <f t="shared" si="121"/>
        <v>0.49537774709734889</v>
      </c>
      <c r="Z229" s="301">
        <f t="shared" si="121"/>
        <v>0.50480364132423461</v>
      </c>
      <c r="AA229" s="301">
        <f t="shared" si="121"/>
        <v>0.49017905557628544</v>
      </c>
      <c r="AB229" s="301">
        <f t="shared" si="121"/>
        <v>0.49105671529058947</v>
      </c>
      <c r="AC229" s="307"/>
      <c r="AD229" s="307"/>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row>
    <row r="230" spans="1:59" ht="15.75" customHeight="1" x14ac:dyDescent="0.2">
      <c r="A230" s="190"/>
      <c r="B230" s="190"/>
      <c r="C230" s="190" t="s">
        <v>241</v>
      </c>
      <c r="D230" s="301" t="s">
        <v>146</v>
      </c>
      <c r="E230" s="301" t="s">
        <v>146</v>
      </c>
      <c r="F230" s="301" t="s">
        <v>146</v>
      </c>
      <c r="G230" s="301" t="s">
        <v>146</v>
      </c>
      <c r="H230" s="301" t="s">
        <v>146</v>
      </c>
      <c r="I230" s="301">
        <f t="shared" ref="I230:AB230" si="122">I228/D228-1</f>
        <v>-8.5372520308699795E-2</v>
      </c>
      <c r="J230" s="301">
        <f t="shared" si="122"/>
        <v>-0.11900029396711476</v>
      </c>
      <c r="K230" s="301">
        <f t="shared" si="122"/>
        <v>8.6759385032933345E-2</v>
      </c>
      <c r="L230" s="301">
        <f t="shared" si="122"/>
        <v>0.22205988049010505</v>
      </c>
      <c r="M230" s="301">
        <f t="shared" si="122"/>
        <v>3.0531843935978964E-2</v>
      </c>
      <c r="N230" s="301">
        <f t="shared" si="122"/>
        <v>0.51766365609756781</v>
      </c>
      <c r="O230" s="301">
        <f t="shared" si="122"/>
        <v>0.89438699410952127</v>
      </c>
      <c r="P230" s="301">
        <f t="shared" si="122"/>
        <v>0.30367732811008263</v>
      </c>
      <c r="Q230" s="301">
        <f t="shared" si="122"/>
        <v>0.29399925970165275</v>
      </c>
      <c r="R230" s="301">
        <f t="shared" si="122"/>
        <v>0.46828020532255188</v>
      </c>
      <c r="S230" s="301">
        <f t="shared" si="122"/>
        <v>0.48750847325983893</v>
      </c>
      <c r="T230" s="301">
        <f t="shared" si="122"/>
        <v>3.868580672127786E-2</v>
      </c>
      <c r="U230" s="301">
        <f t="shared" si="122"/>
        <v>0.15793300533263399</v>
      </c>
      <c r="V230" s="301">
        <f t="shared" si="122"/>
        <v>0.24788244742512044</v>
      </c>
      <c r="W230" s="301">
        <f t="shared" si="122"/>
        <v>0.21360339124286143</v>
      </c>
      <c r="X230" s="301">
        <f t="shared" si="122"/>
        <v>-8.8194966828455512E-2</v>
      </c>
      <c r="Y230" s="301">
        <f t="shared" si="122"/>
        <v>3.7662397470999975E-2</v>
      </c>
      <c r="Z230" s="301">
        <f t="shared" si="122"/>
        <v>0.15888468697046632</v>
      </c>
      <c r="AA230" s="301">
        <f t="shared" si="122"/>
        <v>4.583206192796796E-2</v>
      </c>
      <c r="AB230" s="301">
        <f t="shared" si="122"/>
        <v>4.0557818580583493E-2</v>
      </c>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2"/>
      <c r="AY230" s="312"/>
      <c r="AZ230" s="312"/>
      <c r="BA230" s="312"/>
      <c r="BB230" s="312"/>
      <c r="BC230" s="312"/>
      <c r="BD230" s="312"/>
      <c r="BE230" s="312"/>
      <c r="BF230" s="312"/>
      <c r="BG230" s="312"/>
    </row>
    <row r="231" spans="1:59" ht="15.75" customHeight="1" x14ac:dyDescent="0.2">
      <c r="A231" s="307"/>
      <c r="B231" s="307"/>
      <c r="C231" s="308"/>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307"/>
      <c r="AD231" s="307"/>
      <c r="AE231" s="307"/>
      <c r="AF231" s="307"/>
      <c r="AG231" s="307"/>
      <c r="AH231" s="307"/>
      <c r="AI231" s="307"/>
      <c r="AJ231" s="307"/>
      <c r="AK231" s="307"/>
      <c r="AL231" s="307"/>
      <c r="AM231" s="307"/>
      <c r="AN231" s="307"/>
      <c r="AO231" s="307"/>
      <c r="AP231" s="307"/>
      <c r="AQ231" s="307"/>
      <c r="AR231" s="307"/>
      <c r="AS231" s="307"/>
      <c r="AT231" s="307"/>
      <c r="AU231" s="307"/>
      <c r="AV231" s="307"/>
      <c r="AW231" s="307"/>
      <c r="AX231" s="307"/>
      <c r="AY231" s="307"/>
      <c r="AZ231" s="307"/>
      <c r="BA231" s="307"/>
      <c r="BB231" s="307"/>
      <c r="BC231" s="307"/>
      <c r="BD231" s="307"/>
      <c r="BE231" s="307"/>
      <c r="BF231" s="307"/>
      <c r="BG231" s="307"/>
    </row>
    <row r="232" spans="1:59" ht="15.75" customHeight="1" x14ac:dyDescent="0.2">
      <c r="A232" s="268"/>
      <c r="B232" s="268"/>
      <c r="C232" s="307" t="s">
        <v>242</v>
      </c>
      <c r="D232" s="292">
        <f t="shared" ref="D232:AB232" si="123">D235-D228</f>
        <v>-22.365817120946197</v>
      </c>
      <c r="E232" s="292">
        <f t="shared" si="123"/>
        <v>-25.321491129419002</v>
      </c>
      <c r="F232" s="292">
        <f t="shared" si="123"/>
        <v>-28.0186608423354</v>
      </c>
      <c r="G232" s="292">
        <f t="shared" si="123"/>
        <v>-27.686312651121511</v>
      </c>
      <c r="H232" s="292">
        <f t="shared" si="123"/>
        <v>-103.39228174382208</v>
      </c>
      <c r="I232" s="292">
        <f t="shared" si="123"/>
        <v>-27.660187270000005</v>
      </c>
      <c r="J232" s="292">
        <f t="shared" si="123"/>
        <v>-30.525785110000001</v>
      </c>
      <c r="K232" s="292">
        <f t="shared" si="123"/>
        <v>-30.373363949999991</v>
      </c>
      <c r="L232" s="292">
        <f t="shared" si="123"/>
        <v>-32.15961772</v>
      </c>
      <c r="M232" s="292">
        <f t="shared" si="123"/>
        <v>-120.71895404999998</v>
      </c>
      <c r="N232" s="292">
        <f t="shared" si="123"/>
        <v>-35.391452390000005</v>
      </c>
      <c r="O232" s="292">
        <f t="shared" si="123"/>
        <v>-43.820924099999985</v>
      </c>
      <c r="P232" s="292">
        <f t="shared" si="123"/>
        <v>-43.715040639999998</v>
      </c>
      <c r="Q232" s="292">
        <f t="shared" si="123"/>
        <v>-43.295342860000005</v>
      </c>
      <c r="R232" s="292">
        <f t="shared" si="123"/>
        <v>-166.22275998999999</v>
      </c>
      <c r="S232" s="292">
        <f t="shared" si="123"/>
        <v>-43.325987090000012</v>
      </c>
      <c r="T232" s="292">
        <f t="shared" si="123"/>
        <v>-40.841957939999986</v>
      </c>
      <c r="U232" s="292">
        <f t="shared" si="123"/>
        <v>-38.444165300000009</v>
      </c>
      <c r="V232" s="292">
        <f t="shared" si="123"/>
        <v>-42.90765644999999</v>
      </c>
      <c r="W232" s="292">
        <f t="shared" si="123"/>
        <v>-165.51976678000005</v>
      </c>
      <c r="X232" s="292">
        <f t="shared" si="123"/>
        <v>-41.469480189999999</v>
      </c>
      <c r="Y232" s="292">
        <f t="shared" si="123"/>
        <v>-39.384223619999986</v>
      </c>
      <c r="Z232" s="292">
        <f t="shared" si="123"/>
        <v>-43.087341490000014</v>
      </c>
      <c r="AA232" s="292">
        <f t="shared" si="123"/>
        <v>-47.583400970000014</v>
      </c>
      <c r="AB232" s="292">
        <f t="shared" si="123"/>
        <v>-171.52444627000006</v>
      </c>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c r="BF232" s="268"/>
      <c r="BG232" s="268"/>
    </row>
    <row r="233" spans="1:59" ht="15.75" customHeight="1" x14ac:dyDescent="0.2">
      <c r="A233" s="268"/>
      <c r="B233" s="268"/>
      <c r="C233" s="307" t="s">
        <v>243</v>
      </c>
      <c r="D233" s="301" t="s">
        <v>146</v>
      </c>
      <c r="E233" s="301" t="s">
        <v>146</v>
      </c>
      <c r="F233" s="301" t="s">
        <v>146</v>
      </c>
      <c r="G233" s="301" t="s">
        <v>146</v>
      </c>
      <c r="H233" s="301" t="s">
        <v>146</v>
      </c>
      <c r="I233" s="301">
        <f t="shared" ref="I233:AB233" si="124">I232/D232-1</f>
        <v>0.23671704549955774</v>
      </c>
      <c r="J233" s="301">
        <f t="shared" si="124"/>
        <v>0.20552873264776061</v>
      </c>
      <c r="K233" s="301">
        <f t="shared" si="124"/>
        <v>8.4040530020860205E-2</v>
      </c>
      <c r="L233" s="301">
        <f t="shared" si="124"/>
        <v>0.16157099449273482</v>
      </c>
      <c r="M233" s="301">
        <f t="shared" si="124"/>
        <v>0.16758187375251743</v>
      </c>
      <c r="N233" s="301">
        <f t="shared" si="124"/>
        <v>0.27950877716526756</v>
      </c>
      <c r="O233" s="301">
        <f t="shared" si="124"/>
        <v>0.43553798672469202</v>
      </c>
      <c r="P233" s="301">
        <f t="shared" si="124"/>
        <v>0.43925581348061415</v>
      </c>
      <c r="Q233" s="301">
        <f t="shared" si="124"/>
        <v>0.34626422605374185</v>
      </c>
      <c r="R233" s="301">
        <f t="shared" si="124"/>
        <v>0.376940028167847</v>
      </c>
      <c r="S233" s="301">
        <f t="shared" si="124"/>
        <v>0.22419353160657352</v>
      </c>
      <c r="T233" s="301">
        <f t="shared" si="124"/>
        <v>-6.7980450462476694E-2</v>
      </c>
      <c r="U233" s="301">
        <f t="shared" si="124"/>
        <v>-0.1205734974240662</v>
      </c>
      <c r="V233" s="301">
        <f t="shared" si="124"/>
        <v>-8.9544598654326402E-3</v>
      </c>
      <c r="W233" s="301">
        <f t="shared" si="124"/>
        <v>-4.2292235434078229E-3</v>
      </c>
      <c r="X233" s="301">
        <f t="shared" si="124"/>
        <v>-4.2849731181970219E-2</v>
      </c>
      <c r="Y233" s="301">
        <f t="shared" si="124"/>
        <v>-3.5692077302991287E-2</v>
      </c>
      <c r="Z233" s="301">
        <f t="shared" si="124"/>
        <v>0.12077713623814867</v>
      </c>
      <c r="AA233" s="301">
        <f t="shared" si="124"/>
        <v>0.1089722652517422</v>
      </c>
      <c r="AB233" s="301">
        <f t="shared" si="124"/>
        <v>3.6277718406775517E-2</v>
      </c>
      <c r="AC233" s="268"/>
      <c r="AD233" s="268"/>
      <c r="AE233" s="268"/>
      <c r="AF233" s="268"/>
      <c r="AG233" s="268"/>
      <c r="AH233" s="268"/>
      <c r="AI233" s="268"/>
      <c r="AJ233" s="268"/>
      <c r="AK233" s="268"/>
      <c r="AL233" s="268"/>
      <c r="AM233" s="268"/>
      <c r="AN233" s="268"/>
      <c r="AO233" s="268"/>
      <c r="AP233" s="268"/>
      <c r="AQ233" s="268"/>
      <c r="AR233" s="268"/>
      <c r="AS233" s="268"/>
      <c r="AT233" s="268"/>
      <c r="AU233" s="268"/>
      <c r="AV233" s="268"/>
      <c r="AW233" s="268"/>
      <c r="AX233" s="268"/>
      <c r="AY233" s="268"/>
      <c r="AZ233" s="268"/>
      <c r="BA233" s="268"/>
      <c r="BB233" s="268"/>
      <c r="BC233" s="268"/>
      <c r="BD233" s="268"/>
      <c r="BE233" s="268"/>
      <c r="BF233" s="268"/>
      <c r="BG233" s="268"/>
    </row>
    <row r="234" spans="1:59" ht="15.75" customHeight="1" x14ac:dyDescent="0.2">
      <c r="A234" s="307"/>
      <c r="B234" s="307"/>
      <c r="C234" s="308"/>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307"/>
      <c r="AD234" s="307"/>
      <c r="AE234" s="307"/>
      <c r="AF234" s="307"/>
      <c r="AG234" s="307"/>
      <c r="AH234" s="307"/>
      <c r="AI234" s="307"/>
      <c r="AJ234" s="307"/>
      <c r="AK234" s="307"/>
      <c r="AL234" s="307"/>
      <c r="AM234" s="307"/>
      <c r="AN234" s="307"/>
      <c r="AO234" s="307"/>
      <c r="AP234" s="307"/>
      <c r="AQ234" s="307"/>
      <c r="AR234" s="307"/>
      <c r="AS234" s="307"/>
      <c r="AT234" s="307"/>
      <c r="AU234" s="307"/>
      <c r="AV234" s="307"/>
      <c r="AW234" s="307"/>
      <c r="AX234" s="307"/>
      <c r="AY234" s="307"/>
      <c r="AZ234" s="307"/>
      <c r="BA234" s="307"/>
      <c r="BB234" s="307"/>
      <c r="BC234" s="307"/>
      <c r="BD234" s="307"/>
      <c r="BE234" s="307"/>
      <c r="BF234" s="307"/>
      <c r="BG234" s="307"/>
    </row>
    <row r="235" spans="1:59" ht="15.75" customHeight="1" x14ac:dyDescent="0.2">
      <c r="A235" s="307"/>
      <c r="B235" s="307"/>
      <c r="C235" s="308" t="s">
        <v>190</v>
      </c>
      <c r="D235" s="292">
        <v>40.992053855725707</v>
      </c>
      <c r="E235" s="292">
        <v>47.277136840625488</v>
      </c>
      <c r="F235" s="292">
        <v>56.869313764117486</v>
      </c>
      <c r="G235" s="292">
        <v>42.414336660468123</v>
      </c>
      <c r="H235" s="292">
        <v>187.55284112093682</v>
      </c>
      <c r="I235" s="292">
        <v>30.288662579999997</v>
      </c>
      <c r="J235" s="292">
        <v>33.433584789999998</v>
      </c>
      <c r="K235" s="292">
        <v>61.879439130000002</v>
      </c>
      <c r="L235" s="292">
        <v>53.507573399999998</v>
      </c>
      <c r="M235" s="292">
        <v>179.10925989999998</v>
      </c>
      <c r="N235" s="292">
        <v>52.555410939999994</v>
      </c>
      <c r="O235" s="292">
        <v>77.342874390000006</v>
      </c>
      <c r="P235" s="292">
        <v>76.552847189999994</v>
      </c>
      <c r="Q235" s="292">
        <v>67.55793903</v>
      </c>
      <c r="R235" s="292">
        <v>274.00907154999999</v>
      </c>
      <c r="S235" s="292">
        <v>87.495717310000003</v>
      </c>
      <c r="T235" s="292">
        <v>85.009159840000009</v>
      </c>
      <c r="U235" s="292">
        <v>100.81799150000001</v>
      </c>
      <c r="V235" s="292">
        <v>95.42420826</v>
      </c>
      <c r="W235" s="292">
        <f>SUM(S235:V235)</f>
        <v>368.74707691000003</v>
      </c>
      <c r="X235" s="292">
        <v>77.814408330000006</v>
      </c>
      <c r="Y235" s="292">
        <v>91.20674898</v>
      </c>
      <c r="Z235" s="292">
        <v>118.3014395</v>
      </c>
      <c r="AA235" s="292">
        <v>97.088498329999993</v>
      </c>
      <c r="AB235" s="292">
        <f>SUM(X235:AA235)</f>
        <v>384.41109513999999</v>
      </c>
      <c r="AC235" s="307"/>
      <c r="AD235" s="307"/>
      <c r="AE235" s="307"/>
      <c r="AF235" s="307"/>
      <c r="AG235" s="307"/>
      <c r="AH235" s="307"/>
      <c r="AI235" s="307"/>
      <c r="AJ235" s="307"/>
      <c r="AK235" s="307"/>
      <c r="AL235" s="307"/>
      <c r="AM235" s="307"/>
      <c r="AN235" s="307"/>
      <c r="AO235" s="307"/>
      <c r="AP235" s="307"/>
      <c r="AQ235" s="307"/>
      <c r="AR235" s="307"/>
      <c r="AS235" s="307"/>
      <c r="AT235" s="307"/>
      <c r="AU235" s="307"/>
      <c r="AV235" s="307"/>
      <c r="AW235" s="307"/>
      <c r="AX235" s="307"/>
      <c r="AY235" s="307"/>
      <c r="AZ235" s="307"/>
      <c r="BA235" s="307"/>
      <c r="BB235" s="307"/>
      <c r="BC235" s="307"/>
      <c r="BD235" s="307"/>
      <c r="BE235" s="307"/>
      <c r="BF235" s="307"/>
      <c r="BG235" s="307"/>
    </row>
    <row r="236" spans="1:59" ht="15.75" customHeight="1" x14ac:dyDescent="0.2">
      <c r="A236" s="312"/>
      <c r="B236" s="312"/>
      <c r="C236" s="313" t="s">
        <v>244</v>
      </c>
      <c r="D236" s="301">
        <f t="shared" ref="D236:AB236" si="125">D235/D224</f>
        <v>0.2924880243753516</v>
      </c>
      <c r="E236" s="301">
        <f t="shared" si="125"/>
        <v>0.30376811841297902</v>
      </c>
      <c r="F236" s="301">
        <f t="shared" si="125"/>
        <v>0.35274982169154934</v>
      </c>
      <c r="G236" s="301">
        <f t="shared" si="125"/>
        <v>0.28970350207190126</v>
      </c>
      <c r="H236" s="301">
        <f t="shared" si="125"/>
        <v>0.31082245563519467</v>
      </c>
      <c r="I236" s="301">
        <f t="shared" si="125"/>
        <v>0.22056216926785216</v>
      </c>
      <c r="J236" s="301">
        <f t="shared" si="125"/>
        <v>0.22633504518194611</v>
      </c>
      <c r="K236" s="301">
        <f t="shared" si="125"/>
        <v>0.36372038921012906</v>
      </c>
      <c r="L236" s="301">
        <f t="shared" si="125"/>
        <v>0.30487492123571558</v>
      </c>
      <c r="M236" s="301">
        <f t="shared" si="125"/>
        <v>0.28399485086289739</v>
      </c>
      <c r="N236" s="301">
        <f t="shared" si="125"/>
        <v>0.28798058248632774</v>
      </c>
      <c r="O236" s="301">
        <f t="shared" si="125"/>
        <v>0.34646827890094156</v>
      </c>
      <c r="P236" s="301">
        <f t="shared" si="125"/>
        <v>0.32251299692413626</v>
      </c>
      <c r="Q236" s="301">
        <f t="shared" si="125"/>
        <v>0.26558988058520211</v>
      </c>
      <c r="R236" s="301">
        <f t="shared" si="125"/>
        <v>0.30531565983233605</v>
      </c>
      <c r="S236" s="301">
        <f t="shared" si="125"/>
        <v>0.35496073581666227</v>
      </c>
      <c r="T236" s="301">
        <f t="shared" si="125"/>
        <v>0.33505699519795823</v>
      </c>
      <c r="U236" s="301">
        <f t="shared" si="125"/>
        <v>0.36237884975156864</v>
      </c>
      <c r="V236" s="301">
        <f t="shared" si="125"/>
        <v>0.32274039803440963</v>
      </c>
      <c r="W236" s="301">
        <f t="shared" si="125"/>
        <v>0.34331122042647533</v>
      </c>
      <c r="X236" s="301">
        <f t="shared" si="125"/>
        <v>0.30677275171299417</v>
      </c>
      <c r="Y236" s="301">
        <f t="shared" si="125"/>
        <v>0.34597945731040392</v>
      </c>
      <c r="Z236" s="301">
        <f t="shared" si="125"/>
        <v>0.37003190102290295</v>
      </c>
      <c r="AA236" s="301">
        <f t="shared" si="125"/>
        <v>0.32895640859758285</v>
      </c>
      <c r="AB236" s="301">
        <f t="shared" si="125"/>
        <v>0.33954952623094009</v>
      </c>
      <c r="AC236" s="307"/>
      <c r="AD236" s="307"/>
      <c r="AE236" s="307"/>
      <c r="AF236" s="307"/>
      <c r="AG236" s="307"/>
      <c r="AH236" s="307"/>
      <c r="AI236" s="307"/>
      <c r="AJ236" s="307"/>
      <c r="AK236" s="307"/>
      <c r="AL236" s="307"/>
      <c r="AM236" s="307"/>
      <c r="AN236" s="307"/>
      <c r="AO236" s="307"/>
      <c r="AP236" s="307"/>
      <c r="AQ236" s="307"/>
      <c r="AR236" s="307"/>
      <c r="AS236" s="307"/>
      <c r="AT236" s="307"/>
      <c r="AU236" s="307"/>
      <c r="AV236" s="307"/>
      <c r="AW236" s="307"/>
      <c r="AX236" s="307"/>
      <c r="AY236" s="307"/>
      <c r="AZ236" s="307"/>
      <c r="BA236" s="307"/>
      <c r="BB236" s="307"/>
      <c r="BC236" s="307"/>
      <c r="BD236" s="307"/>
      <c r="BE236" s="307"/>
      <c r="BF236" s="307"/>
      <c r="BG236" s="307"/>
    </row>
    <row r="237" spans="1:59" ht="15.75" customHeight="1" x14ac:dyDescent="0.2">
      <c r="A237" s="307"/>
      <c r="B237" s="307"/>
      <c r="C237" s="190" t="s">
        <v>245</v>
      </c>
      <c r="D237" s="301" t="s">
        <v>146</v>
      </c>
      <c r="E237" s="301" t="s">
        <v>146</v>
      </c>
      <c r="F237" s="301" t="s">
        <v>146</v>
      </c>
      <c r="G237" s="301" t="s">
        <v>146</v>
      </c>
      <c r="H237" s="301" t="s">
        <v>146</v>
      </c>
      <c r="I237" s="301">
        <f t="shared" ref="I237:AB237" si="126">I235/D235-1</f>
        <v>-0.26110892890112358</v>
      </c>
      <c r="J237" s="301">
        <f t="shared" si="126"/>
        <v>-0.29281705652550549</v>
      </c>
      <c r="K237" s="301">
        <f t="shared" si="126"/>
        <v>8.8098924257526745E-2</v>
      </c>
      <c r="L237" s="301">
        <f t="shared" si="126"/>
        <v>0.26154450624406955</v>
      </c>
      <c r="M237" s="301">
        <f t="shared" si="126"/>
        <v>-4.5019745744572792E-2</v>
      </c>
      <c r="N237" s="301">
        <f t="shared" si="126"/>
        <v>0.73515125671818282</v>
      </c>
      <c r="O237" s="301">
        <f t="shared" si="126"/>
        <v>1.3133287942587986</v>
      </c>
      <c r="P237" s="301">
        <f t="shared" si="126"/>
        <v>0.23712897638217489</v>
      </c>
      <c r="Q237" s="301">
        <f t="shared" si="126"/>
        <v>0.26258648518716043</v>
      </c>
      <c r="R237" s="301">
        <f t="shared" si="126"/>
        <v>0.529843134313571</v>
      </c>
      <c r="S237" s="301">
        <f t="shared" si="126"/>
        <v>0.66482795482066903</v>
      </c>
      <c r="T237" s="301">
        <f t="shared" si="126"/>
        <v>9.9120772410693059E-2</v>
      </c>
      <c r="U237" s="301">
        <f t="shared" si="126"/>
        <v>0.31697246021137859</v>
      </c>
      <c r="V237" s="301">
        <f t="shared" si="126"/>
        <v>0.41247956391365959</v>
      </c>
      <c r="W237" s="301">
        <f t="shared" si="126"/>
        <v>0.34574769668789118</v>
      </c>
      <c r="X237" s="301">
        <f t="shared" si="126"/>
        <v>-0.11064894691586813</v>
      </c>
      <c r="Y237" s="301">
        <f t="shared" si="126"/>
        <v>7.2904956967752454E-2</v>
      </c>
      <c r="Z237" s="301">
        <f t="shared" si="126"/>
        <v>0.17341595225094308</v>
      </c>
      <c r="AA237" s="301">
        <f t="shared" si="126"/>
        <v>1.7440962836865692E-2</v>
      </c>
      <c r="AB237" s="301">
        <f t="shared" si="126"/>
        <v>4.2479030237365212E-2</v>
      </c>
      <c r="AC237" s="307"/>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7"/>
      <c r="AY237" s="307"/>
      <c r="AZ237" s="307"/>
      <c r="BA237" s="307"/>
      <c r="BB237" s="307"/>
      <c r="BC237" s="307"/>
      <c r="BD237" s="307"/>
      <c r="BE237" s="307"/>
      <c r="BF237" s="307"/>
      <c r="BG237" s="307"/>
    </row>
    <row r="238" spans="1:59" ht="15.75" customHeight="1" x14ac:dyDescent="0.2">
      <c r="A238" s="307"/>
      <c r="B238" s="307"/>
      <c r="C238" s="308" t="s">
        <v>246</v>
      </c>
      <c r="D238" s="292">
        <v>38.391384725910342</v>
      </c>
      <c r="E238" s="292">
        <v>22.105727308789938</v>
      </c>
      <c r="F238" s="292">
        <v>34.870862515672187</v>
      </c>
      <c r="G238" s="292">
        <v>33.07031370398213</v>
      </c>
      <c r="H238" s="292">
        <f>SUM(D238:G238)</f>
        <v>128.4382882543546</v>
      </c>
      <c r="I238" s="292">
        <v>27.16334741</v>
      </c>
      <c r="J238" s="292">
        <v>32.908856450000002</v>
      </c>
      <c r="K238" s="292">
        <v>16.473397670000001</v>
      </c>
      <c r="L238" s="292">
        <v>13.750044800000001</v>
      </c>
      <c r="M238" s="292">
        <f>SUM(I238:L238)</f>
        <v>90.295646329999997</v>
      </c>
      <c r="N238" s="292">
        <v>10</v>
      </c>
      <c r="O238" s="292">
        <v>12.455405710000001</v>
      </c>
      <c r="P238" s="292">
        <v>10.55384714</v>
      </c>
      <c r="Q238" s="292">
        <v>31.186870620000001</v>
      </c>
      <c r="R238" s="292">
        <f>SUM(N238:Q238)</f>
        <v>64.196123470000003</v>
      </c>
      <c r="S238" s="292">
        <v>19.7</v>
      </c>
      <c r="T238" s="292">
        <v>41.7</v>
      </c>
      <c r="U238" s="292">
        <v>42.096377560000001</v>
      </c>
      <c r="V238" s="292">
        <v>88.611016770000006</v>
      </c>
      <c r="W238" s="292">
        <f>SUM(S238:V238)</f>
        <v>192.10739433000003</v>
      </c>
      <c r="X238" s="292">
        <v>58.990616410000001</v>
      </c>
      <c r="Y238" s="292">
        <v>53.984707880000002</v>
      </c>
      <c r="Z238" s="292">
        <v>66.229441129999998</v>
      </c>
      <c r="AA238" s="292">
        <v>57.44280886</v>
      </c>
      <c r="AB238" s="292">
        <f>SUM(X238:AA238)</f>
        <v>236.64757428000001</v>
      </c>
      <c r="AC238" s="307"/>
      <c r="AD238" s="307"/>
      <c r="AE238" s="307"/>
      <c r="AF238" s="307"/>
      <c r="AG238" s="307"/>
      <c r="AH238" s="307"/>
      <c r="AI238" s="307"/>
      <c r="AJ238" s="307"/>
      <c r="AK238" s="307"/>
      <c r="AL238" s="307"/>
      <c r="AM238" s="307"/>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row>
    <row r="239" spans="1:59" ht="15.75" customHeight="1" x14ac:dyDescent="0.2">
      <c r="A239" s="289"/>
      <c r="B239" s="289"/>
      <c r="C239" s="307" t="s">
        <v>247</v>
      </c>
      <c r="D239" s="301" t="s">
        <v>146</v>
      </c>
      <c r="E239" s="301" t="s">
        <v>146</v>
      </c>
      <c r="F239" s="301" t="s">
        <v>146</v>
      </c>
      <c r="G239" s="301" t="s">
        <v>146</v>
      </c>
      <c r="H239" s="301" t="s">
        <v>146</v>
      </c>
      <c r="I239" s="301">
        <f t="shared" ref="I239:AB239" si="127">I238/D238-1</f>
        <v>-0.29246242082882046</v>
      </c>
      <c r="J239" s="301">
        <f t="shared" si="127"/>
        <v>0.48870272352063249</v>
      </c>
      <c r="K239" s="301">
        <f t="shared" si="127"/>
        <v>-0.52758846551053107</v>
      </c>
      <c r="L239" s="301">
        <f t="shared" si="127"/>
        <v>-0.58421789030854265</v>
      </c>
      <c r="M239" s="301">
        <f t="shared" si="127"/>
        <v>-0.29697251841926042</v>
      </c>
      <c r="N239" s="301">
        <f t="shared" si="127"/>
        <v>-0.63185686031028088</v>
      </c>
      <c r="O239" s="301">
        <f t="shared" si="127"/>
        <v>-0.6215181244925938</v>
      </c>
      <c r="P239" s="301">
        <f t="shared" si="127"/>
        <v>-0.35933998854287352</v>
      </c>
      <c r="Q239" s="301">
        <f t="shared" si="127"/>
        <v>1.2681286551153637</v>
      </c>
      <c r="R239" s="301">
        <f t="shared" si="127"/>
        <v>-0.28904519675970952</v>
      </c>
      <c r="S239" s="301">
        <f t="shared" si="127"/>
        <v>0.97</v>
      </c>
      <c r="T239" s="301">
        <f t="shared" si="127"/>
        <v>2.3479439346179274</v>
      </c>
      <c r="U239" s="301">
        <f t="shared" si="127"/>
        <v>2.9887234485755494</v>
      </c>
      <c r="V239" s="301">
        <f t="shared" si="127"/>
        <v>1.8412923454132701</v>
      </c>
      <c r="W239" s="301">
        <f t="shared" si="127"/>
        <v>1.9925077083474556</v>
      </c>
      <c r="X239" s="301">
        <f t="shared" si="127"/>
        <v>1.9944475335025382</v>
      </c>
      <c r="Y239" s="301">
        <f t="shared" si="127"/>
        <v>0.29459731127098321</v>
      </c>
      <c r="Z239" s="301">
        <f t="shared" si="127"/>
        <v>0.57328124101897182</v>
      </c>
      <c r="AA239" s="301">
        <f t="shared" si="127"/>
        <v>-0.35174190575987452</v>
      </c>
      <c r="AB239" s="301">
        <f t="shared" si="127"/>
        <v>0.23185041942471685</v>
      </c>
      <c r="AC239" s="289"/>
      <c r="AD239" s="289"/>
      <c r="AE239" s="289"/>
      <c r="AF239" s="289"/>
      <c r="AG239" s="289"/>
      <c r="AH239" s="289"/>
      <c r="AI239" s="289"/>
      <c r="AJ239" s="289"/>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c r="BF239" s="289"/>
      <c r="BG239" s="289"/>
    </row>
    <row r="240" spans="1:59" ht="15.75" customHeight="1" x14ac:dyDescent="0.2">
      <c r="A240" s="190"/>
      <c r="B240" s="190"/>
      <c r="C240" s="190"/>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07"/>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row>
    <row r="241" spans="1:59" ht="15.75" customHeight="1" x14ac:dyDescent="0.2">
      <c r="A241" s="162"/>
      <c r="B241" s="162"/>
      <c r="C241" s="227" t="s">
        <v>25</v>
      </c>
      <c r="D241" s="339" t="s">
        <v>98</v>
      </c>
      <c r="E241" s="339" t="s">
        <v>99</v>
      </c>
      <c r="F241" s="339" t="s">
        <v>100</v>
      </c>
      <c r="G241" s="339" t="s">
        <v>101</v>
      </c>
      <c r="H241" s="229">
        <v>2018</v>
      </c>
      <c r="I241" s="339" t="s">
        <v>102</v>
      </c>
      <c r="J241" s="339" t="s">
        <v>103</v>
      </c>
      <c r="K241" s="339" t="s">
        <v>104</v>
      </c>
      <c r="L241" s="339" t="s">
        <v>105</v>
      </c>
      <c r="M241" s="229">
        <v>2019</v>
      </c>
      <c r="N241" s="339" t="s">
        <v>158</v>
      </c>
      <c r="O241" s="339" t="s">
        <v>107</v>
      </c>
      <c r="P241" s="339" t="s">
        <v>108</v>
      </c>
      <c r="Q241" s="339" t="s">
        <v>109</v>
      </c>
      <c r="R241" s="229">
        <v>2020</v>
      </c>
      <c r="S241" s="339" t="s">
        <v>110</v>
      </c>
      <c r="T241" s="339" t="s">
        <v>111</v>
      </c>
      <c r="U241" s="339" t="s">
        <v>112</v>
      </c>
      <c r="V241" s="339" t="s">
        <v>113</v>
      </c>
      <c r="W241" s="229">
        <v>2021</v>
      </c>
      <c r="X241" s="339" t="s">
        <v>114</v>
      </c>
      <c r="Y241" s="339" t="s">
        <v>115</v>
      </c>
      <c r="Z241" s="339" t="str">
        <f>$Z$4</f>
        <v>3Q22</v>
      </c>
      <c r="AA241" s="339" t="str">
        <f>$AA$4</f>
        <v>4Q22</v>
      </c>
      <c r="AB241" s="229">
        <v>2022</v>
      </c>
      <c r="AC241" s="307"/>
      <c r="AD241" s="307"/>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row>
    <row r="242" spans="1:59" ht="15.75" customHeight="1" x14ac:dyDescent="0.2">
      <c r="A242" s="307"/>
      <c r="B242" s="307"/>
      <c r="C242" s="308" t="s">
        <v>188</v>
      </c>
      <c r="D242" s="292">
        <v>7.6539371999999997</v>
      </c>
      <c r="E242" s="292">
        <v>9.3383706400000186</v>
      </c>
      <c r="F242" s="292">
        <v>9.8674366299999807</v>
      </c>
      <c r="G242" s="292">
        <v>9.4734990700000701</v>
      </c>
      <c r="H242" s="292">
        <v>36.333243540000069</v>
      </c>
      <c r="I242" s="292">
        <v>8.1110761199999999</v>
      </c>
      <c r="J242" s="292">
        <v>8.5174733499999995</v>
      </c>
      <c r="K242" s="292">
        <v>10.354238430000001</v>
      </c>
      <c r="L242" s="292">
        <v>9.5039064700000004</v>
      </c>
      <c r="M242" s="292">
        <v>36.486694369999995</v>
      </c>
      <c r="N242" s="292">
        <v>9.4110153499999996</v>
      </c>
      <c r="O242" s="292">
        <v>10.22864742</v>
      </c>
      <c r="P242" s="292">
        <v>10.665170029999999</v>
      </c>
      <c r="Q242" s="292">
        <v>11.48747103</v>
      </c>
      <c r="R242" s="292">
        <v>41.792303830000002</v>
      </c>
      <c r="S242" s="292">
        <v>11.387311279999999</v>
      </c>
      <c r="T242" s="292">
        <v>11.49110303</v>
      </c>
      <c r="U242" s="292">
        <v>11.85329567</v>
      </c>
      <c r="V242" s="292">
        <v>12.60479204</v>
      </c>
      <c r="W242" s="292">
        <f>SUM(S242:V242)</f>
        <v>47.336502019999998</v>
      </c>
      <c r="X242" s="292">
        <v>11.91454628</v>
      </c>
      <c r="Y242" s="292">
        <v>11.162762710000001</v>
      </c>
      <c r="Z242" s="292">
        <v>14.000591009999999</v>
      </c>
      <c r="AA242" s="292">
        <v>14.122867730000001</v>
      </c>
      <c r="AB242" s="292">
        <f>SUM(X242:AA242)</f>
        <v>51.200767730000003</v>
      </c>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07"/>
    </row>
    <row r="243" spans="1:59" ht="15.75" customHeight="1" x14ac:dyDescent="0.2">
      <c r="A243" s="196"/>
      <c r="B243" s="196"/>
      <c r="C243" s="196" t="s">
        <v>240</v>
      </c>
      <c r="D243" s="301" t="s">
        <v>146</v>
      </c>
      <c r="E243" s="301" t="s">
        <v>146</v>
      </c>
      <c r="F243" s="301" t="s">
        <v>146</v>
      </c>
      <c r="G243" s="301" t="s">
        <v>146</v>
      </c>
      <c r="H243" s="301" t="s">
        <v>146</v>
      </c>
      <c r="I243" s="301">
        <f t="shared" ref="I243:AB243" si="128">I242/D242-1</f>
        <v>5.9725982596251281E-2</v>
      </c>
      <c r="J243" s="301">
        <f t="shared" si="128"/>
        <v>-8.7905837286408772E-2</v>
      </c>
      <c r="K243" s="301">
        <f t="shared" si="128"/>
        <v>4.9334170388284582E-2</v>
      </c>
      <c r="L243" s="301">
        <f t="shared" si="128"/>
        <v>3.2097327265510067E-3</v>
      </c>
      <c r="M243" s="301">
        <f t="shared" si="128"/>
        <v>4.2234277771262541E-3</v>
      </c>
      <c r="N243" s="301">
        <f t="shared" si="128"/>
        <v>0.16026717179914707</v>
      </c>
      <c r="O243" s="301">
        <f t="shared" si="128"/>
        <v>0.20090160540390767</v>
      </c>
      <c r="P243" s="301">
        <f t="shared" si="128"/>
        <v>3.0029403137860511E-2</v>
      </c>
      <c r="Q243" s="301">
        <f t="shared" si="128"/>
        <v>0.20871044620034018</v>
      </c>
      <c r="R243" s="301">
        <f t="shared" si="128"/>
        <v>0.1454121715219665</v>
      </c>
      <c r="S243" s="301">
        <f t="shared" si="128"/>
        <v>0.20999816241931857</v>
      </c>
      <c r="T243" s="301">
        <f t="shared" si="128"/>
        <v>0.12342351419128295</v>
      </c>
      <c r="U243" s="301">
        <f t="shared" si="128"/>
        <v>0.1114024095872761</v>
      </c>
      <c r="V243" s="301">
        <f t="shared" si="128"/>
        <v>9.7264315799540979E-2</v>
      </c>
      <c r="W243" s="301">
        <f t="shared" si="128"/>
        <v>0.1326607456854334</v>
      </c>
      <c r="X243" s="301">
        <f t="shared" si="128"/>
        <v>4.6300218465618492E-2</v>
      </c>
      <c r="Y243" s="301">
        <f t="shared" si="128"/>
        <v>-2.8573438001799789E-2</v>
      </c>
      <c r="Z243" s="301">
        <f t="shared" si="128"/>
        <v>0.18115597550094686</v>
      </c>
      <c r="AA243" s="301">
        <f t="shared" si="128"/>
        <v>0.12043639317352839</v>
      </c>
      <c r="AB243" s="301">
        <f t="shared" si="128"/>
        <v>8.1633951498303103E-2</v>
      </c>
      <c r="AC243" s="312"/>
      <c r="AD243" s="312"/>
      <c r="AE243" s="312"/>
      <c r="AF243" s="312"/>
      <c r="AG243" s="312"/>
      <c r="AH243" s="312"/>
      <c r="AI243" s="312"/>
      <c r="AJ243" s="312"/>
      <c r="AK243" s="312"/>
      <c r="AL243" s="312"/>
      <c r="AM243" s="312"/>
      <c r="AN243" s="312"/>
      <c r="AO243" s="312"/>
      <c r="AP243" s="312"/>
      <c r="AQ243" s="312"/>
      <c r="AR243" s="312"/>
      <c r="AS243" s="312"/>
      <c r="AT243" s="312"/>
      <c r="AU243" s="312"/>
      <c r="AV243" s="312"/>
      <c r="AW243" s="312"/>
      <c r="AX243" s="312"/>
      <c r="AY243" s="312"/>
      <c r="AZ243" s="312"/>
      <c r="BA243" s="312"/>
      <c r="BB243" s="312"/>
      <c r="BC243" s="312"/>
      <c r="BD243" s="312"/>
      <c r="BE243" s="312"/>
      <c r="BF243" s="312"/>
      <c r="BG243" s="312"/>
    </row>
    <row r="244" spans="1:59" ht="15.75" customHeight="1" x14ac:dyDescent="0.2">
      <c r="A244" s="307"/>
      <c r="B244" s="307"/>
      <c r="C244" s="308"/>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row>
    <row r="245" spans="1:59" ht="15.75" customHeight="1" x14ac:dyDescent="0.2">
      <c r="A245" s="307"/>
      <c r="B245" s="307"/>
      <c r="C245" s="335" t="s">
        <v>227</v>
      </c>
      <c r="D245" s="172">
        <f t="shared" ref="D245:AB245" si="129">(D242-D246)*-1</f>
        <v>-8.360826472349002</v>
      </c>
      <c r="E245" s="172">
        <f t="shared" si="129"/>
        <v>-8.4834831622279996</v>
      </c>
      <c r="F245" s="172">
        <f t="shared" si="129"/>
        <v>-8.3079767413710002</v>
      </c>
      <c r="G245" s="172">
        <f t="shared" si="129"/>
        <v>-6.4757556541350247</v>
      </c>
      <c r="H245" s="172">
        <f t="shared" si="129"/>
        <v>-31.628042030083023</v>
      </c>
      <c r="I245" s="172">
        <f t="shared" si="129"/>
        <v>-7.6093296600000002</v>
      </c>
      <c r="J245" s="172">
        <f t="shared" si="129"/>
        <v>-8.1638903000000003</v>
      </c>
      <c r="K245" s="172">
        <f t="shared" si="129"/>
        <v>-7.9413353600000001</v>
      </c>
      <c r="L245" s="172">
        <f t="shared" si="129"/>
        <v>-6.7005450100000008</v>
      </c>
      <c r="M245" s="172">
        <f t="shared" si="129"/>
        <v>-30.415100329999994</v>
      </c>
      <c r="N245" s="172">
        <f t="shared" si="129"/>
        <v>-9.287066639999999</v>
      </c>
      <c r="O245" s="172">
        <f t="shared" si="129"/>
        <v>-6.0635228999999997</v>
      </c>
      <c r="P245" s="172">
        <f t="shared" si="129"/>
        <v>-6.2358483199999988</v>
      </c>
      <c r="Q245" s="172">
        <f t="shared" si="129"/>
        <v>-7.4986215000000005</v>
      </c>
      <c r="R245" s="172">
        <f t="shared" si="129"/>
        <v>-29.085059360000002</v>
      </c>
      <c r="S245" s="172">
        <f t="shared" si="129"/>
        <v>-8.818166269999999</v>
      </c>
      <c r="T245" s="172">
        <f t="shared" si="129"/>
        <v>-8.8032347599999987</v>
      </c>
      <c r="U245" s="172">
        <f t="shared" si="129"/>
        <v>-9.0075724299999997</v>
      </c>
      <c r="V245" s="172">
        <f t="shared" si="129"/>
        <v>-9.7848174300000004</v>
      </c>
      <c r="W245" s="172">
        <f t="shared" si="129"/>
        <v>-36.413790890000001</v>
      </c>
      <c r="X245" s="172">
        <f t="shared" si="129"/>
        <v>-9.0877522699999993</v>
      </c>
      <c r="Y245" s="172">
        <f t="shared" si="129"/>
        <v>-8.3657876600000005</v>
      </c>
      <c r="Z245" s="172">
        <f t="shared" si="129"/>
        <v>-11.90783287</v>
      </c>
      <c r="AA245" s="172">
        <f t="shared" si="129"/>
        <v>-11.227005170000002</v>
      </c>
      <c r="AB245" s="172">
        <f t="shared" si="129"/>
        <v>-40.588377970000003</v>
      </c>
      <c r="AC245" s="307"/>
      <c r="AD245" s="307"/>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07"/>
    </row>
    <row r="246" spans="1:59" ht="15.75" customHeight="1" x14ac:dyDescent="0.2">
      <c r="A246" s="307"/>
      <c r="B246" s="307"/>
      <c r="C246" s="308" t="s">
        <v>189</v>
      </c>
      <c r="D246" s="292">
        <v>-0.70688927234900156</v>
      </c>
      <c r="E246" s="292">
        <v>0.85488747777201957</v>
      </c>
      <c r="F246" s="292">
        <v>1.5594598886289812</v>
      </c>
      <c r="G246" s="292">
        <v>2.9977434158650453</v>
      </c>
      <c r="H246" s="292">
        <v>4.7052015099170443</v>
      </c>
      <c r="I246" s="292">
        <v>0.50174646000000001</v>
      </c>
      <c r="J246" s="292">
        <v>0.35358305000000001</v>
      </c>
      <c r="K246" s="292">
        <v>2.41290307</v>
      </c>
      <c r="L246" s="292">
        <v>2.8033614600000001</v>
      </c>
      <c r="M246" s="292">
        <v>6.0715940400000008</v>
      </c>
      <c r="N246" s="292">
        <v>0.12394871</v>
      </c>
      <c r="O246" s="292">
        <v>4.16512452</v>
      </c>
      <c r="P246" s="292">
        <v>4.42932171</v>
      </c>
      <c r="Q246" s="292">
        <v>3.98884953</v>
      </c>
      <c r="R246" s="292">
        <v>12.707244469999999</v>
      </c>
      <c r="S246" s="292">
        <v>2.5691450099999997</v>
      </c>
      <c r="T246" s="292">
        <v>2.6878682700000001</v>
      </c>
      <c r="U246" s="292">
        <v>2.8457232400000003</v>
      </c>
      <c r="V246" s="292">
        <v>2.81997461</v>
      </c>
      <c r="W246" s="292">
        <f>SUM(S246:V246)</f>
        <v>10.92271113</v>
      </c>
      <c r="X246" s="292">
        <v>2.82679401</v>
      </c>
      <c r="Y246" s="292">
        <v>2.7969750499999999</v>
      </c>
      <c r="Z246" s="292">
        <v>2.0927581399999999</v>
      </c>
      <c r="AA246" s="292">
        <v>2.8958625599999999</v>
      </c>
      <c r="AB246" s="292">
        <f>SUM(X246:AA246)</f>
        <v>10.612389759999999</v>
      </c>
      <c r="AC246" s="307"/>
      <c r="AD246" s="307"/>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row>
    <row r="247" spans="1:59" ht="15.75" customHeight="1" x14ac:dyDescent="0.2">
      <c r="A247" s="312"/>
      <c r="B247" s="312"/>
      <c r="C247" s="313" t="s">
        <v>222</v>
      </c>
      <c r="D247" s="301">
        <f t="shared" ref="D247:AB247" si="130">D246/D242</f>
        <v>-9.2356293745002455E-2</v>
      </c>
      <c r="E247" s="301">
        <f t="shared" si="130"/>
        <v>9.1545678655138268E-2</v>
      </c>
      <c r="F247" s="301">
        <f t="shared" si="130"/>
        <v>0.15804103407036366</v>
      </c>
      <c r="G247" s="301">
        <f t="shared" si="130"/>
        <v>0.31643465563405848</v>
      </c>
      <c r="H247" s="301">
        <f t="shared" si="130"/>
        <v>0.12950127903491424</v>
      </c>
      <c r="I247" s="301">
        <f t="shared" si="130"/>
        <v>6.1859419462580507E-2</v>
      </c>
      <c r="J247" s="301">
        <f t="shared" si="130"/>
        <v>4.1512668777531313E-2</v>
      </c>
      <c r="K247" s="301">
        <f t="shared" si="130"/>
        <v>0.23303530108104725</v>
      </c>
      <c r="L247" s="301">
        <f t="shared" si="130"/>
        <v>0.29496938641484755</v>
      </c>
      <c r="M247" s="301">
        <f t="shared" si="130"/>
        <v>0.16640570336215968</v>
      </c>
      <c r="N247" s="301">
        <f t="shared" si="130"/>
        <v>1.3170599068250379E-2</v>
      </c>
      <c r="O247" s="301">
        <f t="shared" si="130"/>
        <v>0.40720188593615636</v>
      </c>
      <c r="P247" s="301">
        <f t="shared" si="130"/>
        <v>0.41530718193341365</v>
      </c>
      <c r="Q247" s="301">
        <f t="shared" si="130"/>
        <v>0.34723478471309799</v>
      </c>
      <c r="R247" s="301">
        <f t="shared" si="130"/>
        <v>0.30405704652439591</v>
      </c>
      <c r="S247" s="301">
        <f t="shared" si="130"/>
        <v>0.22561471683946099</v>
      </c>
      <c r="T247" s="301">
        <f t="shared" si="130"/>
        <v>0.2339086389690129</v>
      </c>
      <c r="U247" s="301">
        <f t="shared" si="130"/>
        <v>0.24007865147600763</v>
      </c>
      <c r="V247" s="301">
        <f t="shared" si="130"/>
        <v>0.22372242247639654</v>
      </c>
      <c r="W247" s="301">
        <f t="shared" si="130"/>
        <v>0.23074605566302892</v>
      </c>
      <c r="X247" s="301">
        <f t="shared" si="130"/>
        <v>0.23725569934166221</v>
      </c>
      <c r="Y247" s="301">
        <f t="shared" si="130"/>
        <v>0.25056297644796927</v>
      </c>
      <c r="Z247" s="301">
        <f t="shared" si="130"/>
        <v>0.14947641413889143</v>
      </c>
      <c r="AA247" s="301">
        <f t="shared" si="130"/>
        <v>0.20504777183805004</v>
      </c>
      <c r="AB247" s="301">
        <f t="shared" si="130"/>
        <v>0.20727012954108293</v>
      </c>
      <c r="AC247" s="307"/>
      <c r="AD247" s="307"/>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row>
    <row r="248" spans="1:59" ht="15.75" customHeight="1" x14ac:dyDescent="0.2">
      <c r="A248" s="190"/>
      <c r="B248" s="190"/>
      <c r="C248" s="190" t="s">
        <v>241</v>
      </c>
      <c r="D248" s="301" t="s">
        <v>146</v>
      </c>
      <c r="E248" s="301" t="s">
        <v>146</v>
      </c>
      <c r="F248" s="301" t="s">
        <v>146</v>
      </c>
      <c r="G248" s="301" t="s">
        <v>146</v>
      </c>
      <c r="H248" s="301" t="s">
        <v>146</v>
      </c>
      <c r="I248" s="301">
        <f t="shared" ref="I248:AB248" si="131">I246/D246-1</f>
        <v>-1.70979498434414</v>
      </c>
      <c r="J248" s="301">
        <f t="shared" si="131"/>
        <v>-0.58639814104951349</v>
      </c>
      <c r="K248" s="301">
        <f t="shared" si="131"/>
        <v>0.54726844056331214</v>
      </c>
      <c r="L248" s="301">
        <f t="shared" si="131"/>
        <v>-6.4842759669260563E-2</v>
      </c>
      <c r="M248" s="301">
        <f t="shared" si="131"/>
        <v>0.29040042752750184</v>
      </c>
      <c r="N248" s="301">
        <f t="shared" si="131"/>
        <v>-0.75296545191370157</v>
      </c>
      <c r="O248" s="301">
        <f t="shared" si="131"/>
        <v>10.779762972235236</v>
      </c>
      <c r="P248" s="301">
        <f t="shared" si="131"/>
        <v>0.83568157588692515</v>
      </c>
      <c r="Q248" s="301">
        <f t="shared" si="131"/>
        <v>0.42288091882378942</v>
      </c>
      <c r="R248" s="301">
        <f t="shared" si="131"/>
        <v>1.0929008735241457</v>
      </c>
      <c r="S248" s="301">
        <f t="shared" si="131"/>
        <v>19.727484860471719</v>
      </c>
      <c r="T248" s="301">
        <f t="shared" si="131"/>
        <v>-0.35467276978312279</v>
      </c>
      <c r="U248" s="301">
        <f t="shared" si="131"/>
        <v>-0.35752617978159906</v>
      </c>
      <c r="V248" s="301">
        <f t="shared" si="131"/>
        <v>-0.29303560116994432</v>
      </c>
      <c r="W248" s="301">
        <f t="shared" si="131"/>
        <v>-0.14043432816713564</v>
      </c>
      <c r="X248" s="301">
        <f t="shared" si="131"/>
        <v>0.10028589238721097</v>
      </c>
      <c r="Y248" s="301">
        <f t="shared" si="131"/>
        <v>4.0592309235452095E-2</v>
      </c>
      <c r="Z248" s="301">
        <f t="shared" si="131"/>
        <v>-0.26459533710664018</v>
      </c>
      <c r="AA248" s="301">
        <f t="shared" si="131"/>
        <v>2.6910862860570095E-2</v>
      </c>
      <c r="AB248" s="301">
        <f t="shared" si="131"/>
        <v>-2.8410654306116445E-2</v>
      </c>
      <c r="AC248" s="312"/>
      <c r="AD248" s="312"/>
      <c r="AE248" s="312"/>
      <c r="AF248" s="312"/>
      <c r="AG248" s="312"/>
      <c r="AH248" s="312"/>
      <c r="AI248" s="312"/>
      <c r="AJ248" s="312"/>
      <c r="AK248" s="312"/>
      <c r="AL248" s="312"/>
      <c r="AM248" s="312"/>
      <c r="AN248" s="312"/>
      <c r="AO248" s="312"/>
      <c r="AP248" s="312"/>
      <c r="AQ248" s="312"/>
      <c r="AR248" s="312"/>
      <c r="AS248" s="312"/>
      <c r="AT248" s="312"/>
      <c r="AU248" s="312"/>
      <c r="AV248" s="312"/>
      <c r="AW248" s="312"/>
      <c r="AX248" s="312"/>
      <c r="AY248" s="312"/>
      <c r="AZ248" s="312"/>
      <c r="BA248" s="312"/>
      <c r="BB248" s="312"/>
      <c r="BC248" s="312"/>
      <c r="BD248" s="312"/>
      <c r="BE248" s="312"/>
      <c r="BF248" s="312"/>
      <c r="BG248" s="312"/>
    </row>
    <row r="249" spans="1:59" ht="15.75" customHeight="1" x14ac:dyDescent="0.2">
      <c r="A249" s="307"/>
      <c r="B249" s="307"/>
      <c r="C249" s="308"/>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07"/>
    </row>
    <row r="250" spans="1:59" ht="15.75" customHeight="1" x14ac:dyDescent="0.2">
      <c r="A250" s="268"/>
      <c r="B250" s="268"/>
      <c r="C250" s="307" t="s">
        <v>242</v>
      </c>
      <c r="D250" s="292">
        <f t="shared" ref="D250:AB250" si="132">D253-D246</f>
        <v>-0.19097253467500008</v>
      </c>
      <c r="E250" s="292">
        <f t="shared" si="132"/>
        <v>-0.21268620571899999</v>
      </c>
      <c r="F250" s="292">
        <f t="shared" si="132"/>
        <v>-0.23192357554999976</v>
      </c>
      <c r="G250" s="292">
        <f t="shared" si="132"/>
        <v>-0.20824632502500018</v>
      </c>
      <c r="H250" s="292">
        <f t="shared" si="132"/>
        <v>-0.8438286409689999</v>
      </c>
      <c r="I250" s="292">
        <f t="shared" si="132"/>
        <v>-0.43351654000000001</v>
      </c>
      <c r="J250" s="292">
        <f t="shared" si="132"/>
        <v>-0.7092811</v>
      </c>
      <c r="K250" s="292">
        <f t="shared" si="132"/>
        <v>-0.13631819000000034</v>
      </c>
      <c r="L250" s="292">
        <f t="shared" si="132"/>
        <v>-0.44206829999999986</v>
      </c>
      <c r="M250" s="292">
        <f t="shared" si="132"/>
        <v>-1.721184130000001</v>
      </c>
      <c r="N250" s="292">
        <f t="shared" si="132"/>
        <v>-0.38615556000000001</v>
      </c>
      <c r="O250" s="292">
        <f t="shared" si="132"/>
        <v>-0.51183478999999998</v>
      </c>
      <c r="P250" s="292">
        <f t="shared" si="132"/>
        <v>-0.43177478999999996</v>
      </c>
      <c r="Q250" s="292">
        <f t="shared" si="132"/>
        <v>-0.42014188000000008</v>
      </c>
      <c r="R250" s="292">
        <f t="shared" si="132"/>
        <v>-1.7499070199999984</v>
      </c>
      <c r="S250" s="292">
        <f t="shared" si="132"/>
        <v>-0.43762104999999973</v>
      </c>
      <c r="T250" s="292">
        <f t="shared" si="132"/>
        <v>-0.40522814000000018</v>
      </c>
      <c r="U250" s="292">
        <f t="shared" si="132"/>
        <v>-0.33943462000000002</v>
      </c>
      <c r="V250" s="292">
        <f t="shared" si="132"/>
        <v>-0.35117413999999991</v>
      </c>
      <c r="W250" s="292">
        <f t="shared" si="132"/>
        <v>-1.533457949999999</v>
      </c>
      <c r="X250" s="292">
        <f t="shared" si="132"/>
        <v>-0.34818572999999997</v>
      </c>
      <c r="Y250" s="292">
        <f t="shared" si="132"/>
        <v>-0.42605441999999982</v>
      </c>
      <c r="Z250" s="292">
        <f t="shared" si="132"/>
        <v>-0.42528502999999973</v>
      </c>
      <c r="AA250" s="292">
        <f t="shared" si="132"/>
        <v>-0.37536437999999972</v>
      </c>
      <c r="AB250" s="292">
        <f t="shared" si="132"/>
        <v>-1.574889559999999</v>
      </c>
      <c r="AC250" s="268"/>
      <c r="AD250" s="268"/>
      <c r="AE250" s="268"/>
      <c r="AF250" s="268"/>
      <c r="AG250" s="268"/>
      <c r="AH250" s="268"/>
      <c r="AI250" s="268"/>
      <c r="AJ250" s="268"/>
      <c r="AK250" s="268"/>
      <c r="AL250" s="268"/>
      <c r="AM250" s="268"/>
      <c r="AN250" s="268"/>
      <c r="AO250" s="268"/>
      <c r="AP250" s="268"/>
      <c r="AQ250" s="268"/>
      <c r="AR250" s="268"/>
      <c r="AS250" s="268"/>
      <c r="AT250" s="268"/>
      <c r="AU250" s="268"/>
      <c r="AV250" s="268"/>
      <c r="AW250" s="268"/>
      <c r="AX250" s="268"/>
      <c r="AY250" s="268"/>
      <c r="AZ250" s="268"/>
      <c r="BA250" s="268"/>
      <c r="BB250" s="268"/>
      <c r="BC250" s="268"/>
      <c r="BD250" s="268"/>
      <c r="BE250" s="268"/>
      <c r="BF250" s="268"/>
      <c r="BG250" s="268"/>
    </row>
    <row r="251" spans="1:59" ht="15.75" customHeight="1" x14ac:dyDescent="0.2">
      <c r="A251" s="268"/>
      <c r="B251" s="268"/>
      <c r="C251" s="307" t="s">
        <v>243</v>
      </c>
      <c r="D251" s="301" t="s">
        <v>146</v>
      </c>
      <c r="E251" s="301" t="s">
        <v>146</v>
      </c>
      <c r="F251" s="301" t="s">
        <v>146</v>
      </c>
      <c r="G251" s="301" t="s">
        <v>146</v>
      </c>
      <c r="H251" s="301" t="s">
        <v>146</v>
      </c>
      <c r="I251" s="301">
        <f t="shared" ref="I251:AB251" si="133">I250/D250-1</f>
        <v>1.2700465317579042</v>
      </c>
      <c r="J251" s="301">
        <f t="shared" si="133"/>
        <v>2.3348711901753463</v>
      </c>
      <c r="K251" s="301">
        <f t="shared" si="133"/>
        <v>-0.41222797347477136</v>
      </c>
      <c r="L251" s="301">
        <f t="shared" si="133"/>
        <v>1.1228144119562691</v>
      </c>
      <c r="M251" s="301">
        <f t="shared" si="133"/>
        <v>1.0397318204600179</v>
      </c>
      <c r="N251" s="301">
        <f t="shared" si="133"/>
        <v>-0.10924838069615517</v>
      </c>
      <c r="O251" s="301">
        <f t="shared" si="133"/>
        <v>-0.27837525911799987</v>
      </c>
      <c r="P251" s="301">
        <f t="shared" si="133"/>
        <v>2.167404071312852</v>
      </c>
      <c r="Q251" s="301">
        <f t="shared" si="133"/>
        <v>-4.9599620692096225E-2</v>
      </c>
      <c r="R251" s="301">
        <f t="shared" si="133"/>
        <v>1.6687865928671552E-2</v>
      </c>
      <c r="S251" s="301">
        <f t="shared" si="133"/>
        <v>0.13327657382428915</v>
      </c>
      <c r="T251" s="301">
        <f t="shared" si="133"/>
        <v>-0.20828332126466009</v>
      </c>
      <c r="U251" s="301">
        <f t="shared" si="133"/>
        <v>-0.213861883877009</v>
      </c>
      <c r="V251" s="301">
        <f t="shared" si="133"/>
        <v>-0.16415345216239841</v>
      </c>
      <c r="W251" s="301">
        <f t="shared" si="133"/>
        <v>-0.12369175477677641</v>
      </c>
      <c r="X251" s="301">
        <f t="shared" si="133"/>
        <v>-0.20436704313012322</v>
      </c>
      <c r="Y251" s="301">
        <f t="shared" si="133"/>
        <v>5.1393962916789659E-2</v>
      </c>
      <c r="Z251" s="301">
        <f t="shared" si="133"/>
        <v>0.25292178505539509</v>
      </c>
      <c r="AA251" s="301">
        <f t="shared" si="133"/>
        <v>6.8883887634778151E-2</v>
      </c>
      <c r="AB251" s="301">
        <f t="shared" si="133"/>
        <v>2.7018419383459502E-2</v>
      </c>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8"/>
      <c r="AY251" s="268"/>
      <c r="AZ251" s="268"/>
      <c r="BA251" s="268"/>
      <c r="BB251" s="268"/>
      <c r="BC251" s="268"/>
      <c r="BD251" s="268"/>
      <c r="BE251" s="268"/>
      <c r="BF251" s="268"/>
      <c r="BG251" s="268"/>
    </row>
    <row r="252" spans="1:59" ht="15.75" customHeight="1" x14ac:dyDescent="0.2">
      <c r="A252" s="307"/>
      <c r="B252" s="307"/>
      <c r="C252" s="308"/>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307"/>
      <c r="AD252" s="307"/>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07"/>
    </row>
    <row r="253" spans="1:59" ht="15.75" customHeight="1" x14ac:dyDescent="0.2">
      <c r="A253" s="307"/>
      <c r="B253" s="307"/>
      <c r="C253" s="308" t="s">
        <v>190</v>
      </c>
      <c r="D253" s="292">
        <v>-0.89786180702400165</v>
      </c>
      <c r="E253" s="292">
        <v>0.64220127205301958</v>
      </c>
      <c r="F253" s="292">
        <v>1.3275363130789815</v>
      </c>
      <c r="G253" s="292">
        <v>2.7894970908400452</v>
      </c>
      <c r="H253" s="292">
        <v>3.8613728689480444</v>
      </c>
      <c r="I253" s="292">
        <v>6.8229919999999999E-2</v>
      </c>
      <c r="J253" s="292">
        <v>-0.35569804999999999</v>
      </c>
      <c r="K253" s="292">
        <v>2.2765848799999997</v>
      </c>
      <c r="L253" s="292">
        <v>2.3612931600000002</v>
      </c>
      <c r="M253" s="292">
        <v>4.3504099099999998</v>
      </c>
      <c r="N253" s="292">
        <v>-0.26220684999999999</v>
      </c>
      <c r="O253" s="292">
        <v>3.65328973</v>
      </c>
      <c r="P253" s="292">
        <v>3.99754692</v>
      </c>
      <c r="Q253" s="292">
        <v>3.5687076499999999</v>
      </c>
      <c r="R253" s="292">
        <v>10.957337450000001</v>
      </c>
      <c r="S253" s="292">
        <v>2.13152396</v>
      </c>
      <c r="T253" s="292">
        <v>2.2826401299999999</v>
      </c>
      <c r="U253" s="292">
        <v>2.5062886200000003</v>
      </c>
      <c r="V253" s="292">
        <v>2.4688004700000001</v>
      </c>
      <c r="W253" s="292">
        <f>SUM(S253:V253)</f>
        <v>9.3892531800000008</v>
      </c>
      <c r="X253" s="292">
        <v>2.47860828</v>
      </c>
      <c r="Y253" s="292">
        <v>2.3709206300000001</v>
      </c>
      <c r="Z253" s="292">
        <v>1.6674731100000002</v>
      </c>
      <c r="AA253" s="292">
        <v>2.5204981800000001</v>
      </c>
      <c r="AB253" s="292">
        <f>SUM(X253:AA253)</f>
        <v>9.0375002000000002</v>
      </c>
      <c r="AC253" s="307"/>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row>
    <row r="254" spans="1:59" ht="15.75" customHeight="1" x14ac:dyDescent="0.2">
      <c r="A254" s="312"/>
      <c r="B254" s="312"/>
      <c r="C254" s="313" t="s">
        <v>244</v>
      </c>
      <c r="D254" s="301">
        <f t="shared" ref="D254:AB254" si="134">D253/D242</f>
        <v>-0.11730718237719558</v>
      </c>
      <c r="E254" s="301">
        <f t="shared" si="134"/>
        <v>6.8770163105564885E-2</v>
      </c>
      <c r="F254" s="301">
        <f t="shared" si="134"/>
        <v>0.13453710045047274</v>
      </c>
      <c r="G254" s="301">
        <f t="shared" si="134"/>
        <v>0.29445266951823584</v>
      </c>
      <c r="H254" s="301">
        <f t="shared" si="134"/>
        <v>0.1062765801433878</v>
      </c>
      <c r="I254" s="301">
        <f t="shared" si="134"/>
        <v>8.4119442341024416E-3</v>
      </c>
      <c r="J254" s="301">
        <f t="shared" si="134"/>
        <v>-4.1760981852675828E-2</v>
      </c>
      <c r="K254" s="301">
        <f t="shared" si="134"/>
        <v>0.2198698528521329</v>
      </c>
      <c r="L254" s="301">
        <f t="shared" si="134"/>
        <v>0.2484550082067464</v>
      </c>
      <c r="M254" s="301">
        <f t="shared" si="134"/>
        <v>0.11923277745810219</v>
      </c>
      <c r="N254" s="301">
        <f t="shared" si="134"/>
        <v>-2.7861696134625899E-2</v>
      </c>
      <c r="O254" s="301">
        <f t="shared" si="134"/>
        <v>0.3571625435887788</v>
      </c>
      <c r="P254" s="301">
        <f t="shared" si="134"/>
        <v>0.37482261499397779</v>
      </c>
      <c r="Q254" s="301">
        <f t="shared" si="134"/>
        <v>0.31066086179283275</v>
      </c>
      <c r="R254" s="301">
        <f t="shared" si="134"/>
        <v>0.26218553288116253</v>
      </c>
      <c r="S254" s="301">
        <f t="shared" si="134"/>
        <v>0.18718413044031587</v>
      </c>
      <c r="T254" s="301">
        <f t="shared" si="134"/>
        <v>0.19864412702946585</v>
      </c>
      <c r="U254" s="301">
        <f t="shared" si="134"/>
        <v>0.21144234395023745</v>
      </c>
      <c r="V254" s="301">
        <f t="shared" si="134"/>
        <v>0.19586205485703517</v>
      </c>
      <c r="W254" s="301">
        <f t="shared" si="134"/>
        <v>0.19835122536162425</v>
      </c>
      <c r="X254" s="301">
        <f t="shared" si="134"/>
        <v>0.20803211651967329</v>
      </c>
      <c r="Y254" s="301">
        <f t="shared" si="134"/>
        <v>0.21239550562837323</v>
      </c>
      <c r="Z254" s="301">
        <f t="shared" si="134"/>
        <v>0.11910019432815361</v>
      </c>
      <c r="AA254" s="301">
        <f t="shared" si="134"/>
        <v>0.17846929024520433</v>
      </c>
      <c r="AB254" s="301">
        <f t="shared" si="134"/>
        <v>0.17651102904663418</v>
      </c>
      <c r="AC254" s="307"/>
      <c r="AD254" s="307"/>
      <c r="AE254" s="307"/>
      <c r="AF254" s="307"/>
      <c r="AG254" s="307"/>
      <c r="AH254" s="307"/>
      <c r="AI254" s="307"/>
      <c r="AJ254" s="307"/>
      <c r="AK254" s="307"/>
      <c r="AL254" s="307"/>
      <c r="AM254" s="307"/>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row>
    <row r="255" spans="1:59" ht="15.75" customHeight="1" x14ac:dyDescent="0.2">
      <c r="A255" s="307"/>
      <c r="B255" s="307"/>
      <c r="C255" s="190" t="s">
        <v>245</v>
      </c>
      <c r="D255" s="301" t="s">
        <v>146</v>
      </c>
      <c r="E255" s="301" t="s">
        <v>146</v>
      </c>
      <c r="F255" s="301" t="s">
        <v>146</v>
      </c>
      <c r="G255" s="301" t="s">
        <v>146</v>
      </c>
      <c r="H255" s="301" t="s">
        <v>146</v>
      </c>
      <c r="I255" s="301">
        <f t="shared" ref="I255:AB255" si="135">I253/D253-1</f>
        <v>-1.075991560690337</v>
      </c>
      <c r="J255" s="301">
        <f t="shared" si="135"/>
        <v>-1.5538731632575058</v>
      </c>
      <c r="K255" s="301">
        <f t="shared" si="135"/>
        <v>0.71489461913088537</v>
      </c>
      <c r="L255" s="301">
        <f t="shared" si="135"/>
        <v>-0.15350578147084326</v>
      </c>
      <c r="M255" s="301">
        <f t="shared" si="135"/>
        <v>0.12664848944908647</v>
      </c>
      <c r="N255" s="301">
        <f t="shared" si="135"/>
        <v>-4.842989263361293</v>
      </c>
      <c r="O255" s="301">
        <f t="shared" si="135"/>
        <v>-11.270761197594421</v>
      </c>
      <c r="P255" s="301">
        <f t="shared" si="135"/>
        <v>0.7559402046103374</v>
      </c>
      <c r="Q255" s="301">
        <f t="shared" si="135"/>
        <v>0.51133612312670218</v>
      </c>
      <c r="R255" s="301">
        <f t="shared" si="135"/>
        <v>1.51869080768989</v>
      </c>
      <c r="S255" s="301">
        <f t="shared" si="135"/>
        <v>-9.1291696231429498</v>
      </c>
      <c r="T255" s="301">
        <f t="shared" si="135"/>
        <v>-0.37518228810174337</v>
      </c>
      <c r="U255" s="301">
        <f t="shared" si="135"/>
        <v>-0.37304335129604926</v>
      </c>
      <c r="V255" s="301">
        <f t="shared" si="135"/>
        <v>-0.30820882175652575</v>
      </c>
      <c r="W255" s="301">
        <f t="shared" si="135"/>
        <v>-0.14310814804740724</v>
      </c>
      <c r="X255" s="301">
        <f t="shared" si="135"/>
        <v>0.16283388153891543</v>
      </c>
      <c r="Y255" s="301">
        <f t="shared" si="135"/>
        <v>3.8674734067695615E-2</v>
      </c>
      <c r="Z255" s="301">
        <f t="shared" si="135"/>
        <v>-0.33468432298910566</v>
      </c>
      <c r="AA255" s="301">
        <f t="shared" si="135"/>
        <v>2.0940416460630384E-2</v>
      </c>
      <c r="AB255" s="301">
        <f t="shared" si="135"/>
        <v>-3.7463360850601757E-2</v>
      </c>
      <c r="AC255" s="307"/>
      <c r="AD255" s="307"/>
      <c r="AE255" s="307"/>
      <c r="AF255" s="307"/>
      <c r="AG255" s="307"/>
      <c r="AH255" s="307"/>
      <c r="AI255" s="307"/>
      <c r="AJ255" s="307"/>
      <c r="AK255" s="307"/>
      <c r="AL255" s="307"/>
      <c r="AM255" s="307"/>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row>
    <row r="256" spans="1:59" ht="15.75" customHeight="1" x14ac:dyDescent="0.2">
      <c r="A256" s="307"/>
      <c r="B256" s="307"/>
      <c r="C256" s="308" t="s">
        <v>246</v>
      </c>
      <c r="D256" s="292">
        <v>9.2010773401000001E-2</v>
      </c>
      <c r="E256" s="292">
        <v>8.5741221065000012E-2</v>
      </c>
      <c r="F256" s="292">
        <v>4.0058312036000014E-2</v>
      </c>
      <c r="G256" s="292">
        <v>3.2504339490999991E-2</v>
      </c>
      <c r="H256" s="292">
        <f>SUM(D256:G256)</f>
        <v>0.25031464599300002</v>
      </c>
      <c r="I256" s="292">
        <v>7.1822440000000001E-2</v>
      </c>
      <c r="J256" s="292">
        <v>0</v>
      </c>
      <c r="K256" s="292">
        <v>0.50864787</v>
      </c>
      <c r="L256" s="292">
        <v>0.12040613</v>
      </c>
      <c r="M256" s="292">
        <f>SUM(I256:L256)</f>
        <v>0.70087644000000004</v>
      </c>
      <c r="N256" s="292">
        <v>0.5</v>
      </c>
      <c r="O256" s="292">
        <v>0.13039134999999999</v>
      </c>
      <c r="P256" s="292">
        <v>0.20134960999999998</v>
      </c>
      <c r="Q256" s="292">
        <v>0.15211810000000001</v>
      </c>
      <c r="R256" s="292">
        <f>SUM(N256:Q256)</f>
        <v>0.98385906000000001</v>
      </c>
      <c r="S256" s="292">
        <v>0.1</v>
      </c>
      <c r="T256" s="292">
        <v>7.0000000000000007E-2</v>
      </c>
      <c r="U256" s="292">
        <v>0.26326114</v>
      </c>
      <c r="V256" s="292">
        <v>7.5282409999999994E-2</v>
      </c>
      <c r="W256" s="292">
        <f>SUM(S256:V256)</f>
        <v>0.50854355000000007</v>
      </c>
      <c r="X256" s="292">
        <v>5.5181510000000003E-2</v>
      </c>
      <c r="Y256" s="292">
        <v>0.28988016</v>
      </c>
      <c r="Z256" s="292">
        <v>0.34862956000000001</v>
      </c>
      <c r="AA256" s="292">
        <v>0.19710276000000002</v>
      </c>
      <c r="AB256" s="292">
        <f>SUM(X256:AA256)</f>
        <v>0.89079399000000004</v>
      </c>
      <c r="AC256" s="307"/>
      <c r="AD256" s="307"/>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row>
    <row r="257" spans="1:59" ht="15.75" customHeight="1" x14ac:dyDescent="0.2">
      <c r="A257" s="289"/>
      <c r="B257" s="289"/>
      <c r="C257" s="307" t="s">
        <v>247</v>
      </c>
      <c r="D257" s="301" t="s">
        <v>146</v>
      </c>
      <c r="E257" s="301" t="s">
        <v>146</v>
      </c>
      <c r="F257" s="301" t="s">
        <v>146</v>
      </c>
      <c r="G257" s="301" t="s">
        <v>146</v>
      </c>
      <c r="H257" s="301" t="s">
        <v>146</v>
      </c>
      <c r="I257" s="301">
        <f t="shared" ref="I257:AB257" si="136">IFERROR((I256/D256-1),"0")</f>
        <v>-0.21941271282456787</v>
      </c>
      <c r="J257" s="301">
        <f t="shared" si="136"/>
        <v>-1</v>
      </c>
      <c r="K257" s="301">
        <f t="shared" si="136"/>
        <v>11.697686051845697</v>
      </c>
      <c r="L257" s="301">
        <f t="shared" si="136"/>
        <v>2.7043093902381501</v>
      </c>
      <c r="M257" s="301">
        <f t="shared" si="136"/>
        <v>1.7999817478502629</v>
      </c>
      <c r="N257" s="301">
        <f t="shared" si="136"/>
        <v>5.9616125545163881</v>
      </c>
      <c r="O257" s="301" t="str">
        <f t="shared" si="136"/>
        <v>0</v>
      </c>
      <c r="P257" s="301">
        <f t="shared" si="136"/>
        <v>-0.60414734460600417</v>
      </c>
      <c r="Q257" s="301">
        <f t="shared" si="136"/>
        <v>0.2633750457721713</v>
      </c>
      <c r="R257" s="301">
        <f t="shared" si="136"/>
        <v>0.40375536093066544</v>
      </c>
      <c r="S257" s="301">
        <f t="shared" si="136"/>
        <v>-0.8</v>
      </c>
      <c r="T257" s="301">
        <f t="shared" si="136"/>
        <v>-0.46315457275348393</v>
      </c>
      <c r="U257" s="301">
        <f t="shared" si="136"/>
        <v>0.30748274108899443</v>
      </c>
      <c r="V257" s="301">
        <f t="shared" si="136"/>
        <v>-0.50510550683975153</v>
      </c>
      <c r="W257" s="301">
        <f t="shared" si="136"/>
        <v>-0.48311341463888124</v>
      </c>
      <c r="X257" s="301">
        <f t="shared" si="136"/>
        <v>-0.4481849</v>
      </c>
      <c r="Y257" s="301">
        <f t="shared" si="136"/>
        <v>3.1411451428571429</v>
      </c>
      <c r="Z257" s="301">
        <f t="shared" si="136"/>
        <v>0.32427277341426075</v>
      </c>
      <c r="AA257" s="301">
        <f t="shared" si="136"/>
        <v>1.6181781374958644</v>
      </c>
      <c r="AB257" s="301">
        <f t="shared" si="136"/>
        <v>0.75165723761514602</v>
      </c>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row>
    <row r="258" spans="1:59" ht="15.75" customHeight="1" x14ac:dyDescent="0.2">
      <c r="A258" s="329"/>
      <c r="B258" s="329"/>
      <c r="C258" s="340"/>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c r="AA258" s="337"/>
      <c r="AB258" s="337"/>
      <c r="AC258" s="268"/>
      <c r="AD258" s="268"/>
      <c r="AE258" s="268"/>
      <c r="AF258" s="268"/>
      <c r="AG258" s="268"/>
      <c r="AH258" s="268"/>
      <c r="AI258" s="268"/>
      <c r="AJ258" s="268"/>
      <c r="AK258" s="268"/>
      <c r="AL258" s="268"/>
      <c r="AM258" s="268"/>
      <c r="AN258" s="268"/>
      <c r="AO258" s="268"/>
      <c r="AP258" s="268"/>
      <c r="AQ258" s="268"/>
      <c r="AR258" s="268"/>
      <c r="AS258" s="268"/>
      <c r="AT258" s="268"/>
      <c r="AU258" s="268"/>
      <c r="AV258" s="268"/>
      <c r="AW258" s="268"/>
      <c r="AX258" s="268"/>
      <c r="AY258" s="268"/>
      <c r="AZ258" s="268"/>
      <c r="BA258" s="268"/>
      <c r="BB258" s="268"/>
      <c r="BC258" s="268"/>
      <c r="BD258" s="268"/>
      <c r="BE258" s="268"/>
      <c r="BF258" s="268"/>
      <c r="BG258" s="268"/>
    </row>
    <row r="259" spans="1:59" ht="15.75" customHeight="1" x14ac:dyDescent="0.2">
      <c r="A259" s="162"/>
      <c r="B259" s="162"/>
      <c r="C259" s="227" t="s">
        <v>29</v>
      </c>
      <c r="D259" s="339" t="s">
        <v>98</v>
      </c>
      <c r="E259" s="339" t="s">
        <v>99</v>
      </c>
      <c r="F259" s="339" t="s">
        <v>100</v>
      </c>
      <c r="G259" s="339" t="s">
        <v>101</v>
      </c>
      <c r="H259" s="229">
        <v>2018</v>
      </c>
      <c r="I259" s="339" t="s">
        <v>102</v>
      </c>
      <c r="J259" s="339" t="s">
        <v>103</v>
      </c>
      <c r="K259" s="339" t="s">
        <v>104</v>
      </c>
      <c r="L259" s="339" t="s">
        <v>105</v>
      </c>
      <c r="M259" s="229">
        <v>2019</v>
      </c>
      <c r="N259" s="339" t="s">
        <v>158</v>
      </c>
      <c r="O259" s="339" t="s">
        <v>107</v>
      </c>
      <c r="P259" s="339" t="s">
        <v>108</v>
      </c>
      <c r="Q259" s="339" t="s">
        <v>109</v>
      </c>
      <c r="R259" s="229">
        <v>2020</v>
      </c>
      <c r="S259" s="339" t="s">
        <v>110</v>
      </c>
      <c r="T259" s="339" t="s">
        <v>111</v>
      </c>
      <c r="U259" s="339" t="s">
        <v>112</v>
      </c>
      <c r="V259" s="339" t="s">
        <v>113</v>
      </c>
      <c r="W259" s="229">
        <v>2021</v>
      </c>
      <c r="X259" s="339" t="s">
        <v>114</v>
      </c>
      <c r="Y259" s="339" t="s">
        <v>115</v>
      </c>
      <c r="Z259" s="339" t="str">
        <f>$Z$4</f>
        <v>3Q22</v>
      </c>
      <c r="AA259" s="339" t="str">
        <f>$AA$4</f>
        <v>4Q22</v>
      </c>
      <c r="AB259" s="229">
        <v>2022</v>
      </c>
      <c r="AC259" s="307"/>
      <c r="AD259" s="307"/>
      <c r="AE259" s="307"/>
      <c r="AF259" s="307"/>
      <c r="AG259" s="307"/>
      <c r="AH259" s="307"/>
      <c r="AI259" s="307"/>
      <c r="AJ259" s="307"/>
      <c r="AK259" s="307"/>
      <c r="AL259" s="307"/>
      <c r="AM259" s="307"/>
      <c r="AN259" s="307"/>
      <c r="AO259" s="307"/>
      <c r="AP259" s="307"/>
      <c r="AQ259" s="307"/>
      <c r="AR259" s="307"/>
      <c r="AS259" s="307"/>
      <c r="AT259" s="307"/>
      <c r="AU259" s="307"/>
      <c r="AV259" s="307"/>
      <c r="AW259" s="307"/>
      <c r="AX259" s="307"/>
      <c r="AY259" s="307"/>
      <c r="AZ259" s="307"/>
      <c r="BA259" s="307"/>
      <c r="BB259" s="307"/>
      <c r="BC259" s="307"/>
      <c r="BD259" s="307"/>
      <c r="BE259" s="307"/>
      <c r="BF259" s="307"/>
      <c r="BG259" s="307"/>
    </row>
    <row r="260" spans="1:59" ht="15.75" customHeight="1" x14ac:dyDescent="0.2">
      <c r="A260" s="307"/>
      <c r="B260" s="307"/>
      <c r="C260" s="308" t="s">
        <v>188</v>
      </c>
      <c r="D260" s="292">
        <v>21.962528239999997</v>
      </c>
      <c r="E260" s="292">
        <v>29.017377740000001</v>
      </c>
      <c r="F260" s="292">
        <v>12.654127890000201</v>
      </c>
      <c r="G260" s="292">
        <v>22.277691660000201</v>
      </c>
      <c r="H260" s="292">
        <v>85.911725530000396</v>
      </c>
      <c r="I260" s="292">
        <v>6.0613707199999993</v>
      </c>
      <c r="J260" s="292">
        <v>5.5312901200000004</v>
      </c>
      <c r="K260" s="292">
        <v>3.6937262099999999</v>
      </c>
      <c r="L260" s="292">
        <v>2.22361108</v>
      </c>
      <c r="M260" s="292">
        <v>17.50999813</v>
      </c>
      <c r="N260" s="292">
        <v>2.9505927799999996</v>
      </c>
      <c r="O260" s="292">
        <v>2.8982279599999998</v>
      </c>
      <c r="P260" s="292">
        <v>2.0925566899999999</v>
      </c>
      <c r="Q260" s="292">
        <v>3.4502772200000003</v>
      </c>
      <c r="R260" s="292">
        <v>11.39165465</v>
      </c>
      <c r="S260" s="292">
        <v>13.631755929999999</v>
      </c>
      <c r="T260" s="292">
        <v>3.8623366299999997</v>
      </c>
      <c r="U260" s="292">
        <v>4.5141950999999993</v>
      </c>
      <c r="V260" s="292">
        <v>1.7912096799999999</v>
      </c>
      <c r="W260" s="292">
        <f>SUM(S260:V260)</f>
        <v>23.799497339999999</v>
      </c>
      <c r="X260" s="292">
        <v>6.99543099</v>
      </c>
      <c r="Y260" s="292">
        <v>8.0176481800000001</v>
      </c>
      <c r="Z260" s="292">
        <v>5.8269877599999997</v>
      </c>
      <c r="AA260" s="292">
        <v>2.3144622500000001</v>
      </c>
      <c r="AB260" s="292">
        <f>SUM(X260:AA260)</f>
        <v>23.154529179999997</v>
      </c>
      <c r="AC260" s="307"/>
      <c r="AD260" s="307"/>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row>
    <row r="261" spans="1:59" ht="15.75" customHeight="1" x14ac:dyDescent="0.2">
      <c r="A261" s="190"/>
      <c r="B261" s="190"/>
      <c r="C261" s="190" t="s">
        <v>240</v>
      </c>
      <c r="D261" s="301" t="s">
        <v>146</v>
      </c>
      <c r="E261" s="301" t="s">
        <v>146</v>
      </c>
      <c r="F261" s="301" t="s">
        <v>146</v>
      </c>
      <c r="G261" s="301" t="s">
        <v>146</v>
      </c>
      <c r="H261" s="301" t="s">
        <v>146</v>
      </c>
      <c r="I261" s="301">
        <f t="shared" ref="I261:AB261" si="137">I260/D260-1</f>
        <v>-0.72401307109258384</v>
      </c>
      <c r="J261" s="301">
        <f t="shared" si="137"/>
        <v>-0.80938008356367763</v>
      </c>
      <c r="K261" s="301">
        <f t="shared" si="137"/>
        <v>-0.70810108431740049</v>
      </c>
      <c r="L261" s="301">
        <f t="shared" si="137"/>
        <v>-0.90018664797338432</v>
      </c>
      <c r="M261" s="301">
        <f t="shared" si="137"/>
        <v>-0.79618616641699846</v>
      </c>
      <c r="N261" s="301">
        <f t="shared" si="137"/>
        <v>-0.51321360855486498</v>
      </c>
      <c r="O261" s="301">
        <f t="shared" si="137"/>
        <v>-0.47603038402910614</v>
      </c>
      <c r="P261" s="301">
        <f t="shared" si="137"/>
        <v>-0.43348354181345783</v>
      </c>
      <c r="Q261" s="301">
        <f t="shared" si="137"/>
        <v>0.55165498635669707</v>
      </c>
      <c r="R261" s="301">
        <f t="shared" si="137"/>
        <v>-0.34941999619733832</v>
      </c>
      <c r="S261" s="301">
        <f t="shared" si="137"/>
        <v>3.6200058586193657</v>
      </c>
      <c r="T261" s="301">
        <f t="shared" si="137"/>
        <v>0.33265453349639196</v>
      </c>
      <c r="U261" s="301">
        <f t="shared" si="137"/>
        <v>1.1572629891331641</v>
      </c>
      <c r="V261" s="301">
        <f t="shared" si="137"/>
        <v>-0.48085050394878126</v>
      </c>
      <c r="W261" s="301">
        <f t="shared" si="137"/>
        <v>1.0892046038281191</v>
      </c>
      <c r="X261" s="301">
        <f t="shared" si="137"/>
        <v>-0.48682832747871829</v>
      </c>
      <c r="Y261" s="301">
        <f t="shared" si="137"/>
        <v>1.0758543203418292</v>
      </c>
      <c r="Z261" s="301">
        <f t="shared" si="137"/>
        <v>0.29081433808653956</v>
      </c>
      <c r="AA261" s="301">
        <f t="shared" si="137"/>
        <v>0.29212245547936089</v>
      </c>
      <c r="AB261" s="301">
        <f t="shared" si="137"/>
        <v>-2.7100074879144564E-2</v>
      </c>
      <c r="AC261" s="312"/>
      <c r="AD261" s="312"/>
      <c r="AE261" s="312"/>
      <c r="AF261" s="312"/>
      <c r="AG261" s="312"/>
      <c r="AH261" s="312"/>
      <c r="AI261" s="312"/>
      <c r="AJ261" s="312"/>
      <c r="AK261" s="312"/>
      <c r="AL261" s="312"/>
      <c r="AM261" s="312"/>
      <c r="AN261" s="312"/>
      <c r="AO261" s="312"/>
      <c r="AP261" s="312"/>
      <c r="AQ261" s="312"/>
      <c r="AR261" s="312"/>
      <c r="AS261" s="312"/>
      <c r="AT261" s="312"/>
      <c r="AU261" s="312"/>
      <c r="AV261" s="312"/>
      <c r="AW261" s="312"/>
      <c r="AX261" s="312"/>
      <c r="AY261" s="312"/>
      <c r="AZ261" s="312"/>
      <c r="BA261" s="312"/>
      <c r="BB261" s="312"/>
      <c r="BC261" s="312"/>
      <c r="BD261" s="312"/>
      <c r="BE261" s="312"/>
      <c r="BF261" s="312"/>
      <c r="BG261" s="312"/>
    </row>
    <row r="262" spans="1:59" ht="15.75" customHeight="1" x14ac:dyDescent="0.2">
      <c r="A262" s="307"/>
      <c r="B262" s="307"/>
      <c r="C262" s="308"/>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307"/>
      <c r="AD262" s="307"/>
      <c r="AE262" s="307"/>
      <c r="AF262" s="307"/>
      <c r="AG262" s="307"/>
      <c r="AH262" s="307"/>
      <c r="AI262" s="307"/>
      <c r="AJ262" s="307"/>
      <c r="AK262" s="307"/>
      <c r="AL262" s="307"/>
      <c r="AM262" s="307"/>
      <c r="AN262" s="307"/>
      <c r="AO262" s="307"/>
      <c r="AP262" s="307"/>
      <c r="AQ262" s="307"/>
      <c r="AR262" s="307"/>
      <c r="AS262" s="307"/>
      <c r="AT262" s="307"/>
      <c r="AU262" s="307"/>
      <c r="AV262" s="307"/>
      <c r="AW262" s="307"/>
      <c r="AX262" s="307"/>
      <c r="AY262" s="307"/>
      <c r="AZ262" s="307"/>
      <c r="BA262" s="307"/>
      <c r="BB262" s="307"/>
      <c r="BC262" s="307"/>
      <c r="BD262" s="307"/>
      <c r="BE262" s="307"/>
      <c r="BF262" s="307"/>
      <c r="BG262" s="307"/>
    </row>
    <row r="263" spans="1:59" ht="15.75" customHeight="1" x14ac:dyDescent="0.2">
      <c r="A263" s="307"/>
      <c r="B263" s="307"/>
      <c r="C263" s="335" t="s">
        <v>227</v>
      </c>
      <c r="D263" s="172">
        <f t="shared" ref="D263:AB263" si="138">(D260-D264)*-1</f>
        <v>-20.059966869382002</v>
      </c>
      <c r="E263" s="172">
        <f t="shared" si="138"/>
        <v>-27.998742321776991</v>
      </c>
      <c r="F263" s="172">
        <f t="shared" si="138"/>
        <v>-10.537096434862001</v>
      </c>
      <c r="G263" s="172">
        <f t="shared" si="138"/>
        <v>-17.379898294229069</v>
      </c>
      <c r="H263" s="172">
        <f t="shared" si="138"/>
        <v>-75.975703920250055</v>
      </c>
      <c r="I263" s="172">
        <f t="shared" si="138"/>
        <v>-5.4733883399999996</v>
      </c>
      <c r="J263" s="172">
        <f t="shared" si="138"/>
        <v>-8.143989620000001</v>
      </c>
      <c r="K263" s="172">
        <f t="shared" si="138"/>
        <v>-3.6896358399999998</v>
      </c>
      <c r="L263" s="172">
        <f t="shared" si="138"/>
        <v>-4.4667882800000003</v>
      </c>
      <c r="M263" s="172">
        <f t="shared" si="138"/>
        <v>-21.773802079999999</v>
      </c>
      <c r="N263" s="172">
        <f t="shared" si="138"/>
        <v>-3.7293888499999994</v>
      </c>
      <c r="O263" s="172">
        <f t="shared" si="138"/>
        <v>-1.1465510099999998</v>
      </c>
      <c r="P263" s="172">
        <f t="shared" si="138"/>
        <v>-2.8292883999999998</v>
      </c>
      <c r="Q263" s="172">
        <f t="shared" si="138"/>
        <v>-17.7800969</v>
      </c>
      <c r="R263" s="172">
        <f t="shared" si="138"/>
        <v>-25.485325159999999</v>
      </c>
      <c r="S263" s="172">
        <f t="shared" si="138"/>
        <v>-12.875762879999998</v>
      </c>
      <c r="T263" s="172">
        <f t="shared" si="138"/>
        <v>-3.0819315599999997</v>
      </c>
      <c r="U263" s="172">
        <f t="shared" si="138"/>
        <v>-4.6112077399999993</v>
      </c>
      <c r="V263" s="172">
        <f t="shared" si="138"/>
        <v>0.10115428999999998</v>
      </c>
      <c r="W263" s="172">
        <f t="shared" si="138"/>
        <v>-20.467747889999998</v>
      </c>
      <c r="X263" s="172">
        <f t="shared" si="138"/>
        <v>-4.9061243700000006</v>
      </c>
      <c r="Y263" s="172">
        <f t="shared" si="138"/>
        <v>-6.0693277999999999</v>
      </c>
      <c r="Z263" s="172">
        <f t="shared" si="138"/>
        <v>-5.6724358199999996</v>
      </c>
      <c r="AA263" s="172">
        <f t="shared" si="138"/>
        <v>-0.28616516999999986</v>
      </c>
      <c r="AB263" s="172">
        <f t="shared" si="138"/>
        <v>-16.934053159999998</v>
      </c>
      <c r="AC263" s="307"/>
      <c r="AD263" s="307"/>
      <c r="AE263" s="307"/>
      <c r="AF263" s="307"/>
      <c r="AG263" s="307"/>
      <c r="AH263" s="307"/>
      <c r="AI263" s="307"/>
      <c r="AJ263" s="307"/>
      <c r="AK263" s="307"/>
      <c r="AL263" s="307"/>
      <c r="AM263" s="307"/>
      <c r="AN263" s="307"/>
      <c r="AO263" s="307"/>
      <c r="AP263" s="307"/>
      <c r="AQ263" s="307"/>
      <c r="AR263" s="307"/>
      <c r="AS263" s="307"/>
      <c r="AT263" s="307"/>
      <c r="AU263" s="307"/>
      <c r="AV263" s="307"/>
      <c r="AW263" s="307"/>
      <c r="AX263" s="307"/>
      <c r="AY263" s="307"/>
      <c r="AZ263" s="307"/>
      <c r="BA263" s="307"/>
      <c r="BB263" s="307"/>
      <c r="BC263" s="307"/>
      <c r="BD263" s="307"/>
      <c r="BE263" s="307"/>
      <c r="BF263" s="307"/>
      <c r="BG263" s="307"/>
    </row>
    <row r="264" spans="1:59" ht="15.75" customHeight="1" x14ac:dyDescent="0.2">
      <c r="A264" s="307"/>
      <c r="B264" s="307"/>
      <c r="C264" s="308" t="s">
        <v>189</v>
      </c>
      <c r="D264" s="292">
        <v>1.9025613706179967</v>
      </c>
      <c r="E264" s="292">
        <v>1.0186354182230104</v>
      </c>
      <c r="F264" s="292">
        <v>2.1170314551381999</v>
      </c>
      <c r="G264" s="292">
        <v>4.8977933657711317</v>
      </c>
      <c r="H264" s="292">
        <v>9.9360216097503375</v>
      </c>
      <c r="I264" s="292">
        <v>0.58798238000000003</v>
      </c>
      <c r="J264" s="292">
        <v>-2.6126995000000002</v>
      </c>
      <c r="K264" s="292">
        <v>4.0903700000000003E-3</v>
      </c>
      <c r="L264" s="292">
        <v>-2.2431772000000003</v>
      </c>
      <c r="M264" s="292">
        <v>-4.2638039499999998</v>
      </c>
      <c r="N264" s="292">
        <v>-0.77879606999999995</v>
      </c>
      <c r="O264" s="292">
        <v>1.75167695</v>
      </c>
      <c r="P264" s="292">
        <v>-0.73673170999999993</v>
      </c>
      <c r="Q264" s="292">
        <v>-14.32981968</v>
      </c>
      <c r="R264" s="292">
        <v>-14.093670509999999</v>
      </c>
      <c r="S264" s="292">
        <v>0.75599305000000006</v>
      </c>
      <c r="T264" s="292">
        <v>0.78040506999999992</v>
      </c>
      <c r="U264" s="292">
        <v>-9.7012639999999997E-2</v>
      </c>
      <c r="V264" s="292">
        <v>1.8923639699999999</v>
      </c>
      <c r="W264" s="292">
        <f>SUM(S264:V264)</f>
        <v>3.3317494499999998</v>
      </c>
      <c r="X264" s="292">
        <v>2.0893066199999999</v>
      </c>
      <c r="Y264" s="292">
        <v>1.94832038</v>
      </c>
      <c r="Z264" s="292">
        <v>0.15455194</v>
      </c>
      <c r="AA264" s="292">
        <v>2.0282970800000002</v>
      </c>
      <c r="AB264" s="292">
        <f>SUM(X264:AA264)</f>
        <v>6.2204760199999996</v>
      </c>
      <c r="AC264" s="307"/>
      <c r="AD264" s="307"/>
      <c r="AE264" s="307"/>
      <c r="AF264" s="307"/>
      <c r="AG264" s="307"/>
      <c r="AH264" s="307"/>
      <c r="AI264" s="307"/>
      <c r="AJ264" s="307"/>
      <c r="AK264" s="307"/>
      <c r="AL264" s="307"/>
      <c r="AM264" s="307"/>
      <c r="AN264" s="307"/>
      <c r="AO264" s="307"/>
      <c r="AP264" s="307"/>
      <c r="AQ264" s="307"/>
      <c r="AR264" s="307"/>
      <c r="AS264" s="307"/>
      <c r="AT264" s="307"/>
      <c r="AU264" s="307"/>
      <c r="AV264" s="307"/>
      <c r="AW264" s="307"/>
      <c r="AX264" s="307"/>
      <c r="AY264" s="307"/>
      <c r="AZ264" s="307"/>
      <c r="BA264" s="307"/>
      <c r="BB264" s="307"/>
      <c r="BC264" s="307"/>
      <c r="BD264" s="307"/>
      <c r="BE264" s="307"/>
      <c r="BF264" s="307"/>
      <c r="BG264" s="307"/>
    </row>
    <row r="265" spans="1:59" ht="15.75" customHeight="1" x14ac:dyDescent="0.2">
      <c r="A265" s="312"/>
      <c r="B265" s="312"/>
      <c r="C265" s="313" t="s">
        <v>222</v>
      </c>
      <c r="D265" s="301">
        <f t="shared" ref="D265:AB265" si="139">D264/D260</f>
        <v>8.6627611804404758E-2</v>
      </c>
      <c r="E265" s="301">
        <f t="shared" si="139"/>
        <v>3.5104323600503619E-2</v>
      </c>
      <c r="F265" s="301">
        <f t="shared" si="139"/>
        <v>0.16729967276616217</v>
      </c>
      <c r="G265" s="301">
        <f t="shared" si="139"/>
        <v>0.21985192364275175</v>
      </c>
      <c r="H265" s="301">
        <f t="shared" si="139"/>
        <v>0.11565384757963773</v>
      </c>
      <c r="I265" s="301">
        <f t="shared" si="139"/>
        <v>9.700485371401274E-2</v>
      </c>
      <c r="J265" s="301">
        <f t="shared" si="139"/>
        <v>-0.4723490258724668</v>
      </c>
      <c r="K265" s="301">
        <f t="shared" si="139"/>
        <v>1.1073831051489874E-3</v>
      </c>
      <c r="L265" s="301">
        <f t="shared" si="139"/>
        <v>-1.0087992545890716</v>
      </c>
      <c r="M265" s="301">
        <f t="shared" si="139"/>
        <v>-0.24350681926657636</v>
      </c>
      <c r="N265" s="301">
        <f t="shared" si="139"/>
        <v>-0.26394562993541931</v>
      </c>
      <c r="O265" s="301">
        <f t="shared" si="139"/>
        <v>0.60439584952454883</v>
      </c>
      <c r="P265" s="301">
        <f t="shared" si="139"/>
        <v>-0.35207252139008954</v>
      </c>
      <c r="Q265" s="301">
        <f t="shared" si="139"/>
        <v>-4.1532371940826245</v>
      </c>
      <c r="R265" s="301">
        <f t="shared" si="139"/>
        <v>-1.2371925714935539</v>
      </c>
      <c r="S265" s="301">
        <f t="shared" si="139"/>
        <v>5.545822958407385E-2</v>
      </c>
      <c r="T265" s="301">
        <f t="shared" si="139"/>
        <v>0.20205516627896827</v>
      </c>
      <c r="U265" s="301">
        <f t="shared" si="139"/>
        <v>-2.1490573147802144E-2</v>
      </c>
      <c r="V265" s="301">
        <f t="shared" si="139"/>
        <v>1.0564726124079455</v>
      </c>
      <c r="W265" s="301">
        <f t="shared" si="139"/>
        <v>0.13999242935271169</v>
      </c>
      <c r="X265" s="301">
        <f t="shared" si="139"/>
        <v>0.29866731913825939</v>
      </c>
      <c r="Y265" s="301">
        <f t="shared" si="139"/>
        <v>0.24300397526298043</v>
      </c>
      <c r="Z265" s="301">
        <f t="shared" si="139"/>
        <v>2.6523470850743646E-2</v>
      </c>
      <c r="AA265" s="301">
        <f t="shared" si="139"/>
        <v>0.87635781486606668</v>
      </c>
      <c r="AB265" s="301">
        <f t="shared" si="139"/>
        <v>0.26865050771030191</v>
      </c>
      <c r="AC265" s="312"/>
      <c r="AD265" s="312"/>
      <c r="AE265" s="312"/>
      <c r="AF265" s="312"/>
      <c r="AG265" s="312"/>
      <c r="AH265" s="312"/>
      <c r="AI265" s="312"/>
      <c r="AJ265" s="312"/>
      <c r="AK265" s="312"/>
      <c r="AL265" s="312"/>
      <c r="AM265" s="312"/>
      <c r="AN265" s="312"/>
      <c r="AO265" s="312"/>
      <c r="AP265" s="312"/>
      <c r="AQ265" s="312"/>
      <c r="AR265" s="312"/>
      <c r="AS265" s="312"/>
      <c r="AT265" s="312"/>
      <c r="AU265" s="312"/>
      <c r="AV265" s="312"/>
      <c r="AW265" s="312"/>
      <c r="AX265" s="312"/>
      <c r="AY265" s="312"/>
      <c r="AZ265" s="312"/>
      <c r="BA265" s="312"/>
      <c r="BB265" s="312"/>
      <c r="BC265" s="312"/>
      <c r="BD265" s="312"/>
      <c r="BE265" s="312"/>
      <c r="BF265" s="312"/>
      <c r="BG265" s="312"/>
    </row>
    <row r="266" spans="1:59" ht="15.75" customHeight="1" x14ac:dyDescent="0.2">
      <c r="A266" s="190"/>
      <c r="B266" s="190"/>
      <c r="C266" s="190" t="s">
        <v>241</v>
      </c>
      <c r="D266" s="301" t="s">
        <v>146</v>
      </c>
      <c r="E266" s="301" t="s">
        <v>146</v>
      </c>
      <c r="F266" s="301" t="s">
        <v>146</v>
      </c>
      <c r="G266" s="301" t="s">
        <v>146</v>
      </c>
      <c r="H266" s="301" t="s">
        <v>146</v>
      </c>
      <c r="I266" s="301">
        <f t="shared" ref="I266:AB266" si="140">I264/D264-1</f>
        <v>-0.69095221364186032</v>
      </c>
      <c r="J266" s="301">
        <f t="shared" si="140"/>
        <v>-3.5649014880690122</v>
      </c>
      <c r="K266" s="301">
        <f t="shared" si="140"/>
        <v>-0.99806787471670655</v>
      </c>
      <c r="L266" s="301">
        <f t="shared" si="140"/>
        <v>-1.4579975169382884</v>
      </c>
      <c r="M266" s="301">
        <f t="shared" si="140"/>
        <v>-1.4291258732585563</v>
      </c>
      <c r="N266" s="301">
        <f t="shared" si="140"/>
        <v>-2.3245228028771878</v>
      </c>
      <c r="O266" s="301">
        <f t="shared" si="140"/>
        <v>-1.6704471562841421</v>
      </c>
      <c r="P266" s="301">
        <f t="shared" si="140"/>
        <v>-181.11370853981421</v>
      </c>
      <c r="Q266" s="301">
        <f t="shared" si="140"/>
        <v>5.3881799797180525</v>
      </c>
      <c r="R266" s="301">
        <f t="shared" si="140"/>
        <v>2.3054217959528835</v>
      </c>
      <c r="S266" s="301">
        <f t="shared" si="140"/>
        <v>-1.9707201655498854</v>
      </c>
      <c r="T266" s="301">
        <f t="shared" si="140"/>
        <v>-0.55448116731798069</v>
      </c>
      <c r="U266" s="301">
        <f t="shared" si="140"/>
        <v>-0.86832026003061547</v>
      </c>
      <c r="V266" s="301">
        <f t="shared" si="140"/>
        <v>-1.1320577657122339</v>
      </c>
      <c r="W266" s="301">
        <f t="shared" si="140"/>
        <v>-1.2364004073769141</v>
      </c>
      <c r="X266" s="301">
        <f t="shared" si="140"/>
        <v>1.7636585018870208</v>
      </c>
      <c r="Y266" s="301">
        <f t="shared" si="140"/>
        <v>1.4965501313311562</v>
      </c>
      <c r="Z266" s="301">
        <f t="shared" si="140"/>
        <v>-2.5931113718789636</v>
      </c>
      <c r="AA266" s="301">
        <f t="shared" si="140"/>
        <v>7.1832434011095847E-2</v>
      </c>
      <c r="AB266" s="301">
        <f t="shared" si="140"/>
        <v>0.8670299532877539</v>
      </c>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c r="AW266" s="312"/>
      <c r="AX266" s="312"/>
      <c r="AY266" s="312"/>
      <c r="AZ266" s="312"/>
      <c r="BA266" s="312"/>
      <c r="BB266" s="312"/>
      <c r="BC266" s="312"/>
      <c r="BD266" s="312"/>
      <c r="BE266" s="312"/>
      <c r="BF266" s="312"/>
      <c r="BG266" s="312"/>
    </row>
    <row r="267" spans="1:59" ht="15.75" customHeight="1" x14ac:dyDescent="0.2">
      <c r="A267" s="307"/>
      <c r="B267" s="307"/>
      <c r="C267" s="308"/>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307"/>
      <c r="AD267" s="307"/>
      <c r="AE267" s="307"/>
      <c r="AF267" s="307"/>
      <c r="AG267" s="307"/>
      <c r="AH267" s="307"/>
      <c r="AI267" s="307"/>
      <c r="AJ267" s="307"/>
      <c r="AK267" s="307"/>
      <c r="AL267" s="307"/>
      <c r="AM267" s="307"/>
      <c r="AN267" s="307"/>
      <c r="AO267" s="307"/>
      <c r="AP267" s="307"/>
      <c r="AQ267" s="307"/>
      <c r="AR267" s="307"/>
      <c r="AS267" s="307"/>
      <c r="AT267" s="307"/>
      <c r="AU267" s="307"/>
      <c r="AV267" s="307"/>
      <c r="AW267" s="307"/>
      <c r="AX267" s="307"/>
      <c r="AY267" s="307"/>
      <c r="AZ267" s="307"/>
      <c r="BA267" s="307"/>
      <c r="BB267" s="307"/>
      <c r="BC267" s="307"/>
      <c r="BD267" s="307"/>
      <c r="BE267" s="307"/>
      <c r="BF267" s="307"/>
      <c r="BG267" s="307"/>
    </row>
    <row r="268" spans="1:59" ht="15.75" customHeight="1" x14ac:dyDescent="0.2">
      <c r="A268" s="268"/>
      <c r="B268" s="268"/>
      <c r="C268" s="307" t="s">
        <v>242</v>
      </c>
      <c r="D268" s="292">
        <f t="shared" ref="D268:AB268" si="141">D271-D264</f>
        <v>-1.7717141486270003</v>
      </c>
      <c r="E268" s="292">
        <f t="shared" si="141"/>
        <v>-2.0036959433930002</v>
      </c>
      <c r="F268" s="292">
        <f t="shared" si="141"/>
        <v>-0.80951035869899868</v>
      </c>
      <c r="G268" s="292">
        <f t="shared" si="141"/>
        <v>-1.4647469289440003</v>
      </c>
      <c r="H268" s="292">
        <f t="shared" si="141"/>
        <v>-6.0496673796629983</v>
      </c>
      <c r="I268" s="292">
        <f t="shared" si="141"/>
        <v>-0.59359269000000003</v>
      </c>
      <c r="J268" s="292">
        <f t="shared" si="141"/>
        <v>0.20528685000000024</v>
      </c>
      <c r="K268" s="292">
        <f t="shared" si="141"/>
        <v>-2.0079112800000001</v>
      </c>
      <c r="L268" s="292">
        <f t="shared" si="141"/>
        <v>-1.4679345499999998</v>
      </c>
      <c r="M268" s="292">
        <f t="shared" si="141"/>
        <v>-3.86415167</v>
      </c>
      <c r="N268" s="292">
        <f t="shared" si="141"/>
        <v>-2.81992954</v>
      </c>
      <c r="O268" s="292">
        <f t="shared" si="141"/>
        <v>-2.1613269499999999</v>
      </c>
      <c r="P268" s="292">
        <f t="shared" si="141"/>
        <v>-2.48271335</v>
      </c>
      <c r="Q268" s="292">
        <f t="shared" si="141"/>
        <v>-2.6263490699999998</v>
      </c>
      <c r="R268" s="292">
        <f t="shared" si="141"/>
        <v>-10.090318910000001</v>
      </c>
      <c r="S268" s="292">
        <f t="shared" si="141"/>
        <v>-2.5220714499999999</v>
      </c>
      <c r="T268" s="292">
        <f t="shared" si="141"/>
        <v>-2.1943284200000002</v>
      </c>
      <c r="U268" s="292">
        <f t="shared" si="141"/>
        <v>-2.1017966500000003</v>
      </c>
      <c r="V268" s="292">
        <f t="shared" si="141"/>
        <v>-2.0353594399999997</v>
      </c>
      <c r="W268" s="292">
        <f t="shared" si="141"/>
        <v>-8.8535559599999996</v>
      </c>
      <c r="X268" s="292">
        <f t="shared" si="141"/>
        <v>-2.0092561</v>
      </c>
      <c r="Y268" s="292">
        <f t="shared" si="141"/>
        <v>-2.0290537199999998</v>
      </c>
      <c r="Z268" s="292">
        <f t="shared" si="141"/>
        <v>-1.9301074499999999</v>
      </c>
      <c r="AA268" s="292">
        <f t="shared" si="141"/>
        <v>-1.9074658000000002</v>
      </c>
      <c r="AB268" s="292">
        <f t="shared" si="141"/>
        <v>-7.8758830699999995</v>
      </c>
      <c r="AC268" s="268"/>
      <c r="AD268" s="268"/>
      <c r="AE268" s="268"/>
      <c r="AF268" s="268"/>
      <c r="AG268" s="268"/>
      <c r="AH268" s="268"/>
      <c r="AI268" s="268"/>
      <c r="AJ268" s="268"/>
      <c r="AK268" s="268"/>
      <c r="AL268" s="268"/>
      <c r="AM268" s="268"/>
      <c r="AN268" s="268"/>
      <c r="AO268" s="268"/>
      <c r="AP268" s="268"/>
      <c r="AQ268" s="268"/>
      <c r="AR268" s="268"/>
      <c r="AS268" s="268"/>
      <c r="AT268" s="268"/>
      <c r="AU268" s="268"/>
      <c r="AV268" s="268"/>
      <c r="AW268" s="268"/>
      <c r="AX268" s="268"/>
      <c r="AY268" s="268"/>
      <c r="AZ268" s="268"/>
      <c r="BA268" s="268"/>
      <c r="BB268" s="268"/>
      <c r="BC268" s="268"/>
      <c r="BD268" s="268"/>
      <c r="BE268" s="268"/>
      <c r="BF268" s="268"/>
      <c r="BG268" s="268"/>
    </row>
    <row r="269" spans="1:59" ht="15.75" customHeight="1" x14ac:dyDescent="0.2">
      <c r="A269" s="268"/>
      <c r="B269" s="268"/>
      <c r="C269" s="307" t="s">
        <v>243</v>
      </c>
      <c r="D269" s="301" t="s">
        <v>146</v>
      </c>
      <c r="E269" s="301" t="s">
        <v>146</v>
      </c>
      <c r="F269" s="301" t="s">
        <v>146</v>
      </c>
      <c r="G269" s="301" t="s">
        <v>146</v>
      </c>
      <c r="H269" s="301" t="s">
        <v>146</v>
      </c>
      <c r="I269" s="301">
        <f t="shared" ref="I269:AB269" si="142">I268/D268-1</f>
        <v>-0.66496136498090963</v>
      </c>
      <c r="J269" s="301">
        <f t="shared" si="142"/>
        <v>-1.1024540927364326</v>
      </c>
      <c r="K269" s="301">
        <f t="shared" si="142"/>
        <v>1.4804022066215516</v>
      </c>
      <c r="L269" s="301">
        <f t="shared" si="142"/>
        <v>2.1762264818658839E-3</v>
      </c>
      <c r="M269" s="301">
        <f t="shared" si="142"/>
        <v>-0.36126212773449107</v>
      </c>
      <c r="N269" s="301">
        <f t="shared" si="142"/>
        <v>3.7506136573211499</v>
      </c>
      <c r="O269" s="301">
        <f t="shared" si="142"/>
        <v>-11.528326339461087</v>
      </c>
      <c r="P269" s="301">
        <f t="shared" si="142"/>
        <v>0.23646566196888941</v>
      </c>
      <c r="Q269" s="301">
        <f t="shared" si="142"/>
        <v>0.78914589209716479</v>
      </c>
      <c r="R269" s="301">
        <f t="shared" si="142"/>
        <v>1.6112636800304476</v>
      </c>
      <c r="S269" s="301">
        <f t="shared" si="142"/>
        <v>-0.10562607532385371</v>
      </c>
      <c r="T269" s="301">
        <f t="shared" si="142"/>
        <v>1.5269078100377254E-2</v>
      </c>
      <c r="U269" s="301">
        <f t="shared" si="142"/>
        <v>-0.15342757954719166</v>
      </c>
      <c r="V269" s="301">
        <f t="shared" si="142"/>
        <v>-0.22502326014112062</v>
      </c>
      <c r="W269" s="301">
        <f t="shared" si="142"/>
        <v>-0.12256926277863311</v>
      </c>
      <c r="X269" s="301">
        <f t="shared" si="142"/>
        <v>-0.20333101585999869</v>
      </c>
      <c r="Y269" s="301">
        <f t="shared" si="142"/>
        <v>-7.531903542497087E-2</v>
      </c>
      <c r="Z269" s="301">
        <f t="shared" si="142"/>
        <v>-8.1686874893439509E-2</v>
      </c>
      <c r="AA269" s="301">
        <f t="shared" si="142"/>
        <v>-6.2835898901473342E-2</v>
      </c>
      <c r="AB269" s="301">
        <f t="shared" si="142"/>
        <v>-0.11042714299396605</v>
      </c>
      <c r="AC269" s="268"/>
      <c r="AD269" s="268"/>
      <c r="AE269" s="268"/>
      <c r="AF269" s="268"/>
      <c r="AG269" s="268"/>
      <c r="AH269" s="268"/>
      <c r="AI269" s="268"/>
      <c r="AJ269" s="268"/>
      <c r="AK269" s="268"/>
      <c r="AL269" s="268"/>
      <c r="AM269" s="268"/>
      <c r="AN269" s="268"/>
      <c r="AO269" s="268"/>
      <c r="AP269" s="268"/>
      <c r="AQ269" s="268"/>
      <c r="AR269" s="268"/>
      <c r="AS269" s="268"/>
      <c r="AT269" s="268"/>
      <c r="AU269" s="268"/>
      <c r="AV269" s="268"/>
      <c r="AW269" s="268"/>
      <c r="AX269" s="268"/>
      <c r="AY269" s="268"/>
      <c r="AZ269" s="268"/>
      <c r="BA269" s="268"/>
      <c r="BB269" s="268"/>
      <c r="BC269" s="268"/>
      <c r="BD269" s="268"/>
      <c r="BE269" s="268"/>
      <c r="BF269" s="268"/>
      <c r="BG269" s="268"/>
    </row>
    <row r="270" spans="1:59" ht="15.75" customHeight="1" x14ac:dyDescent="0.2">
      <c r="A270" s="307"/>
      <c r="B270" s="307"/>
      <c r="C270" s="308"/>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307"/>
      <c r="AD270" s="307"/>
      <c r="AE270" s="307"/>
      <c r="AF270" s="307"/>
      <c r="AG270" s="307"/>
      <c r="AH270" s="307"/>
      <c r="AI270" s="307"/>
      <c r="AJ270" s="307"/>
      <c r="AK270" s="307"/>
      <c r="AL270" s="307"/>
      <c r="AM270" s="307"/>
      <c r="AN270" s="307"/>
      <c r="AO270" s="307"/>
      <c r="AP270" s="307"/>
      <c r="AQ270" s="307"/>
      <c r="AR270" s="307"/>
      <c r="AS270" s="307"/>
      <c r="AT270" s="307"/>
      <c r="AU270" s="307"/>
      <c r="AV270" s="307"/>
      <c r="AW270" s="307"/>
      <c r="AX270" s="307"/>
      <c r="AY270" s="307"/>
      <c r="AZ270" s="307"/>
      <c r="BA270" s="307"/>
      <c r="BB270" s="307"/>
      <c r="BC270" s="307"/>
      <c r="BD270" s="307"/>
      <c r="BE270" s="307"/>
      <c r="BF270" s="307"/>
      <c r="BG270" s="307"/>
    </row>
    <row r="271" spans="1:59" ht="15.75" customHeight="1" x14ac:dyDescent="0.2">
      <c r="A271" s="307"/>
      <c r="B271" s="307"/>
      <c r="C271" s="308" t="s">
        <v>190</v>
      </c>
      <c r="D271" s="292">
        <v>0.13084722199099641</v>
      </c>
      <c r="E271" s="292">
        <v>-0.98506052516998976</v>
      </c>
      <c r="F271" s="292">
        <v>1.3075210964392012</v>
      </c>
      <c r="G271" s="292">
        <v>3.4330464368271314</v>
      </c>
      <c r="H271" s="292">
        <v>3.8863542300873393</v>
      </c>
      <c r="I271" s="292">
        <v>-5.6103100000000003E-3</v>
      </c>
      <c r="J271" s="292">
        <v>-2.4074126499999999</v>
      </c>
      <c r="K271" s="292">
        <v>-2.00382091</v>
      </c>
      <c r="L271" s="292">
        <v>-3.7111117500000002</v>
      </c>
      <c r="M271" s="292">
        <v>-8.1279556199999998</v>
      </c>
      <c r="N271" s="292">
        <v>-3.5987256099999998</v>
      </c>
      <c r="O271" s="292">
        <v>-0.40965000000000001</v>
      </c>
      <c r="P271" s="292">
        <v>-3.21944506</v>
      </c>
      <c r="Q271" s="292">
        <v>-16.95616875</v>
      </c>
      <c r="R271" s="292">
        <v>-24.18398942</v>
      </c>
      <c r="S271" s="292">
        <v>-1.7660783999999998</v>
      </c>
      <c r="T271" s="292">
        <v>-1.4139233500000001</v>
      </c>
      <c r="U271" s="292">
        <v>-2.1988092900000002</v>
      </c>
      <c r="V271" s="292">
        <v>-0.14299547000000001</v>
      </c>
      <c r="W271" s="292">
        <f>SUM(S271:V271)</f>
        <v>-5.5218065100000002</v>
      </c>
      <c r="X271" s="292">
        <v>8.005052E-2</v>
      </c>
      <c r="Y271" s="292">
        <v>-8.0733340000000001E-2</v>
      </c>
      <c r="Z271" s="292">
        <v>-1.77555551</v>
      </c>
      <c r="AA271" s="292">
        <v>0.12083128</v>
      </c>
      <c r="AB271" s="292">
        <f>SUM(X271:AA271)</f>
        <v>-1.65540705</v>
      </c>
      <c r="AC271" s="307"/>
      <c r="AD271" s="307"/>
      <c r="AE271" s="307"/>
      <c r="AF271" s="307"/>
      <c r="AG271" s="307"/>
      <c r="AH271" s="307"/>
      <c r="AI271" s="307"/>
      <c r="AJ271" s="307"/>
      <c r="AK271" s="307"/>
      <c r="AL271" s="307"/>
      <c r="AM271" s="307"/>
      <c r="AN271" s="307"/>
      <c r="AO271" s="307"/>
      <c r="AP271" s="307"/>
      <c r="AQ271" s="307"/>
      <c r="AR271" s="307"/>
      <c r="AS271" s="307"/>
      <c r="AT271" s="307"/>
      <c r="AU271" s="307"/>
      <c r="AV271" s="307"/>
      <c r="AW271" s="307"/>
      <c r="AX271" s="307"/>
      <c r="AY271" s="307"/>
      <c r="AZ271" s="307"/>
      <c r="BA271" s="307"/>
      <c r="BB271" s="307"/>
      <c r="BC271" s="307"/>
      <c r="BD271" s="307"/>
      <c r="BE271" s="307"/>
      <c r="BF271" s="307"/>
      <c r="BG271" s="307"/>
    </row>
    <row r="272" spans="1:59" ht="15.75" customHeight="1" x14ac:dyDescent="0.2">
      <c r="A272" s="312"/>
      <c r="B272" s="312"/>
      <c r="C272" s="313" t="s">
        <v>244</v>
      </c>
      <c r="D272" s="301">
        <f t="shared" ref="D272:AB272" si="143">D271/D260</f>
        <v>5.9577486053125012E-3</v>
      </c>
      <c r="E272" s="301">
        <f t="shared" si="143"/>
        <v>-3.394726201644676E-2</v>
      </c>
      <c r="F272" s="301">
        <f t="shared" si="143"/>
        <v>0.10332763409736492</v>
      </c>
      <c r="G272" s="301">
        <f t="shared" si="143"/>
        <v>0.15410243077343591</v>
      </c>
      <c r="H272" s="301">
        <f t="shared" si="143"/>
        <v>4.5236598451630722E-2</v>
      </c>
      <c r="I272" s="301">
        <f t="shared" si="143"/>
        <v>-9.2558437013072199E-4</v>
      </c>
      <c r="J272" s="301">
        <f t="shared" si="143"/>
        <v>-0.43523528829111569</v>
      </c>
      <c r="K272" s="301">
        <f t="shared" si="143"/>
        <v>-0.54249308044951172</v>
      </c>
      <c r="L272" s="301">
        <f t="shared" si="143"/>
        <v>-1.6689572126075214</v>
      </c>
      <c r="M272" s="301">
        <f t="shared" si="143"/>
        <v>-0.46418940537031345</v>
      </c>
      <c r="N272" s="301">
        <f t="shared" si="143"/>
        <v>-1.219661904683438</v>
      </c>
      <c r="O272" s="301">
        <f t="shared" si="143"/>
        <v>-0.14134498930166972</v>
      </c>
      <c r="P272" s="301">
        <f t="shared" si="143"/>
        <v>-1.5385222657934301</v>
      </c>
      <c r="Q272" s="301">
        <f t="shared" si="143"/>
        <v>-4.9144366289500638</v>
      </c>
      <c r="R272" s="301">
        <f t="shared" si="143"/>
        <v>-2.1229566874202952</v>
      </c>
      <c r="S272" s="301">
        <f t="shared" si="143"/>
        <v>-0.12955619283890743</v>
      </c>
      <c r="T272" s="301">
        <f t="shared" si="143"/>
        <v>-0.3660797816061932</v>
      </c>
      <c r="U272" s="301">
        <f t="shared" si="143"/>
        <v>-0.48708778448676276</v>
      </c>
      <c r="V272" s="301">
        <f t="shared" si="143"/>
        <v>-7.9831787197577012E-2</v>
      </c>
      <c r="W272" s="301">
        <f t="shared" si="143"/>
        <v>-0.23201357705649764</v>
      </c>
      <c r="X272" s="301">
        <f t="shared" si="143"/>
        <v>1.1443257765594798E-2</v>
      </c>
      <c r="Y272" s="301">
        <f t="shared" si="143"/>
        <v>-1.0069454057785808E-2</v>
      </c>
      <c r="Z272" s="301">
        <f t="shared" si="143"/>
        <v>-0.30471241456666454</v>
      </c>
      <c r="AA272" s="301">
        <f t="shared" si="143"/>
        <v>5.2207064513581931E-2</v>
      </c>
      <c r="AB272" s="301">
        <f t="shared" si="143"/>
        <v>-7.1493876516818905E-2</v>
      </c>
      <c r="AC272" s="312"/>
      <c r="AD272" s="312"/>
      <c r="AE272" s="312"/>
      <c r="AF272" s="312"/>
      <c r="AG272" s="312"/>
      <c r="AH272" s="312"/>
      <c r="AI272" s="312"/>
      <c r="AJ272" s="312"/>
      <c r="AK272" s="312"/>
      <c r="AL272" s="312"/>
      <c r="AM272" s="312"/>
      <c r="AN272" s="312"/>
      <c r="AO272" s="312"/>
      <c r="AP272" s="312"/>
      <c r="AQ272" s="312"/>
      <c r="AR272" s="312"/>
      <c r="AS272" s="312"/>
      <c r="AT272" s="312"/>
      <c r="AU272" s="312"/>
      <c r="AV272" s="312"/>
      <c r="AW272" s="312"/>
      <c r="AX272" s="312"/>
      <c r="AY272" s="312"/>
      <c r="AZ272" s="312"/>
      <c r="BA272" s="312"/>
      <c r="BB272" s="312"/>
      <c r="BC272" s="312"/>
      <c r="BD272" s="312"/>
      <c r="BE272" s="312"/>
      <c r="BF272" s="312"/>
      <c r="BG272" s="312"/>
    </row>
    <row r="273" spans="1:59" ht="15.75" customHeight="1" x14ac:dyDescent="0.2">
      <c r="A273" s="307"/>
      <c r="B273" s="307"/>
      <c r="C273" s="190" t="s">
        <v>245</v>
      </c>
      <c r="D273" s="301" t="s">
        <v>146</v>
      </c>
      <c r="E273" s="301" t="s">
        <v>146</v>
      </c>
      <c r="F273" s="301" t="s">
        <v>146</v>
      </c>
      <c r="G273" s="301" t="s">
        <v>146</v>
      </c>
      <c r="H273" s="301" t="s">
        <v>146</v>
      </c>
      <c r="I273" s="301">
        <f t="shared" ref="I273:AB273" si="144">I271/D271-1</f>
        <v>-1.0428767987171026</v>
      </c>
      <c r="J273" s="301">
        <f t="shared" si="144"/>
        <v>1.4439235848828251</v>
      </c>
      <c r="K273" s="301">
        <f t="shared" si="144"/>
        <v>-2.5325342860295303</v>
      </c>
      <c r="L273" s="301">
        <f t="shared" si="144"/>
        <v>-2.0809966652912104</v>
      </c>
      <c r="M273" s="301">
        <f t="shared" si="144"/>
        <v>-3.091408847159395</v>
      </c>
      <c r="N273" s="301">
        <f t="shared" si="144"/>
        <v>640.44862048621189</v>
      </c>
      <c r="O273" s="301">
        <f t="shared" si="144"/>
        <v>-0.82983806286803385</v>
      </c>
      <c r="P273" s="301">
        <f t="shared" si="144"/>
        <v>0.60665309156794867</v>
      </c>
      <c r="Q273" s="301">
        <f t="shared" si="144"/>
        <v>3.5690267209010882</v>
      </c>
      <c r="R273" s="301">
        <f t="shared" si="144"/>
        <v>1.9754086452553734</v>
      </c>
      <c r="S273" s="301">
        <f t="shared" si="144"/>
        <v>-0.50924894215538707</v>
      </c>
      <c r="T273" s="301">
        <f t="shared" si="144"/>
        <v>2.4515399731478094</v>
      </c>
      <c r="U273" s="301">
        <f t="shared" si="144"/>
        <v>-0.31702226656416366</v>
      </c>
      <c r="V273" s="301">
        <f t="shared" si="144"/>
        <v>-0.99156675826312479</v>
      </c>
      <c r="W273" s="301">
        <f t="shared" si="144"/>
        <v>-0.77167511885224771</v>
      </c>
      <c r="X273" s="301">
        <f t="shared" si="144"/>
        <v>-1.0453267080328936</v>
      </c>
      <c r="Y273" s="301">
        <f t="shared" si="144"/>
        <v>-0.94290119050654342</v>
      </c>
      <c r="Z273" s="301">
        <f t="shared" si="144"/>
        <v>-0.19249226475662207</v>
      </c>
      <c r="AA273" s="301">
        <f t="shared" si="144"/>
        <v>-1.8450007542196967</v>
      </c>
      <c r="AB273" s="301">
        <f t="shared" si="144"/>
        <v>-0.70020553110615968</v>
      </c>
      <c r="AC273" s="307"/>
      <c r="AD273" s="307"/>
      <c r="AE273" s="307"/>
      <c r="AF273" s="307"/>
      <c r="AG273" s="307"/>
      <c r="AH273" s="307"/>
      <c r="AI273" s="307"/>
      <c r="AJ273" s="307"/>
      <c r="AK273" s="307"/>
      <c r="AL273" s="307"/>
      <c r="AM273" s="307"/>
      <c r="AN273" s="307"/>
      <c r="AO273" s="307"/>
      <c r="AP273" s="307"/>
      <c r="AQ273" s="307"/>
      <c r="AR273" s="307"/>
      <c r="AS273" s="307"/>
      <c r="AT273" s="307"/>
      <c r="AU273" s="307"/>
      <c r="AV273" s="307"/>
      <c r="AW273" s="307"/>
      <c r="AX273" s="307"/>
      <c r="AY273" s="307"/>
      <c r="AZ273" s="307"/>
      <c r="BA273" s="307"/>
      <c r="BB273" s="307"/>
      <c r="BC273" s="307"/>
      <c r="BD273" s="307"/>
      <c r="BE273" s="307"/>
      <c r="BF273" s="307"/>
      <c r="BG273" s="307"/>
    </row>
    <row r="274" spans="1:59" ht="15.75" customHeight="1" x14ac:dyDescent="0.2">
      <c r="A274" s="307"/>
      <c r="B274" s="307"/>
      <c r="C274" s="308" t="s">
        <v>246</v>
      </c>
      <c r="D274" s="292">
        <v>9.4230048929999782E-2</v>
      </c>
      <c r="E274" s="292">
        <v>0.26166980789400002</v>
      </c>
      <c r="F274" s="292">
        <v>0.60338668314900001</v>
      </c>
      <c r="G274" s="292">
        <v>0.94422834679700018</v>
      </c>
      <c r="H274" s="292">
        <f>SUM(D274:G274)</f>
        <v>1.90351488677</v>
      </c>
      <c r="I274" s="292">
        <v>0.9</v>
      </c>
      <c r="J274" s="292">
        <v>0.43486909999999995</v>
      </c>
      <c r="K274" s="292">
        <v>1.28374582</v>
      </c>
      <c r="L274" s="292">
        <v>1.7057409800000001</v>
      </c>
      <c r="M274" s="292">
        <f>SUM(I274:L274)</f>
        <v>4.3243558999999996</v>
      </c>
      <c r="N274" s="292">
        <v>0.2</v>
      </c>
      <c r="O274" s="292">
        <v>0.29635022</v>
      </c>
      <c r="P274" s="292">
        <v>1.24471708</v>
      </c>
      <c r="Q274" s="292">
        <v>3.7504890299999998</v>
      </c>
      <c r="R274" s="292">
        <f>SUM(N274:Q274)</f>
        <v>5.4915563299999999</v>
      </c>
      <c r="S274" s="292">
        <v>0.34264139999999998</v>
      </c>
      <c r="T274" s="292">
        <v>0.98</v>
      </c>
      <c r="U274" s="292">
        <v>0.62848618999999994</v>
      </c>
      <c r="V274" s="292">
        <v>1.00548309</v>
      </c>
      <c r="W274" s="292">
        <f>SUM(S274:V274)</f>
        <v>2.9566106799999998</v>
      </c>
      <c r="X274" s="292">
        <v>0.55836257</v>
      </c>
      <c r="Y274" s="292">
        <v>0.41872604999999996</v>
      </c>
      <c r="Z274" s="292">
        <v>1.50898939</v>
      </c>
      <c r="AA274" s="292">
        <v>3.6365253199999996</v>
      </c>
      <c r="AB274" s="292">
        <f>SUM(X274:AA274)</f>
        <v>6.1226033299999996</v>
      </c>
      <c r="AC274" s="292"/>
      <c r="AD274" s="341"/>
      <c r="AE274" s="341"/>
      <c r="AF274" s="341"/>
      <c r="AG274" s="341"/>
      <c r="AH274" s="341"/>
      <c r="AI274" s="307"/>
      <c r="AJ274" s="307"/>
      <c r="AK274" s="307"/>
      <c r="AL274" s="307"/>
      <c r="AM274" s="307"/>
      <c r="AN274" s="307"/>
      <c r="AO274" s="307"/>
      <c r="AP274" s="307"/>
      <c r="AQ274" s="307"/>
      <c r="AR274" s="307"/>
      <c r="AS274" s="307"/>
      <c r="AT274" s="307"/>
      <c r="AU274" s="307"/>
      <c r="AV274" s="307"/>
      <c r="AW274" s="307"/>
      <c r="AX274" s="307"/>
      <c r="AY274" s="307"/>
      <c r="AZ274" s="307"/>
      <c r="BA274" s="307"/>
      <c r="BB274" s="307"/>
      <c r="BC274" s="307"/>
      <c r="BD274" s="307"/>
      <c r="BE274" s="307"/>
      <c r="BF274" s="307"/>
      <c r="BG274" s="307"/>
    </row>
    <row r="275" spans="1:59" ht="15.75" customHeight="1" x14ac:dyDescent="0.2">
      <c r="A275" s="289"/>
      <c r="B275" s="289"/>
      <c r="C275" s="307" t="s">
        <v>247</v>
      </c>
      <c r="D275" s="301" t="s">
        <v>146</v>
      </c>
      <c r="E275" s="301" t="s">
        <v>146</v>
      </c>
      <c r="F275" s="301" t="s">
        <v>146</v>
      </c>
      <c r="G275" s="301" t="s">
        <v>146</v>
      </c>
      <c r="H275" s="301" t="s">
        <v>146</v>
      </c>
      <c r="I275" s="301">
        <f t="shared" ref="I275:AB275" si="145">I274/D274-1</f>
        <v>8.5510934167993344</v>
      </c>
      <c r="J275" s="301">
        <f t="shared" si="145"/>
        <v>0.66190017679136037</v>
      </c>
      <c r="K275" s="301">
        <f t="shared" si="145"/>
        <v>1.1275673723859638</v>
      </c>
      <c r="L275" s="301">
        <f t="shared" si="145"/>
        <v>0.80649202683460386</v>
      </c>
      <c r="M275" s="301">
        <f t="shared" si="145"/>
        <v>1.2717741426954796</v>
      </c>
      <c r="N275" s="301">
        <f t="shared" si="145"/>
        <v>-0.77777777777777779</v>
      </c>
      <c r="O275" s="301">
        <f t="shared" si="145"/>
        <v>-0.31853005881539975</v>
      </c>
      <c r="P275" s="301">
        <f t="shared" si="145"/>
        <v>-3.0402233364234088E-2</v>
      </c>
      <c r="Q275" s="301">
        <f t="shared" si="145"/>
        <v>1.1987447531453452</v>
      </c>
      <c r="R275" s="301">
        <f t="shared" si="145"/>
        <v>0.26991312856557448</v>
      </c>
      <c r="S275" s="301">
        <f t="shared" si="145"/>
        <v>0.71320699999999992</v>
      </c>
      <c r="T275" s="301">
        <f t="shared" si="145"/>
        <v>2.3068981693349171</v>
      </c>
      <c r="U275" s="301">
        <f t="shared" si="145"/>
        <v>-0.4950770740608782</v>
      </c>
      <c r="V275" s="301">
        <f t="shared" si="145"/>
        <v>-0.73190613758440981</v>
      </c>
      <c r="W275" s="301">
        <f t="shared" si="145"/>
        <v>-0.46160787537619596</v>
      </c>
      <c r="X275" s="301">
        <f t="shared" si="145"/>
        <v>0.62958291088000462</v>
      </c>
      <c r="Y275" s="301">
        <f t="shared" si="145"/>
        <v>-0.57272852040816336</v>
      </c>
      <c r="Z275" s="301">
        <f t="shared" si="145"/>
        <v>1.40099052932253</v>
      </c>
      <c r="AA275" s="301">
        <f t="shared" si="145"/>
        <v>2.6166946576893695</v>
      </c>
      <c r="AB275" s="301">
        <f t="shared" si="145"/>
        <v>1.0708182417848806</v>
      </c>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row>
    <row r="276" spans="1:59" ht="15.75" customHeight="1" x14ac:dyDescent="0.2">
      <c r="A276" s="307"/>
      <c r="B276" s="307"/>
      <c r="C276" s="342"/>
      <c r="D276" s="330"/>
      <c r="E276" s="330"/>
      <c r="F276" s="330"/>
      <c r="G276" s="330"/>
      <c r="H276" s="330"/>
      <c r="I276" s="330"/>
      <c r="J276" s="330"/>
      <c r="K276" s="330"/>
      <c r="L276" s="330"/>
      <c r="M276" s="330"/>
      <c r="N276" s="330"/>
      <c r="O276" s="330"/>
      <c r="P276" s="330"/>
      <c r="Q276" s="330"/>
      <c r="R276" s="343"/>
      <c r="S276" s="330"/>
      <c r="T276" s="330"/>
      <c r="U276" s="330"/>
      <c r="V276" s="330"/>
      <c r="W276" s="330"/>
      <c r="X276" s="330"/>
      <c r="Y276" s="330"/>
      <c r="Z276" s="330"/>
      <c r="AA276" s="330"/>
      <c r="AB276" s="330"/>
      <c r="AC276" s="307"/>
      <c r="AD276" s="307"/>
      <c r="AE276" s="307"/>
      <c r="AF276" s="307"/>
      <c r="AG276" s="307"/>
      <c r="AH276" s="307"/>
      <c r="AI276" s="307"/>
      <c r="AJ276" s="307"/>
      <c r="AK276" s="307"/>
      <c r="AL276" s="307"/>
      <c r="AM276" s="307"/>
      <c r="AN276" s="307"/>
      <c r="AO276" s="307"/>
      <c r="AP276" s="307"/>
      <c r="AQ276" s="307"/>
      <c r="AR276" s="307"/>
      <c r="AS276" s="307"/>
      <c r="AT276" s="307"/>
      <c r="AU276" s="307"/>
      <c r="AV276" s="307"/>
      <c r="AW276" s="307"/>
      <c r="AX276" s="307"/>
      <c r="AY276" s="307"/>
      <c r="AZ276" s="307"/>
      <c r="BA276" s="307"/>
      <c r="BB276" s="307"/>
      <c r="BC276" s="307"/>
      <c r="BD276" s="307"/>
      <c r="BE276" s="307"/>
      <c r="BF276" s="307"/>
      <c r="BG276" s="307"/>
    </row>
    <row r="277" spans="1:59" ht="15.75" customHeight="1" x14ac:dyDescent="0.2">
      <c r="A277" s="162"/>
      <c r="B277" s="162"/>
      <c r="C277" s="227" t="s">
        <v>208</v>
      </c>
      <c r="D277" s="339" t="s">
        <v>98</v>
      </c>
      <c r="E277" s="339" t="s">
        <v>99</v>
      </c>
      <c r="F277" s="339" t="s">
        <v>100</v>
      </c>
      <c r="G277" s="339" t="s">
        <v>101</v>
      </c>
      <c r="H277" s="229">
        <v>2018</v>
      </c>
      <c r="I277" s="339" t="s">
        <v>102</v>
      </c>
      <c r="J277" s="339" t="s">
        <v>103</v>
      </c>
      <c r="K277" s="339" t="s">
        <v>104</v>
      </c>
      <c r="L277" s="339" t="s">
        <v>105</v>
      </c>
      <c r="M277" s="229">
        <v>2019</v>
      </c>
      <c r="N277" s="339" t="s">
        <v>158</v>
      </c>
      <c r="O277" s="339" t="s">
        <v>107</v>
      </c>
      <c r="P277" s="339" t="s">
        <v>108</v>
      </c>
      <c r="Q277" s="339" t="s">
        <v>109</v>
      </c>
      <c r="R277" s="229">
        <v>2020</v>
      </c>
      <c r="S277" s="339" t="s">
        <v>110</v>
      </c>
      <c r="T277" s="339" t="s">
        <v>111</v>
      </c>
      <c r="U277" s="339" t="s">
        <v>112</v>
      </c>
      <c r="V277" s="339" t="s">
        <v>113</v>
      </c>
      <c r="W277" s="229">
        <v>2021</v>
      </c>
      <c r="X277" s="339" t="s">
        <v>114</v>
      </c>
      <c r="Y277" s="339" t="s">
        <v>115</v>
      </c>
      <c r="Z277" s="339" t="str">
        <f>$Z$4</f>
        <v>3Q22</v>
      </c>
      <c r="AA277" s="339" t="str">
        <f>$AA$4</f>
        <v>4Q22</v>
      </c>
      <c r="AB277" s="229">
        <v>2022</v>
      </c>
      <c r="AC277" s="307"/>
      <c r="AD277" s="307"/>
      <c r="AE277" s="307"/>
      <c r="AF277" s="307"/>
      <c r="AG277" s="307"/>
      <c r="AH277" s="307"/>
      <c r="AI277" s="307"/>
      <c r="AJ277" s="307"/>
      <c r="AK277" s="307"/>
      <c r="AL277" s="307"/>
      <c r="AM277" s="307"/>
      <c r="AN277" s="307"/>
      <c r="AO277" s="307"/>
      <c r="AP277" s="307"/>
      <c r="AQ277" s="307"/>
      <c r="AR277" s="307"/>
      <c r="AS277" s="307"/>
      <c r="AT277" s="307"/>
      <c r="AU277" s="307"/>
      <c r="AV277" s="307"/>
      <c r="AW277" s="307"/>
      <c r="AX277" s="307"/>
      <c r="AY277" s="307"/>
      <c r="AZ277" s="307"/>
      <c r="BA277" s="307"/>
      <c r="BB277" s="307"/>
      <c r="BC277" s="307"/>
      <c r="BD277" s="307"/>
      <c r="BE277" s="307"/>
      <c r="BF277" s="307"/>
      <c r="BG277" s="307"/>
    </row>
    <row r="278" spans="1:59" ht="15.75" customHeight="1" x14ac:dyDescent="0.2">
      <c r="A278" s="307"/>
      <c r="B278" s="307"/>
      <c r="C278" s="308" t="s">
        <v>188</v>
      </c>
      <c r="D278" s="292">
        <v>5.0036999999990099E-4</v>
      </c>
      <c r="E278" s="292">
        <v>-0.63202581999999996</v>
      </c>
      <c r="F278" s="292">
        <v>0.63238503000000001</v>
      </c>
      <c r="G278" s="292">
        <v>1.3000000000101901E-7</v>
      </c>
      <c r="H278" s="292">
        <v>8.5970999999997199E-4</v>
      </c>
      <c r="I278" s="292">
        <v>2E-8</v>
      </c>
      <c r="J278" s="292">
        <v>8.9999999999999999E-8</v>
      </c>
      <c r="K278" s="292">
        <v>-4.2199999999999994E-6</v>
      </c>
      <c r="L278" s="292">
        <v>4.1799999999999998E-6</v>
      </c>
      <c r="M278" s="292">
        <v>7.0000000000000177E-8</v>
      </c>
      <c r="N278" s="292">
        <v>1.6696500000000002E-3</v>
      </c>
      <c r="O278" s="292">
        <v>-1.0825699999999999E-3</v>
      </c>
      <c r="P278" s="292">
        <v>1.0826099999999999E-3</v>
      </c>
      <c r="Q278" s="292">
        <v>-1.0000000000000001E-7</v>
      </c>
      <c r="R278" s="292">
        <v>1.6695900000000001E-3</v>
      </c>
      <c r="S278" s="292">
        <v>0</v>
      </c>
      <c r="T278" s="292">
        <v>-5.4500000000000003E-6</v>
      </c>
      <c r="U278" s="292">
        <v>4.7429999999999998E-5</v>
      </c>
      <c r="V278" s="292">
        <v>-4.1999999999999998E-5</v>
      </c>
      <c r="W278" s="292">
        <f>SUM(S278:V278)</f>
        <v>-1.999999999999642E-8</v>
      </c>
      <c r="X278" s="292">
        <v>1E-8</v>
      </c>
      <c r="Y278" s="292">
        <v>-2.7478324700000001</v>
      </c>
      <c r="Z278" s="292">
        <v>-0.6180371899999999</v>
      </c>
      <c r="AA278" s="292">
        <v>0.2502973</v>
      </c>
      <c r="AB278" s="292">
        <f>SUM(X278:AA278)</f>
        <v>-3.1155723499999999</v>
      </c>
      <c r="AC278" s="307"/>
      <c r="AD278" s="307"/>
      <c r="AE278" s="307"/>
      <c r="AF278" s="307"/>
      <c r="AG278" s="307"/>
      <c r="AH278" s="307"/>
      <c r="AI278" s="307"/>
      <c r="AJ278" s="307"/>
      <c r="AK278" s="307"/>
      <c r="AL278" s="307"/>
      <c r="AM278" s="307"/>
      <c r="AN278" s="307"/>
      <c r="AO278" s="307"/>
      <c r="AP278" s="307"/>
      <c r="AQ278" s="307"/>
      <c r="AR278" s="307"/>
      <c r="AS278" s="307"/>
      <c r="AT278" s="307"/>
      <c r="AU278" s="307"/>
      <c r="AV278" s="307"/>
      <c r="AW278" s="307"/>
      <c r="AX278" s="307"/>
      <c r="AY278" s="307"/>
      <c r="AZ278" s="307"/>
      <c r="BA278" s="307"/>
      <c r="BB278" s="307"/>
      <c r="BC278" s="307"/>
      <c r="BD278" s="307"/>
      <c r="BE278" s="307"/>
      <c r="BF278" s="307"/>
      <c r="BG278" s="307"/>
    </row>
    <row r="279" spans="1:59" ht="15.75" customHeight="1" x14ac:dyDescent="0.2">
      <c r="A279" s="307"/>
      <c r="B279" s="307"/>
      <c r="C279" s="308"/>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307"/>
      <c r="AD279" s="307"/>
      <c r="AE279" s="307"/>
      <c r="AF279" s="307"/>
      <c r="AG279" s="307"/>
      <c r="AH279" s="307"/>
      <c r="AI279" s="307"/>
      <c r="AJ279" s="307"/>
      <c r="AK279" s="307"/>
      <c r="AL279" s="307"/>
      <c r="AM279" s="307"/>
      <c r="AN279" s="307"/>
      <c r="AO279" s="307"/>
      <c r="AP279" s="307"/>
      <c r="AQ279" s="307"/>
      <c r="AR279" s="307"/>
      <c r="AS279" s="307"/>
      <c r="AT279" s="307"/>
      <c r="AU279" s="307"/>
      <c r="AV279" s="307"/>
      <c r="AW279" s="307"/>
      <c r="AX279" s="307"/>
      <c r="AY279" s="307"/>
      <c r="AZ279" s="307"/>
      <c r="BA279" s="307"/>
      <c r="BB279" s="307"/>
      <c r="BC279" s="307"/>
      <c r="BD279" s="307"/>
      <c r="BE279" s="307"/>
      <c r="BF279" s="307"/>
      <c r="BG279" s="307"/>
    </row>
    <row r="280" spans="1:59" ht="15.75" customHeight="1" x14ac:dyDescent="0.2">
      <c r="A280" s="307"/>
      <c r="B280" s="307"/>
      <c r="C280" s="308" t="s">
        <v>189</v>
      </c>
      <c r="D280" s="292">
        <v>-13.395355068122198</v>
      </c>
      <c r="E280" s="292">
        <v>-18.907906819969771</v>
      </c>
      <c r="F280" s="292">
        <v>-16.756291836664634</v>
      </c>
      <c r="G280" s="292">
        <v>-20.400467584130901</v>
      </c>
      <c r="H280" s="292">
        <v>-69.460021308887491</v>
      </c>
      <c r="I280" s="292">
        <v>-15.02114302</v>
      </c>
      <c r="J280" s="292">
        <v>-18.187849789999998</v>
      </c>
      <c r="K280" s="292">
        <v>-17.64778355</v>
      </c>
      <c r="L280" s="292">
        <v>-28.829342870000001</v>
      </c>
      <c r="M280" s="292">
        <v>-79.686119230000003</v>
      </c>
      <c r="N280" s="292">
        <v>-18.032401359999998</v>
      </c>
      <c r="O280" s="292">
        <v>-17.096575079999997</v>
      </c>
      <c r="P280" s="292">
        <v>-17.054786320000002</v>
      </c>
      <c r="Q280" s="292">
        <v>-28.290892719999999</v>
      </c>
      <c r="R280" s="292">
        <v>-80.474655479999996</v>
      </c>
      <c r="S280" s="292">
        <v>-16.401625970000001</v>
      </c>
      <c r="T280" s="292">
        <v>-27.632106440000001</v>
      </c>
      <c r="U280" s="292">
        <v>-24.671390769999999</v>
      </c>
      <c r="V280" s="292">
        <v>-57.222634679999999</v>
      </c>
      <c r="W280" s="292">
        <f>SUM(S280:V280)</f>
        <v>-125.92775786</v>
      </c>
      <c r="X280" s="292">
        <v>-25.090489059999999</v>
      </c>
      <c r="Y280" s="292">
        <v>-27.077906519999999</v>
      </c>
      <c r="Z280" s="292">
        <v>-27.167793030000002</v>
      </c>
      <c r="AA280" s="292">
        <v>-44.386718969999997</v>
      </c>
      <c r="AB280" s="292">
        <f>SUM(X280:AA280)</f>
        <v>-123.72290758</v>
      </c>
      <c r="AC280" s="307"/>
      <c r="AD280" s="307"/>
      <c r="AE280" s="307"/>
      <c r="AF280" s="307"/>
      <c r="AG280" s="307"/>
      <c r="AH280" s="307"/>
      <c r="AI280" s="307"/>
      <c r="AJ280" s="307"/>
      <c r="AK280" s="307"/>
      <c r="AL280" s="307"/>
      <c r="AM280" s="307"/>
      <c r="AN280" s="307"/>
      <c r="AO280" s="307"/>
      <c r="AP280" s="307"/>
      <c r="AQ280" s="307"/>
      <c r="AR280" s="307"/>
      <c r="AS280" s="307"/>
      <c r="AT280" s="307"/>
      <c r="AU280" s="307"/>
      <c r="AV280" s="307"/>
      <c r="AW280" s="307"/>
      <c r="AX280" s="307"/>
      <c r="AY280" s="307"/>
      <c r="AZ280" s="307"/>
      <c r="BA280" s="307"/>
      <c r="BB280" s="307"/>
      <c r="BC280" s="307"/>
      <c r="BD280" s="307"/>
      <c r="BE280" s="307"/>
      <c r="BF280" s="307"/>
      <c r="BG280" s="307"/>
    </row>
    <row r="281" spans="1:59" ht="15.75" customHeight="1" x14ac:dyDescent="0.2">
      <c r="A281" s="190"/>
      <c r="B281" s="190"/>
      <c r="C281" s="190" t="s">
        <v>241</v>
      </c>
      <c r="D281" s="301" t="s">
        <v>146</v>
      </c>
      <c r="E281" s="301" t="s">
        <v>146</v>
      </c>
      <c r="F281" s="301" t="s">
        <v>146</v>
      </c>
      <c r="G281" s="301" t="s">
        <v>146</v>
      </c>
      <c r="H281" s="301" t="s">
        <v>146</v>
      </c>
      <c r="I281" s="301">
        <f t="shared" ref="I281:AB281" si="146">I280/D280-1</f>
        <v>0.12136953022968355</v>
      </c>
      <c r="J281" s="301">
        <f t="shared" si="146"/>
        <v>-3.8082323803779183E-2</v>
      </c>
      <c r="K281" s="301">
        <f t="shared" si="146"/>
        <v>5.3203400968744319E-2</v>
      </c>
      <c r="L281" s="301">
        <f t="shared" si="146"/>
        <v>0.41317069087307323</v>
      </c>
      <c r="M281" s="301">
        <f t="shared" si="146"/>
        <v>0.14722278698472091</v>
      </c>
      <c r="N281" s="301">
        <f t="shared" si="146"/>
        <v>0.2004679894193564</v>
      </c>
      <c r="O281" s="301">
        <f t="shared" si="146"/>
        <v>-6.0000204675101476E-2</v>
      </c>
      <c r="P281" s="301">
        <f t="shared" si="146"/>
        <v>-3.3601796413691765E-2</v>
      </c>
      <c r="Q281" s="301">
        <f t="shared" si="146"/>
        <v>-1.8677156549423701E-2</v>
      </c>
      <c r="R281" s="301">
        <f t="shared" si="146"/>
        <v>9.8955283256298987E-3</v>
      </c>
      <c r="S281" s="301">
        <f t="shared" si="146"/>
        <v>-9.0435841430272834E-2</v>
      </c>
      <c r="T281" s="301">
        <f t="shared" si="146"/>
        <v>0.61623636960625716</v>
      </c>
      <c r="U281" s="301">
        <f t="shared" si="146"/>
        <v>0.44659629895615116</v>
      </c>
      <c r="V281" s="301">
        <f t="shared" si="146"/>
        <v>1.0226521392005052</v>
      </c>
      <c r="W281" s="301">
        <f t="shared" si="146"/>
        <v>0.56481263708294183</v>
      </c>
      <c r="X281" s="301">
        <f t="shared" si="146"/>
        <v>0.52975620257971268</v>
      </c>
      <c r="Y281" s="301">
        <f t="shared" si="146"/>
        <v>-2.0056376129101272E-2</v>
      </c>
      <c r="Z281" s="301">
        <f t="shared" si="146"/>
        <v>0.10118611809414446</v>
      </c>
      <c r="AA281" s="301">
        <f t="shared" si="146"/>
        <v>-0.2243153567077244</v>
      </c>
      <c r="AB281" s="301">
        <f t="shared" si="146"/>
        <v>-1.7508850450996261E-2</v>
      </c>
      <c r="AC281" s="312"/>
      <c r="AD281" s="312"/>
      <c r="AE281" s="312"/>
      <c r="AF281" s="312"/>
      <c r="AG281" s="312"/>
      <c r="AH281" s="312"/>
      <c r="AI281" s="312"/>
      <c r="AJ281" s="312"/>
      <c r="AK281" s="312"/>
      <c r="AL281" s="312"/>
      <c r="AM281" s="312"/>
      <c r="AN281" s="312"/>
      <c r="AO281" s="312"/>
      <c r="AP281" s="312"/>
      <c r="AQ281" s="312"/>
      <c r="AR281" s="312"/>
      <c r="AS281" s="312"/>
      <c r="AT281" s="312"/>
      <c r="AU281" s="312"/>
      <c r="AV281" s="312"/>
      <c r="AW281" s="312"/>
      <c r="AX281" s="312"/>
      <c r="AY281" s="312"/>
      <c r="AZ281" s="312"/>
      <c r="BA281" s="312"/>
      <c r="BB281" s="312"/>
      <c r="BC281" s="312"/>
      <c r="BD281" s="312"/>
      <c r="BE281" s="312"/>
      <c r="BF281" s="312"/>
      <c r="BG281" s="312"/>
    </row>
    <row r="282" spans="1:59" ht="15.75" customHeight="1" x14ac:dyDescent="0.2">
      <c r="A282" s="307"/>
      <c r="B282" s="307"/>
      <c r="C282" s="308"/>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307"/>
      <c r="AD282" s="307"/>
      <c r="AE282" s="307"/>
      <c r="AF282" s="307"/>
      <c r="AG282" s="307"/>
      <c r="AH282" s="307"/>
      <c r="AI282" s="307"/>
      <c r="AJ282" s="307"/>
      <c r="AK282" s="307"/>
      <c r="AL282" s="307"/>
      <c r="AM282" s="307"/>
      <c r="AN282" s="307"/>
      <c r="AO282" s="307"/>
      <c r="AP282" s="307"/>
      <c r="AQ282" s="307"/>
      <c r="AR282" s="307"/>
      <c r="AS282" s="307"/>
      <c r="AT282" s="307"/>
      <c r="AU282" s="307"/>
      <c r="AV282" s="307"/>
      <c r="AW282" s="307"/>
      <c r="AX282" s="307"/>
      <c r="AY282" s="307"/>
      <c r="AZ282" s="307"/>
      <c r="BA282" s="307"/>
      <c r="BB282" s="307"/>
      <c r="BC282" s="307"/>
      <c r="BD282" s="307"/>
      <c r="BE282" s="307"/>
      <c r="BF282" s="307"/>
      <c r="BG282" s="307"/>
    </row>
    <row r="283" spans="1:59" ht="15.75" customHeight="1" x14ac:dyDescent="0.2">
      <c r="A283" s="268"/>
      <c r="B283" s="268"/>
      <c r="C283" s="307" t="s">
        <v>242</v>
      </c>
      <c r="D283" s="292">
        <f t="shared" ref="D283:AB283" si="147">D286-D280</f>
        <v>-1.3877720637749995</v>
      </c>
      <c r="E283" s="292">
        <f t="shared" si="147"/>
        <v>-1.6528568698210009</v>
      </c>
      <c r="F283" s="292">
        <f t="shared" si="147"/>
        <v>-1.5644760412079961</v>
      </c>
      <c r="G283" s="292">
        <f t="shared" si="147"/>
        <v>-1.4121392548940008</v>
      </c>
      <c r="H283" s="292">
        <f t="shared" si="147"/>
        <v>-6.017244229698008</v>
      </c>
      <c r="I283" s="292">
        <f t="shared" si="147"/>
        <v>-1.7128397599999978</v>
      </c>
      <c r="J283" s="292">
        <f t="shared" si="147"/>
        <v>-0.74369154000000037</v>
      </c>
      <c r="K283" s="292">
        <f t="shared" si="147"/>
        <v>-1.8559351400000033</v>
      </c>
      <c r="L283" s="292">
        <f t="shared" si="147"/>
        <v>-1.4545604599999962</v>
      </c>
      <c r="M283" s="292">
        <f t="shared" si="147"/>
        <v>-5.7670268999999905</v>
      </c>
      <c r="N283" s="292">
        <f t="shared" si="147"/>
        <v>-2.1919171600000027</v>
      </c>
      <c r="O283" s="292">
        <f t="shared" si="147"/>
        <v>-2.7296899400000036</v>
      </c>
      <c r="P283" s="292">
        <f t="shared" si="147"/>
        <v>-2.60405175</v>
      </c>
      <c r="Q283" s="292">
        <f t="shared" si="147"/>
        <v>-2.5536800900000003</v>
      </c>
      <c r="R283" s="292">
        <f t="shared" si="147"/>
        <v>-10.079338940000014</v>
      </c>
      <c r="S283" s="292">
        <f t="shared" si="147"/>
        <v>-2.6567069199999978</v>
      </c>
      <c r="T283" s="292">
        <f t="shared" si="147"/>
        <v>-2.5565253800000001</v>
      </c>
      <c r="U283" s="292">
        <f t="shared" si="147"/>
        <v>-2.4090169500000016</v>
      </c>
      <c r="V283" s="292">
        <f t="shared" si="147"/>
        <v>-2.4382201100000032</v>
      </c>
      <c r="W283" s="292">
        <f t="shared" si="147"/>
        <v>-10.060469359999999</v>
      </c>
      <c r="X283" s="292">
        <f t="shared" si="147"/>
        <v>-1.8877793599999997</v>
      </c>
      <c r="Y283" s="292">
        <f t="shared" si="147"/>
        <v>-0.8245973599999985</v>
      </c>
      <c r="Z283" s="292">
        <f t="shared" si="147"/>
        <v>-1.5045395900000003</v>
      </c>
      <c r="AA283" s="292">
        <f t="shared" si="147"/>
        <v>-0.97941836000000393</v>
      </c>
      <c r="AB283" s="292">
        <f t="shared" si="147"/>
        <v>-5.1963346699999988</v>
      </c>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row>
    <row r="284" spans="1:59" ht="15.75" customHeight="1" x14ac:dyDescent="0.2">
      <c r="A284" s="268"/>
      <c r="B284" s="268"/>
      <c r="C284" s="307" t="s">
        <v>243</v>
      </c>
      <c r="D284" s="301" t="s">
        <v>146</v>
      </c>
      <c r="E284" s="301" t="s">
        <v>146</v>
      </c>
      <c r="F284" s="301" t="s">
        <v>146</v>
      </c>
      <c r="G284" s="301" t="s">
        <v>146</v>
      </c>
      <c r="H284" s="301" t="s">
        <v>146</v>
      </c>
      <c r="I284" s="301">
        <f t="shared" ref="I284:AB284" si="148">I283/D283-1</f>
        <v>0.23423709462831632</v>
      </c>
      <c r="J284" s="301">
        <f t="shared" si="148"/>
        <v>-0.5500569023375026</v>
      </c>
      <c r="K284" s="301">
        <f t="shared" si="148"/>
        <v>0.18629821813503744</v>
      </c>
      <c r="L284" s="301">
        <f t="shared" si="148"/>
        <v>3.0040383736219756E-2</v>
      </c>
      <c r="M284" s="301">
        <f t="shared" si="148"/>
        <v>-4.1583376068246358E-2</v>
      </c>
      <c r="N284" s="301">
        <f t="shared" si="148"/>
        <v>0.27969773424690092</v>
      </c>
      <c r="O284" s="301">
        <f t="shared" si="148"/>
        <v>2.6704598522123866</v>
      </c>
      <c r="P284" s="301">
        <f t="shared" si="148"/>
        <v>0.40309415662014758</v>
      </c>
      <c r="Q284" s="301">
        <f t="shared" si="148"/>
        <v>0.75563695028531641</v>
      </c>
      <c r="R284" s="301">
        <f t="shared" si="148"/>
        <v>0.74775306492848692</v>
      </c>
      <c r="S284" s="301">
        <f t="shared" si="148"/>
        <v>0.21204713776682804</v>
      </c>
      <c r="T284" s="301">
        <f t="shared" si="148"/>
        <v>-6.3437446672058084E-2</v>
      </c>
      <c r="U284" s="301">
        <f t="shared" si="148"/>
        <v>-7.489666824017549E-2</v>
      </c>
      <c r="V284" s="301">
        <f t="shared" si="148"/>
        <v>-4.5213173119111105E-2</v>
      </c>
      <c r="W284" s="301">
        <f t="shared" si="148"/>
        <v>-1.8721049180250304E-3</v>
      </c>
      <c r="X284" s="301">
        <f t="shared" si="148"/>
        <v>-0.28942882416250815</v>
      </c>
      <c r="Y284" s="301">
        <f t="shared" si="148"/>
        <v>-0.67745387295939996</v>
      </c>
      <c r="Z284" s="301">
        <f t="shared" si="148"/>
        <v>-0.3754549589200693</v>
      </c>
      <c r="AA284" s="301">
        <f t="shared" si="148"/>
        <v>-0.59830601183910237</v>
      </c>
      <c r="AB284" s="301">
        <f t="shared" si="148"/>
        <v>-0.48348983689961766</v>
      </c>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c r="BD284" s="268"/>
      <c r="BE284" s="268"/>
      <c r="BF284" s="268"/>
      <c r="BG284" s="268"/>
    </row>
    <row r="285" spans="1:59" ht="15.75" customHeight="1" x14ac:dyDescent="0.2">
      <c r="A285" s="307"/>
      <c r="B285" s="307"/>
      <c r="C285" s="308"/>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307"/>
      <c r="AD285" s="307"/>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row>
    <row r="286" spans="1:59" ht="15.75" customHeight="1" x14ac:dyDescent="0.2">
      <c r="A286" s="307"/>
      <c r="B286" s="307"/>
      <c r="C286" s="308" t="s">
        <v>190</v>
      </c>
      <c r="D286" s="292">
        <v>-14.783127131897198</v>
      </c>
      <c r="E286" s="292">
        <v>-20.560763689790772</v>
      </c>
      <c r="F286" s="292">
        <v>-18.32076787787263</v>
      </c>
      <c r="G286" s="292">
        <v>-21.812606839024902</v>
      </c>
      <c r="H286" s="292">
        <v>-75.477265538585499</v>
      </c>
      <c r="I286" s="292">
        <v>-16.733982779999998</v>
      </c>
      <c r="J286" s="292">
        <v>-18.931541329999998</v>
      </c>
      <c r="K286" s="292">
        <v>-19.503718690000003</v>
      </c>
      <c r="L286" s="292">
        <v>-30.283903329999998</v>
      </c>
      <c r="M286" s="292">
        <v>-85.453146129999993</v>
      </c>
      <c r="N286" s="292">
        <v>-20.224318520000001</v>
      </c>
      <c r="O286" s="292">
        <v>-19.826265020000001</v>
      </c>
      <c r="P286" s="292">
        <v>-19.658838070000002</v>
      </c>
      <c r="Q286" s="292">
        <v>-30.844572809999999</v>
      </c>
      <c r="R286" s="292">
        <v>-90.553994420000009</v>
      </c>
      <c r="S286" s="292">
        <v>-19.058332889999999</v>
      </c>
      <c r="T286" s="292">
        <v>-30.188631820000001</v>
      </c>
      <c r="U286" s="292">
        <v>-27.08040772</v>
      </c>
      <c r="V286" s="292">
        <v>-59.660854790000002</v>
      </c>
      <c r="W286" s="292">
        <f>SUM(S286:V286)</f>
        <v>-135.98822722</v>
      </c>
      <c r="X286" s="292">
        <v>-26.978268419999999</v>
      </c>
      <c r="Y286" s="292">
        <v>-27.902503879999998</v>
      </c>
      <c r="Z286" s="292">
        <v>-28.672332620000002</v>
      </c>
      <c r="AA286" s="292">
        <v>-45.366137330000001</v>
      </c>
      <c r="AB286" s="292">
        <f>SUM(X286:AA286)</f>
        <v>-128.91924225</v>
      </c>
      <c r="AC286" s="307"/>
      <c r="AD286" s="307"/>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row>
    <row r="287" spans="1:59" ht="15.75" customHeight="1" x14ac:dyDescent="0.2">
      <c r="A287" s="307"/>
      <c r="B287" s="307"/>
      <c r="C287" s="190" t="s">
        <v>245</v>
      </c>
      <c r="D287" s="301" t="s">
        <v>146</v>
      </c>
      <c r="E287" s="301" t="s">
        <v>146</v>
      </c>
      <c r="F287" s="301" t="s">
        <v>146</v>
      </c>
      <c r="G287" s="301" t="s">
        <v>146</v>
      </c>
      <c r="H287" s="301" t="s">
        <v>146</v>
      </c>
      <c r="I287" s="301">
        <f t="shared" ref="I287:AB287" si="149">I286/D286-1</f>
        <v>0.13196501867953803</v>
      </c>
      <c r="J287" s="301">
        <f t="shared" si="149"/>
        <v>-7.92393893715021E-2</v>
      </c>
      <c r="K287" s="301">
        <f t="shared" si="149"/>
        <v>6.4568844494564681E-2</v>
      </c>
      <c r="L287" s="301">
        <f t="shared" si="149"/>
        <v>0.38836699132261043</v>
      </c>
      <c r="M287" s="301">
        <f t="shared" si="149"/>
        <v>0.13217066781936637</v>
      </c>
      <c r="N287" s="301">
        <f t="shared" si="149"/>
        <v>0.20857770597036573</v>
      </c>
      <c r="O287" s="301">
        <f t="shared" si="149"/>
        <v>4.7261006085234758E-2</v>
      </c>
      <c r="P287" s="301">
        <f t="shared" si="149"/>
        <v>7.9533232849349211E-3</v>
      </c>
      <c r="Q287" s="301">
        <f t="shared" si="149"/>
        <v>1.8513778553922E-2</v>
      </c>
      <c r="R287" s="301">
        <f t="shared" si="149"/>
        <v>5.9691755318640904E-2</v>
      </c>
      <c r="S287" s="301">
        <f t="shared" si="149"/>
        <v>-5.765265360347982E-2</v>
      </c>
      <c r="T287" s="301">
        <f t="shared" si="149"/>
        <v>0.52265854358079178</v>
      </c>
      <c r="U287" s="301">
        <f t="shared" si="149"/>
        <v>0.37751822480930564</v>
      </c>
      <c r="V287" s="301">
        <f t="shared" si="149"/>
        <v>0.93424156520195312</v>
      </c>
      <c r="W287" s="301">
        <f t="shared" si="149"/>
        <v>0.50173637387292613</v>
      </c>
      <c r="X287" s="301">
        <f t="shared" si="149"/>
        <v>0.41556287088235444</v>
      </c>
      <c r="Y287" s="301">
        <f t="shared" si="149"/>
        <v>-7.5728106978516396E-2</v>
      </c>
      <c r="Z287" s="301">
        <f t="shared" si="149"/>
        <v>5.8785115662209897E-2</v>
      </c>
      <c r="AA287" s="301">
        <f t="shared" si="149"/>
        <v>-0.23959960865991481</v>
      </c>
      <c r="AB287" s="301">
        <f t="shared" si="149"/>
        <v>-5.1982330489270145E-2</v>
      </c>
      <c r="AC287" s="307"/>
      <c r="AD287" s="307"/>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7"/>
      <c r="BE287" s="307"/>
      <c r="BF287" s="307"/>
      <c r="BG287" s="307"/>
    </row>
    <row r="288" spans="1:59" ht="15.75" customHeight="1" x14ac:dyDescent="0.2">
      <c r="A288" s="307"/>
      <c r="B288" s="307"/>
      <c r="C288" s="308" t="s">
        <v>246</v>
      </c>
      <c r="D288" s="292">
        <v>1.3391406499999998</v>
      </c>
      <c r="E288" s="292">
        <v>0.87190202000000006</v>
      </c>
      <c r="F288" s="292">
        <v>1.5910559400000008</v>
      </c>
      <c r="G288" s="292">
        <v>1.2</v>
      </c>
      <c r="H288" s="292">
        <f>SUM(D288:G288)</f>
        <v>5.0020986100000009</v>
      </c>
      <c r="I288" s="292">
        <v>0.5</v>
      </c>
      <c r="J288" s="292">
        <v>0.53372385</v>
      </c>
      <c r="K288" s="292">
        <v>1</v>
      </c>
      <c r="L288" s="292">
        <v>2.0880602600000002</v>
      </c>
      <c r="M288" s="292">
        <f>SUM(I288:L288)</f>
        <v>4.1217841100000001</v>
      </c>
      <c r="N288" s="292">
        <v>2.9</v>
      </c>
      <c r="O288" s="292">
        <v>0.89468212999999996</v>
      </c>
      <c r="P288" s="292">
        <v>0.68000743000000008</v>
      </c>
      <c r="Q288" s="292">
        <v>0.56014392000000002</v>
      </c>
      <c r="R288" s="292">
        <f>SUM(N288:Q288)</f>
        <v>5.0348334799999996</v>
      </c>
      <c r="S288" s="292">
        <v>0.11049929</v>
      </c>
      <c r="T288" s="292">
        <v>0.2</v>
      </c>
      <c r="U288" s="292">
        <v>1.17380273</v>
      </c>
      <c r="V288" s="292">
        <v>0.1</v>
      </c>
      <c r="W288" s="292">
        <f>SUM(S288:V288)</f>
        <v>1.58430202</v>
      </c>
      <c r="X288" s="292">
        <v>0.1</v>
      </c>
      <c r="Y288" s="292">
        <v>0.49666408000000001</v>
      </c>
      <c r="Z288" s="292">
        <v>1.38821119</v>
      </c>
      <c r="AA288" s="292">
        <v>0.45637469000000003</v>
      </c>
      <c r="AB288" s="292">
        <f>SUM(X288:AA288)</f>
        <v>2.4412499599999999</v>
      </c>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c r="AZ288" s="307"/>
      <c r="BA288" s="307"/>
      <c r="BB288" s="307"/>
      <c r="BC288" s="307"/>
      <c r="BD288" s="307"/>
      <c r="BE288" s="307"/>
      <c r="BF288" s="307"/>
      <c r="BG288" s="307"/>
    </row>
    <row r="289" spans="1:59" ht="15.75" customHeight="1" x14ac:dyDescent="0.2">
      <c r="A289" s="329"/>
      <c r="B289" s="329"/>
      <c r="C289" s="340"/>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c r="BD289" s="268"/>
      <c r="BE289" s="268"/>
      <c r="BF289" s="268"/>
      <c r="BG289" s="268"/>
    </row>
    <row r="290" spans="1:59" ht="15.75" customHeight="1" x14ac:dyDescent="0.2">
      <c r="A290" s="210"/>
      <c r="B290" s="211" t="s">
        <v>249</v>
      </c>
      <c r="C290" s="211"/>
      <c r="D290" s="277"/>
      <c r="E290" s="277"/>
      <c r="F290" s="277"/>
      <c r="G290" s="277"/>
      <c r="H290" s="159"/>
      <c r="I290" s="277"/>
      <c r="J290" s="277"/>
      <c r="K290" s="277"/>
      <c r="L290" s="277"/>
      <c r="M290" s="159"/>
      <c r="N290" s="277"/>
      <c r="O290" s="277"/>
      <c r="P290" s="277"/>
      <c r="Q290" s="277"/>
      <c r="R290" s="159"/>
      <c r="S290" s="277"/>
      <c r="T290" s="277"/>
      <c r="U290" s="277"/>
      <c r="V290" s="277"/>
      <c r="W290" s="159"/>
      <c r="X290" s="277"/>
      <c r="Y290" s="277"/>
      <c r="Z290" s="277"/>
      <c r="AA290" s="277"/>
      <c r="AB290" s="159"/>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c r="BD290" s="268"/>
      <c r="BE290" s="268"/>
      <c r="BF290" s="268"/>
      <c r="BG290" s="268"/>
    </row>
    <row r="291" spans="1:59" ht="15.75" customHeight="1" x14ac:dyDescent="0.2">
      <c r="A291" s="210"/>
      <c r="B291" s="211" t="s">
        <v>246</v>
      </c>
      <c r="C291" s="211"/>
      <c r="D291" s="277" t="s">
        <v>98</v>
      </c>
      <c r="E291" s="277" t="s">
        <v>99</v>
      </c>
      <c r="F291" s="277" t="s">
        <v>100</v>
      </c>
      <c r="G291" s="277" t="s">
        <v>101</v>
      </c>
      <c r="H291" s="159">
        <v>2018</v>
      </c>
      <c r="I291" s="277" t="s">
        <v>102</v>
      </c>
      <c r="J291" s="277" t="s">
        <v>103</v>
      </c>
      <c r="K291" s="277" t="s">
        <v>104</v>
      </c>
      <c r="L291" s="277" t="s">
        <v>105</v>
      </c>
      <c r="M291" s="159">
        <v>2019</v>
      </c>
      <c r="N291" s="277" t="s">
        <v>158</v>
      </c>
      <c r="O291" s="277" t="s">
        <v>107</v>
      </c>
      <c r="P291" s="277" t="s">
        <v>108</v>
      </c>
      <c r="Q291" s="277" t="s">
        <v>109</v>
      </c>
      <c r="R291" s="159">
        <v>2020</v>
      </c>
      <c r="S291" s="277" t="s">
        <v>110</v>
      </c>
      <c r="T291" s="277" t="s">
        <v>111</v>
      </c>
      <c r="U291" s="277" t="s">
        <v>112</v>
      </c>
      <c r="V291" s="277" t="s">
        <v>113</v>
      </c>
      <c r="W291" s="159">
        <v>2021</v>
      </c>
      <c r="X291" s="277" t="s">
        <v>114</v>
      </c>
      <c r="Y291" s="277" t="s">
        <v>115</v>
      </c>
      <c r="Z291" s="277" t="str">
        <f>$Z$4</f>
        <v>3Q22</v>
      </c>
      <c r="AA291" s="277" t="str">
        <f>$AA$4</f>
        <v>4Q22</v>
      </c>
      <c r="AB291" s="160">
        <v>2022</v>
      </c>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row>
    <row r="292" spans="1:59" ht="15.75" customHeight="1" x14ac:dyDescent="0.2">
      <c r="A292" s="307"/>
      <c r="B292" s="307"/>
      <c r="C292" s="308" t="s">
        <v>19</v>
      </c>
      <c r="D292" s="292">
        <f t="shared" ref="D292:AB292" si="150">D184</f>
        <v>8.4116525699999976</v>
      </c>
      <c r="E292" s="292">
        <f t="shared" si="150"/>
        <v>10.997611050000001</v>
      </c>
      <c r="F292" s="292">
        <f t="shared" si="150"/>
        <v>8.0666841900000001</v>
      </c>
      <c r="G292" s="292">
        <f t="shared" si="150"/>
        <v>49.044311010000001</v>
      </c>
      <c r="H292" s="292">
        <f t="shared" si="150"/>
        <v>76.520258819999995</v>
      </c>
      <c r="I292" s="292">
        <f t="shared" si="150"/>
        <v>58.54052489</v>
      </c>
      <c r="J292" s="292">
        <f t="shared" si="150"/>
        <v>56.83265437</v>
      </c>
      <c r="K292" s="292">
        <f t="shared" si="150"/>
        <v>72.185164149999991</v>
      </c>
      <c r="L292" s="292">
        <f t="shared" si="150"/>
        <v>58.781831139999994</v>
      </c>
      <c r="M292" s="292">
        <f t="shared" si="150"/>
        <v>246.34017454999997</v>
      </c>
      <c r="N292" s="292">
        <f t="shared" si="150"/>
        <v>57.7</v>
      </c>
      <c r="O292" s="292">
        <f t="shared" si="150"/>
        <v>132.00011524000001</v>
      </c>
      <c r="P292" s="292">
        <f t="shared" si="150"/>
        <v>20.990084899999999</v>
      </c>
      <c r="Q292" s="292">
        <f t="shared" si="150"/>
        <v>32.607661449999995</v>
      </c>
      <c r="R292" s="292">
        <f t="shared" si="150"/>
        <v>243.29786159</v>
      </c>
      <c r="S292" s="292">
        <f t="shared" si="150"/>
        <v>15.051717760000001</v>
      </c>
      <c r="T292" s="292">
        <f t="shared" si="150"/>
        <v>8.8725461299999999</v>
      </c>
      <c r="U292" s="292">
        <f t="shared" si="150"/>
        <v>12.477934440000002</v>
      </c>
      <c r="V292" s="292">
        <f t="shared" si="150"/>
        <v>19.288367390000001</v>
      </c>
      <c r="W292" s="292">
        <f t="shared" si="150"/>
        <v>55.690565720000009</v>
      </c>
      <c r="X292" s="292">
        <f t="shared" si="150"/>
        <v>9.1916069799999995</v>
      </c>
      <c r="Y292" s="292">
        <f t="shared" si="150"/>
        <v>9.5233291000000015</v>
      </c>
      <c r="Z292" s="292">
        <f t="shared" si="150"/>
        <v>28.483083639999997</v>
      </c>
      <c r="AA292" s="292">
        <f t="shared" si="150"/>
        <v>24.693720970000001</v>
      </c>
      <c r="AB292" s="292">
        <f t="shared" si="150"/>
        <v>71.891740690000006</v>
      </c>
      <c r="AC292" s="307"/>
      <c r="AD292" s="307"/>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row>
    <row r="293" spans="1:59" ht="15.75" customHeight="1" x14ac:dyDescent="0.2">
      <c r="A293" s="307"/>
      <c r="B293" s="307"/>
      <c r="C293" s="308" t="s">
        <v>27</v>
      </c>
      <c r="D293" s="292">
        <f t="shared" ref="D293:AB293" si="151">D202</f>
        <v>0.21836718999999999</v>
      </c>
      <c r="E293" s="292">
        <f t="shared" si="151"/>
        <v>1.1094640500000004</v>
      </c>
      <c r="F293" s="292">
        <f t="shared" si="151"/>
        <v>4.9845690200000004</v>
      </c>
      <c r="G293" s="292">
        <f t="shared" si="151"/>
        <v>2.6806704600000018</v>
      </c>
      <c r="H293" s="292">
        <f t="shared" si="151"/>
        <v>8.9930707200000022</v>
      </c>
      <c r="I293" s="292">
        <f t="shared" si="151"/>
        <v>0.85676039999999998</v>
      </c>
      <c r="J293" s="292">
        <f t="shared" si="151"/>
        <v>0.92787512999999999</v>
      </c>
      <c r="K293" s="292">
        <f t="shared" si="151"/>
        <v>2.0670614</v>
      </c>
      <c r="L293" s="292">
        <f t="shared" si="151"/>
        <v>0.52748435999999999</v>
      </c>
      <c r="M293" s="292">
        <f t="shared" si="151"/>
        <v>4.37918129</v>
      </c>
      <c r="N293" s="292">
        <f t="shared" si="151"/>
        <v>0.28620612000000001</v>
      </c>
      <c r="O293" s="292">
        <f t="shared" si="151"/>
        <v>0.35039535999999999</v>
      </c>
      <c r="P293" s="292">
        <f t="shared" si="151"/>
        <v>0.23522620000000002</v>
      </c>
      <c r="Q293" s="292">
        <f t="shared" si="151"/>
        <v>0.57203477999999996</v>
      </c>
      <c r="R293" s="292">
        <f t="shared" si="151"/>
        <v>1.4438624600000001</v>
      </c>
      <c r="S293" s="292">
        <f t="shared" si="151"/>
        <v>1.3</v>
      </c>
      <c r="T293" s="292">
        <f t="shared" si="151"/>
        <v>2.3803548999999999</v>
      </c>
      <c r="U293" s="292">
        <f t="shared" si="151"/>
        <v>5.7340321300000001</v>
      </c>
      <c r="V293" s="292">
        <f t="shared" si="151"/>
        <v>6.0690055599999999</v>
      </c>
      <c r="W293" s="292">
        <f t="shared" si="151"/>
        <v>15.483392590000001</v>
      </c>
      <c r="X293" s="292">
        <f t="shared" si="151"/>
        <v>2.8675736000000001</v>
      </c>
      <c r="Y293" s="292">
        <f t="shared" si="151"/>
        <v>4.9792733199999999</v>
      </c>
      <c r="Z293" s="292">
        <f t="shared" si="151"/>
        <v>2.9712975299999997</v>
      </c>
      <c r="AA293" s="292">
        <f t="shared" si="151"/>
        <v>1.21829506</v>
      </c>
      <c r="AB293" s="292">
        <f t="shared" si="151"/>
        <v>12.036439510000001</v>
      </c>
      <c r="AC293" s="307"/>
      <c r="AD293" s="307"/>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7"/>
      <c r="BE293" s="307"/>
      <c r="BF293" s="307"/>
      <c r="BG293" s="307"/>
    </row>
    <row r="294" spans="1:59" ht="15.75" customHeight="1" x14ac:dyDescent="0.2">
      <c r="A294" s="307"/>
      <c r="B294" s="307"/>
      <c r="C294" s="308" t="s">
        <v>21</v>
      </c>
      <c r="D294" s="292">
        <f t="shared" ref="D294:AB294" si="152">D220</f>
        <v>1.4626554299999996</v>
      </c>
      <c r="E294" s="292">
        <f t="shared" si="152"/>
        <v>0.85530867000000044</v>
      </c>
      <c r="F294" s="292">
        <f t="shared" si="152"/>
        <v>1.37561029</v>
      </c>
      <c r="G294" s="292">
        <f t="shared" si="152"/>
        <v>2.9481452199999993</v>
      </c>
      <c r="H294" s="292">
        <f t="shared" si="152"/>
        <v>6.6417196099999991</v>
      </c>
      <c r="I294" s="292">
        <f t="shared" si="152"/>
        <v>0.49493970000000004</v>
      </c>
      <c r="J294" s="292">
        <f t="shared" si="152"/>
        <v>0.33305490000000004</v>
      </c>
      <c r="K294" s="292">
        <f t="shared" si="152"/>
        <v>0.36728040000000001</v>
      </c>
      <c r="L294" s="292">
        <f t="shared" si="152"/>
        <v>0.85088651000000004</v>
      </c>
      <c r="M294" s="292">
        <f t="shared" si="152"/>
        <v>2.0461615100000001</v>
      </c>
      <c r="N294" s="292">
        <f t="shared" si="152"/>
        <v>0</v>
      </c>
      <c r="O294" s="292">
        <f t="shared" si="152"/>
        <v>0</v>
      </c>
      <c r="P294" s="292">
        <f t="shared" si="152"/>
        <v>0</v>
      </c>
      <c r="Q294" s="292">
        <f t="shared" si="152"/>
        <v>0</v>
      </c>
      <c r="R294" s="292">
        <f t="shared" si="152"/>
        <v>0</v>
      </c>
      <c r="S294" s="292">
        <f t="shared" si="152"/>
        <v>7.0000000000000001E-3</v>
      </c>
      <c r="T294" s="292">
        <f t="shared" si="152"/>
        <v>0.17</v>
      </c>
      <c r="U294" s="292">
        <f t="shared" si="152"/>
        <v>0.60831733999999993</v>
      </c>
      <c r="V294" s="292">
        <f t="shared" si="152"/>
        <v>0.3</v>
      </c>
      <c r="W294" s="292">
        <f t="shared" si="152"/>
        <v>1.08531734</v>
      </c>
      <c r="X294" s="292">
        <f t="shared" si="152"/>
        <v>0.5</v>
      </c>
      <c r="Y294" s="292">
        <f t="shared" si="152"/>
        <v>0.50149316999999993</v>
      </c>
      <c r="Z294" s="292">
        <f t="shared" si="152"/>
        <v>0.22117095000000001</v>
      </c>
      <c r="AA294" s="292">
        <f t="shared" si="152"/>
        <v>3.27679309</v>
      </c>
      <c r="AB294" s="292">
        <f t="shared" si="152"/>
        <v>4.4994572100000001</v>
      </c>
      <c r="AC294" s="307"/>
      <c r="AD294" s="307"/>
      <c r="AE294" s="307"/>
      <c r="AF294" s="307"/>
      <c r="AG294" s="307"/>
      <c r="AH294" s="307"/>
      <c r="AI294" s="307"/>
      <c r="AJ294" s="307"/>
      <c r="AK294" s="307"/>
      <c r="AL294" s="307"/>
      <c r="AM294" s="307"/>
      <c r="AN294" s="307"/>
      <c r="AO294" s="307"/>
      <c r="AP294" s="307"/>
      <c r="AQ294" s="307"/>
      <c r="AR294" s="307"/>
      <c r="AS294" s="307"/>
      <c r="AT294" s="307"/>
      <c r="AU294" s="307"/>
      <c r="AV294" s="307"/>
      <c r="AW294" s="307"/>
      <c r="AX294" s="307"/>
      <c r="AY294" s="307"/>
      <c r="AZ294" s="307"/>
      <c r="BA294" s="307"/>
      <c r="BB294" s="307"/>
      <c r="BC294" s="307"/>
      <c r="BD294" s="307"/>
      <c r="BE294" s="307"/>
      <c r="BF294" s="307"/>
      <c r="BG294" s="307"/>
    </row>
    <row r="295" spans="1:59" ht="15.75" customHeight="1" x14ac:dyDescent="0.2">
      <c r="A295" s="307"/>
      <c r="B295" s="307"/>
      <c r="C295" s="308" t="s">
        <v>23</v>
      </c>
      <c r="D295" s="292">
        <f t="shared" ref="D295:AB295" si="153">D238</f>
        <v>38.391384725910342</v>
      </c>
      <c r="E295" s="292">
        <f t="shared" si="153"/>
        <v>22.105727308789938</v>
      </c>
      <c r="F295" s="292">
        <f t="shared" si="153"/>
        <v>34.870862515672187</v>
      </c>
      <c r="G295" s="292">
        <f t="shared" si="153"/>
        <v>33.07031370398213</v>
      </c>
      <c r="H295" s="292">
        <f t="shared" si="153"/>
        <v>128.4382882543546</v>
      </c>
      <c r="I295" s="292">
        <f t="shared" si="153"/>
        <v>27.16334741</v>
      </c>
      <c r="J295" s="292">
        <f t="shared" si="153"/>
        <v>32.908856450000002</v>
      </c>
      <c r="K295" s="292">
        <f t="shared" si="153"/>
        <v>16.473397670000001</v>
      </c>
      <c r="L295" s="292">
        <f t="shared" si="153"/>
        <v>13.750044800000001</v>
      </c>
      <c r="M295" s="292">
        <f t="shared" si="153"/>
        <v>90.295646329999997</v>
      </c>
      <c r="N295" s="292">
        <f t="shared" si="153"/>
        <v>10</v>
      </c>
      <c r="O295" s="292">
        <f t="shared" si="153"/>
        <v>12.455405710000001</v>
      </c>
      <c r="P295" s="292">
        <f t="shared" si="153"/>
        <v>10.55384714</v>
      </c>
      <c r="Q295" s="292">
        <f t="shared" si="153"/>
        <v>31.186870620000001</v>
      </c>
      <c r="R295" s="292">
        <f t="shared" si="153"/>
        <v>64.196123470000003</v>
      </c>
      <c r="S295" s="292">
        <f t="shared" si="153"/>
        <v>19.7</v>
      </c>
      <c r="T295" s="292">
        <f t="shared" si="153"/>
        <v>41.7</v>
      </c>
      <c r="U295" s="292">
        <f t="shared" si="153"/>
        <v>42.096377560000001</v>
      </c>
      <c r="V295" s="292">
        <f t="shared" si="153"/>
        <v>88.611016770000006</v>
      </c>
      <c r="W295" s="292">
        <f t="shared" si="153"/>
        <v>192.10739433000003</v>
      </c>
      <c r="X295" s="292">
        <f t="shared" si="153"/>
        <v>58.990616410000001</v>
      </c>
      <c r="Y295" s="292">
        <f t="shared" si="153"/>
        <v>53.984707880000002</v>
      </c>
      <c r="Z295" s="292">
        <f t="shared" si="153"/>
        <v>66.229441129999998</v>
      </c>
      <c r="AA295" s="292">
        <f t="shared" si="153"/>
        <v>57.44280886</v>
      </c>
      <c r="AB295" s="292">
        <f t="shared" si="153"/>
        <v>236.64757428000001</v>
      </c>
      <c r="AC295" s="307"/>
      <c r="AD295" s="307"/>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row>
    <row r="296" spans="1:59" ht="15.75" customHeight="1" x14ac:dyDescent="0.2">
      <c r="A296" s="307"/>
      <c r="B296" s="307"/>
      <c r="C296" s="308" t="s">
        <v>25</v>
      </c>
      <c r="D296" s="292">
        <f t="shared" ref="D296:AB296" si="154">D256</f>
        <v>9.2010773401000001E-2</v>
      </c>
      <c r="E296" s="292">
        <f t="shared" si="154"/>
        <v>8.5741221065000012E-2</v>
      </c>
      <c r="F296" s="292">
        <f t="shared" si="154"/>
        <v>4.0058312036000014E-2</v>
      </c>
      <c r="G296" s="292">
        <f t="shared" si="154"/>
        <v>3.2504339490999991E-2</v>
      </c>
      <c r="H296" s="292">
        <f t="shared" si="154"/>
        <v>0.25031464599300002</v>
      </c>
      <c r="I296" s="292">
        <f t="shared" si="154"/>
        <v>7.1822440000000001E-2</v>
      </c>
      <c r="J296" s="292">
        <f t="shared" si="154"/>
        <v>0</v>
      </c>
      <c r="K296" s="292">
        <f t="shared" si="154"/>
        <v>0.50864787</v>
      </c>
      <c r="L296" s="292">
        <f t="shared" si="154"/>
        <v>0.12040613</v>
      </c>
      <c r="M296" s="292">
        <f t="shared" si="154"/>
        <v>0.70087644000000004</v>
      </c>
      <c r="N296" s="292">
        <f t="shared" si="154"/>
        <v>0.5</v>
      </c>
      <c r="O296" s="292">
        <f t="shared" si="154"/>
        <v>0.13039134999999999</v>
      </c>
      <c r="P296" s="292">
        <f t="shared" si="154"/>
        <v>0.20134960999999998</v>
      </c>
      <c r="Q296" s="292">
        <f t="shared" si="154"/>
        <v>0.15211810000000001</v>
      </c>
      <c r="R296" s="292">
        <f t="shared" si="154"/>
        <v>0.98385906000000001</v>
      </c>
      <c r="S296" s="292">
        <f t="shared" si="154"/>
        <v>0.1</v>
      </c>
      <c r="T296" s="292">
        <f t="shared" si="154"/>
        <v>7.0000000000000007E-2</v>
      </c>
      <c r="U296" s="292">
        <f t="shared" si="154"/>
        <v>0.26326114</v>
      </c>
      <c r="V296" s="292">
        <f t="shared" si="154"/>
        <v>7.5282409999999994E-2</v>
      </c>
      <c r="W296" s="292">
        <f t="shared" si="154"/>
        <v>0.50854355000000007</v>
      </c>
      <c r="X296" s="292">
        <f t="shared" si="154"/>
        <v>5.5181510000000003E-2</v>
      </c>
      <c r="Y296" s="292">
        <f t="shared" si="154"/>
        <v>0.28988016</v>
      </c>
      <c r="Z296" s="292">
        <f t="shared" si="154"/>
        <v>0.34862956000000001</v>
      </c>
      <c r="AA296" s="292">
        <f t="shared" si="154"/>
        <v>0.19710276000000002</v>
      </c>
      <c r="AB296" s="292">
        <f t="shared" si="154"/>
        <v>0.89079399000000004</v>
      </c>
      <c r="AC296" s="307"/>
      <c r="AD296" s="307"/>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row>
    <row r="297" spans="1:59" ht="15.75" customHeight="1" x14ac:dyDescent="0.2">
      <c r="A297" s="307"/>
      <c r="B297" s="307"/>
      <c r="C297" s="308" t="s">
        <v>29</v>
      </c>
      <c r="D297" s="292">
        <f t="shared" ref="D297:AB297" si="155">D274</f>
        <v>9.4230048929999782E-2</v>
      </c>
      <c r="E297" s="292">
        <f t="shared" si="155"/>
        <v>0.26166980789400002</v>
      </c>
      <c r="F297" s="292">
        <f t="shared" si="155"/>
        <v>0.60338668314900001</v>
      </c>
      <c r="G297" s="292">
        <f t="shared" si="155"/>
        <v>0.94422834679700018</v>
      </c>
      <c r="H297" s="292">
        <f t="shared" si="155"/>
        <v>1.90351488677</v>
      </c>
      <c r="I297" s="292">
        <f t="shared" si="155"/>
        <v>0.9</v>
      </c>
      <c r="J297" s="292">
        <f t="shared" si="155"/>
        <v>0.43486909999999995</v>
      </c>
      <c r="K297" s="292">
        <f t="shared" si="155"/>
        <v>1.28374582</v>
      </c>
      <c r="L297" s="292">
        <f t="shared" si="155"/>
        <v>1.7057409800000001</v>
      </c>
      <c r="M297" s="292">
        <f t="shared" si="155"/>
        <v>4.3243558999999996</v>
      </c>
      <c r="N297" s="292">
        <f t="shared" si="155"/>
        <v>0.2</v>
      </c>
      <c r="O297" s="292">
        <f t="shared" si="155"/>
        <v>0.29635022</v>
      </c>
      <c r="P297" s="292">
        <f t="shared" si="155"/>
        <v>1.24471708</v>
      </c>
      <c r="Q297" s="292">
        <f t="shared" si="155"/>
        <v>3.7504890299999998</v>
      </c>
      <c r="R297" s="292">
        <f t="shared" si="155"/>
        <v>5.4915563299999999</v>
      </c>
      <c r="S297" s="292">
        <f t="shared" si="155"/>
        <v>0.34264139999999998</v>
      </c>
      <c r="T297" s="292">
        <f t="shared" si="155"/>
        <v>0.98</v>
      </c>
      <c r="U297" s="292">
        <f t="shared" si="155"/>
        <v>0.62848618999999994</v>
      </c>
      <c r="V297" s="292">
        <f t="shared" si="155"/>
        <v>1.00548309</v>
      </c>
      <c r="W297" s="292">
        <f t="shared" si="155"/>
        <v>2.9566106799999998</v>
      </c>
      <c r="X297" s="292">
        <f t="shared" si="155"/>
        <v>0.55836257</v>
      </c>
      <c r="Y297" s="292">
        <f t="shared" si="155"/>
        <v>0.41872604999999996</v>
      </c>
      <c r="Z297" s="292">
        <f t="shared" si="155"/>
        <v>1.50898939</v>
      </c>
      <c r="AA297" s="292">
        <f t="shared" si="155"/>
        <v>3.6365253199999996</v>
      </c>
      <c r="AB297" s="292">
        <f t="shared" si="155"/>
        <v>6.1226033299999996</v>
      </c>
      <c r="AC297" s="307"/>
      <c r="AD297" s="307"/>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7"/>
      <c r="BE297" s="307"/>
      <c r="BF297" s="307"/>
      <c r="BG297" s="307"/>
    </row>
    <row r="298" spans="1:59" ht="15.75" customHeight="1" x14ac:dyDescent="0.2">
      <c r="A298" s="307"/>
      <c r="B298" s="307"/>
      <c r="C298" s="308" t="s">
        <v>208</v>
      </c>
      <c r="D298" s="292">
        <f t="shared" ref="D298:AB298" si="156">D288</f>
        <v>1.3391406499999998</v>
      </c>
      <c r="E298" s="292">
        <f t="shared" si="156"/>
        <v>0.87190202000000006</v>
      </c>
      <c r="F298" s="292">
        <f t="shared" si="156"/>
        <v>1.5910559400000008</v>
      </c>
      <c r="G298" s="292">
        <f t="shared" si="156"/>
        <v>1.2</v>
      </c>
      <c r="H298" s="292">
        <f t="shared" si="156"/>
        <v>5.0020986100000009</v>
      </c>
      <c r="I298" s="292">
        <f t="shared" si="156"/>
        <v>0.5</v>
      </c>
      <c r="J298" s="292">
        <f t="shared" si="156"/>
        <v>0.53372385</v>
      </c>
      <c r="K298" s="292">
        <f t="shared" si="156"/>
        <v>1</v>
      </c>
      <c r="L298" s="292">
        <f t="shared" si="156"/>
        <v>2.0880602600000002</v>
      </c>
      <c r="M298" s="292">
        <f t="shared" si="156"/>
        <v>4.1217841100000001</v>
      </c>
      <c r="N298" s="292">
        <f t="shared" si="156"/>
        <v>2.9</v>
      </c>
      <c r="O298" s="292">
        <f t="shared" si="156"/>
        <v>0.89468212999999996</v>
      </c>
      <c r="P298" s="292">
        <f t="shared" si="156"/>
        <v>0.68000743000000008</v>
      </c>
      <c r="Q298" s="292">
        <f t="shared" si="156"/>
        <v>0.56014392000000002</v>
      </c>
      <c r="R298" s="292">
        <f t="shared" si="156"/>
        <v>5.0348334799999996</v>
      </c>
      <c r="S298" s="292">
        <f t="shared" si="156"/>
        <v>0.11049929</v>
      </c>
      <c r="T298" s="292">
        <f t="shared" si="156"/>
        <v>0.2</v>
      </c>
      <c r="U298" s="292">
        <f t="shared" si="156"/>
        <v>1.17380273</v>
      </c>
      <c r="V298" s="292">
        <f t="shared" si="156"/>
        <v>0.1</v>
      </c>
      <c r="W298" s="292">
        <f t="shared" si="156"/>
        <v>1.58430202</v>
      </c>
      <c r="X298" s="292">
        <f t="shared" si="156"/>
        <v>0.1</v>
      </c>
      <c r="Y298" s="292">
        <f t="shared" si="156"/>
        <v>0.49666408000000001</v>
      </c>
      <c r="Z298" s="292">
        <f t="shared" si="156"/>
        <v>1.38821119</v>
      </c>
      <c r="AA298" s="292">
        <f t="shared" si="156"/>
        <v>0.45637469000000003</v>
      </c>
      <c r="AB298" s="292">
        <f t="shared" si="156"/>
        <v>2.4412499599999999</v>
      </c>
      <c r="AC298" s="307"/>
      <c r="AD298" s="307"/>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row>
    <row r="299" spans="1:59" ht="15.75" customHeight="1" x14ac:dyDescent="0.2">
      <c r="A299" s="278"/>
      <c r="B299" s="278"/>
      <c r="C299" s="327" t="s">
        <v>250</v>
      </c>
      <c r="D299" s="333">
        <f t="shared" ref="D299:AB299" si="157">SUM(D292:D298)</f>
        <v>50.009441388241335</v>
      </c>
      <c r="E299" s="333">
        <f t="shared" si="157"/>
        <v>36.287424127748942</v>
      </c>
      <c r="F299" s="333">
        <f t="shared" si="157"/>
        <v>51.532226950857186</v>
      </c>
      <c r="G299" s="333">
        <f t="shared" si="157"/>
        <v>89.920173080270132</v>
      </c>
      <c r="H299" s="333">
        <f t="shared" si="157"/>
        <v>227.7492655471176</v>
      </c>
      <c r="I299" s="333">
        <f t="shared" si="157"/>
        <v>88.527394840000014</v>
      </c>
      <c r="J299" s="333">
        <f t="shared" si="157"/>
        <v>91.971033800000001</v>
      </c>
      <c r="K299" s="333">
        <f t="shared" si="157"/>
        <v>93.885297309999999</v>
      </c>
      <c r="L299" s="333">
        <f t="shared" si="157"/>
        <v>77.824454180000018</v>
      </c>
      <c r="M299" s="333">
        <f t="shared" si="157"/>
        <v>352.20818012999996</v>
      </c>
      <c r="N299" s="333">
        <f t="shared" si="157"/>
        <v>71.586206120000014</v>
      </c>
      <c r="O299" s="333">
        <f t="shared" si="157"/>
        <v>146.12734001000001</v>
      </c>
      <c r="P299" s="333">
        <f t="shared" si="157"/>
        <v>33.905232360000007</v>
      </c>
      <c r="Q299" s="333">
        <f t="shared" si="157"/>
        <v>68.829317899999992</v>
      </c>
      <c r="R299" s="333">
        <f t="shared" si="157"/>
        <v>320.44809638999993</v>
      </c>
      <c r="S299" s="333">
        <f t="shared" si="157"/>
        <v>36.61185845</v>
      </c>
      <c r="T299" s="333">
        <f t="shared" si="157"/>
        <v>54.372901030000001</v>
      </c>
      <c r="U299" s="333">
        <f t="shared" si="157"/>
        <v>62.982211529999994</v>
      </c>
      <c r="V299" s="333">
        <f t="shared" si="157"/>
        <v>115.44915522000001</v>
      </c>
      <c r="W299" s="333">
        <f t="shared" si="157"/>
        <v>269.41612623000003</v>
      </c>
      <c r="X299" s="333">
        <f t="shared" si="157"/>
        <v>72.263341069999996</v>
      </c>
      <c r="Y299" s="333">
        <f t="shared" si="157"/>
        <v>70.194073760000009</v>
      </c>
      <c r="Z299" s="333">
        <f t="shared" si="157"/>
        <v>101.15082339</v>
      </c>
      <c r="AA299" s="333">
        <f t="shared" si="157"/>
        <v>90.921620750000017</v>
      </c>
      <c r="AB299" s="333">
        <f t="shared" si="157"/>
        <v>334.52985897000008</v>
      </c>
      <c r="AC299" s="278"/>
      <c r="AD299" s="278"/>
      <c r="AE299" s="278"/>
      <c r="AF299" s="278"/>
      <c r="AG299" s="278"/>
      <c r="AH299" s="278"/>
      <c r="AI299" s="278"/>
      <c r="AJ299" s="278"/>
      <c r="AK299" s="278"/>
      <c r="AL299" s="278"/>
      <c r="AM299" s="278"/>
      <c r="AN299" s="278"/>
      <c r="AO299" s="278"/>
      <c r="AP299" s="278"/>
      <c r="AQ299" s="278"/>
      <c r="AR299" s="278"/>
      <c r="AS299" s="278"/>
      <c r="AT299" s="278"/>
      <c r="AU299" s="278"/>
      <c r="AV299" s="278"/>
      <c r="AW299" s="278"/>
      <c r="AX299" s="278"/>
      <c r="AY299" s="278"/>
      <c r="AZ299" s="278"/>
      <c r="BA299" s="278"/>
      <c r="BB299" s="278"/>
      <c r="BC299" s="278"/>
      <c r="BD299" s="278"/>
      <c r="BE299" s="278"/>
      <c r="BF299" s="278"/>
      <c r="BG299" s="278"/>
    </row>
    <row r="300" spans="1:59" ht="15.75" customHeight="1" x14ac:dyDescent="0.2">
      <c r="A300" s="307"/>
      <c r="B300" s="307"/>
      <c r="C300" s="308"/>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307"/>
      <c r="AD300" s="307"/>
      <c r="AE300" s="307"/>
      <c r="AF300" s="307"/>
      <c r="AG300" s="307"/>
      <c r="AH300" s="307"/>
      <c r="AI300" s="307"/>
      <c r="AJ300" s="307"/>
      <c r="AK300" s="307"/>
      <c r="AL300" s="307"/>
      <c r="AM300" s="307"/>
      <c r="AN300" s="307"/>
      <c r="AO300" s="307"/>
      <c r="AP300" s="307"/>
      <c r="AQ300" s="307"/>
      <c r="AR300" s="307"/>
      <c r="AS300" s="307"/>
      <c r="AT300" s="307"/>
      <c r="AU300" s="307"/>
      <c r="AV300" s="307"/>
      <c r="AW300" s="307"/>
      <c r="AX300" s="307"/>
      <c r="AY300" s="307"/>
      <c r="AZ300" s="307"/>
      <c r="BA300" s="307"/>
      <c r="BB300" s="307"/>
      <c r="BC300" s="307"/>
      <c r="BD300" s="307"/>
      <c r="BE300" s="307"/>
      <c r="BF300" s="307"/>
      <c r="BG300" s="307"/>
    </row>
    <row r="301" spans="1:59" ht="15.75" customHeight="1" x14ac:dyDescent="0.2">
      <c r="A301" s="210"/>
      <c r="B301" s="211" t="s">
        <v>251</v>
      </c>
      <c r="C301" s="211"/>
      <c r="D301" s="277" t="s">
        <v>98</v>
      </c>
      <c r="E301" s="277" t="s">
        <v>99</v>
      </c>
      <c r="F301" s="277" t="s">
        <v>100</v>
      </c>
      <c r="G301" s="277" t="s">
        <v>101</v>
      </c>
      <c r="H301" s="159">
        <v>2018</v>
      </c>
      <c r="I301" s="277" t="s">
        <v>102</v>
      </c>
      <c r="J301" s="277" t="s">
        <v>103</v>
      </c>
      <c r="K301" s="277" t="s">
        <v>104</v>
      </c>
      <c r="L301" s="277" t="s">
        <v>105</v>
      </c>
      <c r="M301" s="159">
        <v>2019</v>
      </c>
      <c r="N301" s="277" t="s">
        <v>158</v>
      </c>
      <c r="O301" s="277" t="s">
        <v>107</v>
      </c>
      <c r="P301" s="277" t="s">
        <v>108</v>
      </c>
      <c r="Q301" s="277" t="s">
        <v>109</v>
      </c>
      <c r="R301" s="159">
        <v>2020</v>
      </c>
      <c r="S301" s="277" t="s">
        <v>110</v>
      </c>
      <c r="T301" s="277" t="s">
        <v>111</v>
      </c>
      <c r="U301" s="277" t="s">
        <v>112</v>
      </c>
      <c r="V301" s="277" t="s">
        <v>113</v>
      </c>
      <c r="W301" s="159">
        <v>2021</v>
      </c>
      <c r="X301" s="277" t="s">
        <v>114</v>
      </c>
      <c r="Y301" s="277" t="s">
        <v>115</v>
      </c>
      <c r="Z301" s="277" t="str">
        <f>$Z$4</f>
        <v>3Q22</v>
      </c>
      <c r="AA301" s="277" t="str">
        <f>$AA$4</f>
        <v>4Q22</v>
      </c>
      <c r="AB301" s="160">
        <v>2022</v>
      </c>
      <c r="AC301" s="268"/>
      <c r="AD301" s="268"/>
      <c r="AE301" s="268"/>
      <c r="AF301" s="268"/>
      <c r="AG301" s="268"/>
      <c r="AH301" s="268"/>
      <c r="AI301" s="268"/>
      <c r="AJ301" s="268"/>
      <c r="AK301" s="268"/>
      <c r="AL301" s="268"/>
      <c r="AM301" s="268"/>
      <c r="AN301" s="268"/>
      <c r="AO301" s="268"/>
      <c r="AP301" s="268"/>
      <c r="AQ301" s="268"/>
      <c r="AR301" s="268"/>
      <c r="AS301" s="268"/>
      <c r="AT301" s="268"/>
      <c r="AU301" s="268"/>
      <c r="AV301" s="268"/>
      <c r="AW301" s="268"/>
      <c r="AX301" s="268"/>
      <c r="AY301" s="268"/>
      <c r="AZ301" s="268"/>
      <c r="BA301" s="268"/>
      <c r="BB301" s="268"/>
      <c r="BC301" s="268"/>
      <c r="BD301" s="268"/>
      <c r="BE301" s="268"/>
      <c r="BF301" s="268"/>
      <c r="BG301" s="268"/>
    </row>
    <row r="302" spans="1:59" ht="15.75" customHeight="1" x14ac:dyDescent="0.2">
      <c r="A302" s="307"/>
      <c r="B302" s="307"/>
      <c r="C302" s="308" t="s">
        <v>214</v>
      </c>
      <c r="D302" s="325">
        <f t="shared" ref="D302:AB302" si="158">D292/D$299</f>
        <v>0.16820129032630668</v>
      </c>
      <c r="E302" s="325">
        <f t="shared" si="158"/>
        <v>0.3030694879659464</v>
      </c>
      <c r="F302" s="325">
        <f t="shared" si="158"/>
        <v>0.15653668912256893</v>
      </c>
      <c r="G302" s="325">
        <f t="shared" si="158"/>
        <v>0.54542055836813197</v>
      </c>
      <c r="H302" s="325">
        <f t="shared" si="158"/>
        <v>0.33598465679429029</v>
      </c>
      <c r="I302" s="325">
        <f t="shared" si="158"/>
        <v>0.66127016383802117</v>
      </c>
      <c r="J302" s="325">
        <f t="shared" si="158"/>
        <v>0.61794080181362498</v>
      </c>
      <c r="K302" s="325">
        <f t="shared" si="158"/>
        <v>0.76886547966772367</v>
      </c>
      <c r="L302" s="325">
        <f t="shared" si="158"/>
        <v>0.75531311795703215</v>
      </c>
      <c r="M302" s="325">
        <f t="shared" si="158"/>
        <v>0.69941639191649629</v>
      </c>
      <c r="N302" s="325">
        <f t="shared" si="158"/>
        <v>0.80602120334855354</v>
      </c>
      <c r="O302" s="325">
        <f t="shared" si="158"/>
        <v>0.90332250782753443</v>
      </c>
      <c r="P302" s="325">
        <f t="shared" si="158"/>
        <v>0.61908099248903059</v>
      </c>
      <c r="Q302" s="325">
        <f t="shared" si="158"/>
        <v>0.47374668883650228</v>
      </c>
      <c r="R302" s="325">
        <f t="shared" si="158"/>
        <v>0.75924264906194172</v>
      </c>
      <c r="S302" s="325">
        <f t="shared" si="158"/>
        <v>0.41111591700693906</v>
      </c>
      <c r="T302" s="325">
        <f t="shared" si="158"/>
        <v>0.1631795611770763</v>
      </c>
      <c r="U302" s="325">
        <f t="shared" si="158"/>
        <v>0.19811839147719434</v>
      </c>
      <c r="V302" s="325">
        <f t="shared" si="158"/>
        <v>0.16707239956190301</v>
      </c>
      <c r="W302" s="325">
        <f t="shared" si="158"/>
        <v>0.20670836040622556</v>
      </c>
      <c r="X302" s="325">
        <f t="shared" si="158"/>
        <v>0.12719598684340211</v>
      </c>
      <c r="Y302" s="325">
        <f t="shared" si="158"/>
        <v>0.13567141198502225</v>
      </c>
      <c r="Z302" s="325">
        <f t="shared" si="158"/>
        <v>0.28159023016728008</v>
      </c>
      <c r="AA302" s="325">
        <f t="shared" si="158"/>
        <v>0.27159349741354005</v>
      </c>
      <c r="AB302" s="325">
        <f t="shared" si="158"/>
        <v>0.21490380832177705</v>
      </c>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c r="BD302" s="268"/>
      <c r="BE302" s="268"/>
      <c r="BF302" s="268"/>
      <c r="BG302" s="268"/>
    </row>
    <row r="303" spans="1:59" ht="15.75" customHeight="1" x14ac:dyDescent="0.2">
      <c r="A303" s="307"/>
      <c r="B303" s="307"/>
      <c r="C303" s="308" t="s">
        <v>215</v>
      </c>
      <c r="D303" s="325">
        <f t="shared" ref="D303:AB303" si="159">D293/D$299</f>
        <v>4.3665192799242991E-3</v>
      </c>
      <c r="E303" s="325">
        <f t="shared" si="159"/>
        <v>3.0574340192738973E-2</v>
      </c>
      <c r="F303" s="325">
        <f t="shared" si="159"/>
        <v>9.6727219352531535E-2</v>
      </c>
      <c r="G303" s="325">
        <f t="shared" si="159"/>
        <v>2.981166926365917E-2</v>
      </c>
      <c r="H303" s="325">
        <f t="shared" si="159"/>
        <v>3.948671666798189E-2</v>
      </c>
      <c r="I303" s="325">
        <f t="shared" si="159"/>
        <v>9.6779127133297654E-3</v>
      </c>
      <c r="J303" s="325">
        <f t="shared" si="159"/>
        <v>1.008877569015648E-2</v>
      </c>
      <c r="K303" s="325">
        <f t="shared" si="159"/>
        <v>2.2016880802696582E-2</v>
      </c>
      <c r="L303" s="325">
        <f t="shared" si="159"/>
        <v>6.7778741985132654E-3</v>
      </c>
      <c r="M303" s="325">
        <f t="shared" si="159"/>
        <v>1.2433502505204863E-2</v>
      </c>
      <c r="N303" s="325">
        <f t="shared" si="159"/>
        <v>3.9980624133123142E-3</v>
      </c>
      <c r="O303" s="325">
        <f t="shared" si="159"/>
        <v>2.3978768105682425E-3</v>
      </c>
      <c r="P303" s="325">
        <f t="shared" si="159"/>
        <v>6.9377551376851847E-3</v>
      </c>
      <c r="Q303" s="325">
        <f t="shared" si="159"/>
        <v>8.3109174615255046E-3</v>
      </c>
      <c r="R303" s="325">
        <f t="shared" si="159"/>
        <v>4.5057607652090829E-3</v>
      </c>
      <c r="S303" s="325">
        <f t="shared" si="159"/>
        <v>3.5507621165294878E-2</v>
      </c>
      <c r="T303" s="325">
        <f t="shared" si="159"/>
        <v>4.3778331759172645E-2</v>
      </c>
      <c r="U303" s="325">
        <f t="shared" si="159"/>
        <v>9.1042089356750164E-2</v>
      </c>
      <c r="V303" s="325">
        <f t="shared" si="159"/>
        <v>5.2568644165779277E-2</v>
      </c>
      <c r="W303" s="325">
        <f t="shared" si="159"/>
        <v>5.7470177478470087E-2</v>
      </c>
      <c r="X303" s="325">
        <f t="shared" si="159"/>
        <v>3.9682272609319863E-2</v>
      </c>
      <c r="Y303" s="325">
        <f t="shared" si="159"/>
        <v>7.0935807729646708E-2</v>
      </c>
      <c r="Z303" s="325">
        <f t="shared" si="159"/>
        <v>2.9374921828799951E-2</v>
      </c>
      <c r="AA303" s="325">
        <f t="shared" si="159"/>
        <v>1.3399398844306234E-2</v>
      </c>
      <c r="AB303" s="325">
        <f t="shared" si="159"/>
        <v>3.5980164960639292E-2</v>
      </c>
      <c r="AC303" s="268"/>
      <c r="AD303" s="268"/>
      <c r="AE303" s="268"/>
      <c r="AF303" s="268"/>
      <c r="AG303" s="268"/>
      <c r="AH303" s="268"/>
      <c r="AI303" s="268"/>
      <c r="AJ303" s="268"/>
      <c r="AK303" s="268"/>
      <c r="AL303" s="268"/>
      <c r="AM303" s="268"/>
      <c r="AN303" s="268"/>
      <c r="AO303" s="268"/>
      <c r="AP303" s="268"/>
      <c r="AQ303" s="268"/>
      <c r="AR303" s="268"/>
      <c r="AS303" s="268"/>
      <c r="AT303" s="268"/>
      <c r="AU303" s="268"/>
      <c r="AV303" s="268"/>
      <c r="AW303" s="268"/>
      <c r="AX303" s="268"/>
      <c r="AY303" s="268"/>
      <c r="AZ303" s="268"/>
      <c r="BA303" s="268"/>
      <c r="BB303" s="268"/>
      <c r="BC303" s="268"/>
      <c r="BD303" s="268"/>
      <c r="BE303" s="268"/>
      <c r="BF303" s="268"/>
      <c r="BG303" s="268"/>
    </row>
    <row r="304" spans="1:59" ht="15.75" customHeight="1" x14ac:dyDescent="0.2">
      <c r="A304" s="307"/>
      <c r="B304" s="307"/>
      <c r="C304" s="308" t="s">
        <v>216</v>
      </c>
      <c r="D304" s="325">
        <f t="shared" ref="D304:AB304" si="160">D294/D$299</f>
        <v>2.9247585843738544E-2</v>
      </c>
      <c r="E304" s="325">
        <f t="shared" si="160"/>
        <v>2.3570388104399702E-2</v>
      </c>
      <c r="F304" s="325">
        <f t="shared" si="160"/>
        <v>2.6694175109331621E-2</v>
      </c>
      <c r="G304" s="325">
        <f t="shared" si="160"/>
        <v>3.2786249392205272E-2</v>
      </c>
      <c r="H304" s="325">
        <f t="shared" si="160"/>
        <v>2.9162419444228399E-2</v>
      </c>
      <c r="I304" s="325">
        <f t="shared" si="160"/>
        <v>5.5908083694830206E-3</v>
      </c>
      <c r="J304" s="325">
        <f t="shared" si="160"/>
        <v>3.6213021234953219E-3</v>
      </c>
      <c r="K304" s="325">
        <f t="shared" si="160"/>
        <v>3.9120118966793739E-3</v>
      </c>
      <c r="L304" s="325">
        <f t="shared" si="160"/>
        <v>1.0933408000934853E-2</v>
      </c>
      <c r="M304" s="325">
        <f t="shared" si="160"/>
        <v>5.8095229623706139E-3</v>
      </c>
      <c r="N304" s="325">
        <f t="shared" si="160"/>
        <v>0</v>
      </c>
      <c r="O304" s="325">
        <f t="shared" si="160"/>
        <v>0</v>
      </c>
      <c r="P304" s="325">
        <f t="shared" si="160"/>
        <v>0</v>
      </c>
      <c r="Q304" s="325">
        <f t="shared" si="160"/>
        <v>0</v>
      </c>
      <c r="R304" s="325">
        <f t="shared" si="160"/>
        <v>0</v>
      </c>
      <c r="S304" s="325">
        <f t="shared" si="160"/>
        <v>1.9119488319774164E-4</v>
      </c>
      <c r="T304" s="325">
        <f t="shared" si="160"/>
        <v>3.1265574721901133E-3</v>
      </c>
      <c r="U304" s="325">
        <f t="shared" si="160"/>
        <v>9.6585579518788933E-3</v>
      </c>
      <c r="V304" s="325">
        <f t="shared" si="160"/>
        <v>2.5985465153757058E-3</v>
      </c>
      <c r="W304" s="325">
        <f t="shared" si="160"/>
        <v>4.0284052598747065E-3</v>
      </c>
      <c r="X304" s="325">
        <f t="shared" si="160"/>
        <v>6.9191375958615091E-3</v>
      </c>
      <c r="Y304" s="325">
        <f t="shared" si="160"/>
        <v>7.1443804745490508E-3</v>
      </c>
      <c r="Z304" s="325">
        <f t="shared" si="160"/>
        <v>2.1865462147277535E-3</v>
      </c>
      <c r="AA304" s="325">
        <f t="shared" si="160"/>
        <v>3.6039756693404514E-2</v>
      </c>
      <c r="AB304" s="325">
        <f t="shared" si="160"/>
        <v>1.3450091492142414E-2</v>
      </c>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row>
    <row r="305" spans="1:59" ht="15.75" customHeight="1" x14ac:dyDescent="0.2">
      <c r="A305" s="307"/>
      <c r="B305" s="307"/>
      <c r="C305" s="308" t="s">
        <v>217</v>
      </c>
      <c r="D305" s="325">
        <f t="shared" ref="D305:AB305" si="161">D295/D$299</f>
        <v>0.76768273470331672</v>
      </c>
      <c r="E305" s="325">
        <f t="shared" si="161"/>
        <v>0.60918425157341827</v>
      </c>
      <c r="F305" s="325">
        <f t="shared" si="161"/>
        <v>0.6766806827293953</v>
      </c>
      <c r="G305" s="325">
        <f t="shared" si="161"/>
        <v>0.36777413311316531</v>
      </c>
      <c r="H305" s="325">
        <f t="shared" si="161"/>
        <v>0.56394600415421681</v>
      </c>
      <c r="I305" s="325">
        <f t="shared" si="161"/>
        <v>0.30683549944165506</v>
      </c>
      <c r="J305" s="325">
        <f t="shared" si="161"/>
        <v>0.35781762029079206</v>
      </c>
      <c r="K305" s="325">
        <f t="shared" si="161"/>
        <v>0.17546301861948058</v>
      </c>
      <c r="L305" s="325">
        <f t="shared" si="161"/>
        <v>0.17668026001438508</v>
      </c>
      <c r="M305" s="325">
        <f t="shared" si="161"/>
        <v>0.25637009991270476</v>
      </c>
      <c r="N305" s="325">
        <f t="shared" si="161"/>
        <v>0.13969171635156907</v>
      </c>
      <c r="O305" s="325">
        <f t="shared" si="161"/>
        <v>8.5236655297685107E-2</v>
      </c>
      <c r="P305" s="325">
        <f t="shared" si="161"/>
        <v>0.31127488017014721</v>
      </c>
      <c r="Q305" s="325">
        <f t="shared" si="161"/>
        <v>0.45310445565232027</v>
      </c>
      <c r="R305" s="325">
        <f t="shared" si="161"/>
        <v>0.20033236019561307</v>
      </c>
      <c r="S305" s="325">
        <f t="shared" si="161"/>
        <v>0.53807702842793004</v>
      </c>
      <c r="T305" s="325">
        <f t="shared" si="161"/>
        <v>0.76692615641369255</v>
      </c>
      <c r="U305" s="325">
        <f t="shared" si="161"/>
        <v>0.66838519222127424</v>
      </c>
      <c r="V305" s="325">
        <f t="shared" si="161"/>
        <v>0.76753282950527246</v>
      </c>
      <c r="W305" s="325">
        <f t="shared" si="161"/>
        <v>0.71305083707572248</v>
      </c>
      <c r="X305" s="325">
        <f t="shared" si="161"/>
        <v>0.81632838361095172</v>
      </c>
      <c r="Y305" s="325">
        <f t="shared" si="161"/>
        <v>0.76907785783424798</v>
      </c>
      <c r="Z305" s="325">
        <f t="shared" si="161"/>
        <v>0.65475928826247787</v>
      </c>
      <c r="AA305" s="325">
        <f t="shared" si="161"/>
        <v>0.63178381980173826</v>
      </c>
      <c r="AB305" s="325">
        <f t="shared" si="161"/>
        <v>0.70740344377218078</v>
      </c>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row>
    <row r="306" spans="1:59" ht="15.75" customHeight="1" x14ac:dyDescent="0.2">
      <c r="A306" s="307"/>
      <c r="B306" s="307"/>
      <c r="C306" s="308" t="s">
        <v>218</v>
      </c>
      <c r="D306" s="325">
        <f t="shared" ref="D306:AB306" si="162">D296/D$299</f>
        <v>1.8398680498485712E-3</v>
      </c>
      <c r="E306" s="325">
        <f t="shared" si="162"/>
        <v>2.3628356965528954E-3</v>
      </c>
      <c r="F306" s="325">
        <f t="shared" si="162"/>
        <v>7.7734486565466938E-4</v>
      </c>
      <c r="G306" s="325">
        <f t="shared" si="162"/>
        <v>3.614799480199393E-4</v>
      </c>
      <c r="H306" s="325">
        <f t="shared" si="162"/>
        <v>1.0990799263026121E-3</v>
      </c>
      <c r="I306" s="325">
        <f t="shared" si="162"/>
        <v>8.1130185893087993E-4</v>
      </c>
      <c r="J306" s="325">
        <f t="shared" si="162"/>
        <v>0</v>
      </c>
      <c r="K306" s="325">
        <f t="shared" si="162"/>
        <v>5.4177585263483251E-3</v>
      </c>
      <c r="L306" s="325">
        <f t="shared" si="162"/>
        <v>1.5471503304284398E-3</v>
      </c>
      <c r="M306" s="325">
        <f t="shared" si="162"/>
        <v>1.9899493525144894E-3</v>
      </c>
      <c r="N306" s="325">
        <f t="shared" si="162"/>
        <v>6.9845858175784535E-3</v>
      </c>
      <c r="O306" s="325">
        <f t="shared" si="162"/>
        <v>8.9231317008218211E-4</v>
      </c>
      <c r="P306" s="325">
        <f t="shared" si="162"/>
        <v>5.9385999146711037E-3</v>
      </c>
      <c r="Q306" s="325">
        <f t="shared" si="162"/>
        <v>2.2100771101786557E-3</v>
      </c>
      <c r="R306" s="325">
        <f t="shared" si="162"/>
        <v>3.0702602732974225E-3</v>
      </c>
      <c r="S306" s="325">
        <f t="shared" si="162"/>
        <v>2.731355474253452E-3</v>
      </c>
      <c r="T306" s="325">
        <f t="shared" si="162"/>
        <v>1.287406017960635E-3</v>
      </c>
      <c r="U306" s="325">
        <f t="shared" si="162"/>
        <v>4.1799284846420828E-3</v>
      </c>
      <c r="V306" s="325">
        <f t="shared" si="162"/>
        <v>6.5208281391528392E-4</v>
      </c>
      <c r="W306" s="325">
        <f t="shared" si="162"/>
        <v>1.8875765052232152E-3</v>
      </c>
      <c r="X306" s="325">
        <f t="shared" si="162"/>
        <v>7.6361692087481569E-4</v>
      </c>
      <c r="Y306" s="325">
        <f t="shared" si="162"/>
        <v>4.1296956348640902E-3</v>
      </c>
      <c r="Z306" s="325">
        <f t="shared" si="162"/>
        <v>3.4466309646913494E-3</v>
      </c>
      <c r="AA306" s="325">
        <f t="shared" si="162"/>
        <v>2.1678315715681958E-3</v>
      </c>
      <c r="AB306" s="325">
        <f t="shared" si="162"/>
        <v>2.6628235600334991E-3</v>
      </c>
      <c r="AC306" s="268"/>
      <c r="AD306" s="268"/>
      <c r="AE306" s="268"/>
      <c r="AF306" s="268"/>
      <c r="AG306" s="268"/>
      <c r="AH306" s="268"/>
      <c r="AI306" s="268"/>
      <c r="AJ306" s="268"/>
      <c r="AK306" s="268"/>
      <c r="AL306" s="268"/>
      <c r="AM306" s="268"/>
      <c r="AN306" s="268"/>
      <c r="AO306" s="268"/>
      <c r="AP306" s="268"/>
      <c r="AQ306" s="268"/>
      <c r="AR306" s="268"/>
      <c r="AS306" s="268"/>
      <c r="AT306" s="268"/>
      <c r="AU306" s="268"/>
      <c r="AV306" s="268"/>
      <c r="AW306" s="268"/>
      <c r="AX306" s="268"/>
      <c r="AY306" s="268"/>
      <c r="AZ306" s="268"/>
      <c r="BA306" s="268"/>
      <c r="BB306" s="268"/>
      <c r="BC306" s="268"/>
      <c r="BD306" s="268"/>
      <c r="BE306" s="268"/>
      <c r="BF306" s="268"/>
      <c r="BG306" s="268"/>
    </row>
    <row r="307" spans="1:59" ht="15.75" customHeight="1" x14ac:dyDescent="0.2">
      <c r="A307" s="307"/>
      <c r="B307" s="307"/>
      <c r="C307" s="308" t="s">
        <v>219</v>
      </c>
      <c r="D307" s="325">
        <f t="shared" ref="D307:AB307" si="163">D297/D$299</f>
        <v>1.8842451807941209E-3</v>
      </c>
      <c r="E307" s="325">
        <f t="shared" si="163"/>
        <v>7.211032862867262E-3</v>
      </c>
      <c r="F307" s="325">
        <f t="shared" si="163"/>
        <v>1.170891923076426E-2</v>
      </c>
      <c r="G307" s="325">
        <f t="shared" si="163"/>
        <v>1.050073987239887E-2</v>
      </c>
      <c r="H307" s="325">
        <f t="shared" si="163"/>
        <v>8.3579408354939079E-3</v>
      </c>
      <c r="I307" s="325">
        <f t="shared" si="163"/>
        <v>1.0166344571944255E-2</v>
      </c>
      <c r="J307" s="325">
        <f t="shared" si="163"/>
        <v>4.7283267571577511E-3</v>
      </c>
      <c r="K307" s="325">
        <f t="shared" si="163"/>
        <v>1.3673555463761252E-2</v>
      </c>
      <c r="L307" s="325">
        <f t="shared" si="163"/>
        <v>2.1917802032440797E-2</v>
      </c>
      <c r="M307" s="325">
        <f t="shared" si="163"/>
        <v>1.2277840618022786E-2</v>
      </c>
      <c r="N307" s="325">
        <f t="shared" si="163"/>
        <v>2.7938343270313818E-3</v>
      </c>
      <c r="O307" s="325">
        <f t="shared" si="163"/>
        <v>2.0280271986044479E-3</v>
      </c>
      <c r="P307" s="325">
        <f t="shared" si="163"/>
        <v>3.6711651664374546E-2</v>
      </c>
      <c r="Q307" s="325">
        <f t="shared" si="163"/>
        <v>5.4489702127354663E-2</v>
      </c>
      <c r="R307" s="325">
        <f t="shared" si="163"/>
        <v>1.7137116406260457E-2</v>
      </c>
      <c r="S307" s="325">
        <f t="shared" si="163"/>
        <v>9.3587546359586663E-3</v>
      </c>
      <c r="T307" s="325">
        <f t="shared" si="163"/>
        <v>1.8023684251448888E-2</v>
      </c>
      <c r="U307" s="325">
        <f t="shared" si="163"/>
        <v>9.9787888473975919E-3</v>
      </c>
      <c r="V307" s="325">
        <f t="shared" si="163"/>
        <v>8.7093152659623238E-3</v>
      </c>
      <c r="W307" s="325">
        <f t="shared" si="163"/>
        <v>1.0974141456833014E-2</v>
      </c>
      <c r="X307" s="325">
        <f t="shared" si="163"/>
        <v>7.726774900417707E-3</v>
      </c>
      <c r="Y307" s="325">
        <f t="shared" si="163"/>
        <v>5.9652621306987086E-3</v>
      </c>
      <c r="Z307" s="325">
        <f t="shared" si="163"/>
        <v>1.4918211631178695E-2</v>
      </c>
      <c r="AA307" s="325">
        <f t="shared" si="163"/>
        <v>3.9996265904663812E-2</v>
      </c>
      <c r="AB307" s="325">
        <f t="shared" si="163"/>
        <v>1.8302113147242446E-2</v>
      </c>
      <c r="AC307" s="268"/>
      <c r="AD307" s="268"/>
      <c r="AE307" s="268"/>
      <c r="AF307" s="268"/>
      <c r="AG307" s="268"/>
      <c r="AH307" s="268"/>
      <c r="AI307" s="268"/>
      <c r="AJ307" s="268"/>
      <c r="AK307" s="268"/>
      <c r="AL307" s="268"/>
      <c r="AM307" s="268"/>
      <c r="AN307" s="268"/>
      <c r="AO307" s="268"/>
      <c r="AP307" s="268"/>
      <c r="AQ307" s="268"/>
      <c r="AR307" s="268"/>
      <c r="AS307" s="268"/>
      <c r="AT307" s="268"/>
      <c r="AU307" s="268"/>
      <c r="AV307" s="268"/>
      <c r="AW307" s="268"/>
      <c r="AX307" s="268"/>
      <c r="AY307" s="268"/>
      <c r="AZ307" s="268"/>
      <c r="BA307" s="268"/>
      <c r="BB307" s="268"/>
      <c r="BC307" s="268"/>
      <c r="BD307" s="268"/>
      <c r="BE307" s="268"/>
      <c r="BF307" s="268"/>
      <c r="BG307" s="268"/>
    </row>
    <row r="308" spans="1:59" ht="15.75" customHeight="1" x14ac:dyDescent="0.2">
      <c r="A308" s="307"/>
      <c r="B308" s="307"/>
      <c r="C308" s="308" t="s">
        <v>220</v>
      </c>
      <c r="D308" s="325">
        <f t="shared" ref="D308:AB308" si="164">D298/D$299</f>
        <v>2.6777756616071111E-2</v>
      </c>
      <c r="E308" s="325">
        <f t="shared" si="164"/>
        <v>2.4027663604076481E-2</v>
      </c>
      <c r="F308" s="325">
        <f t="shared" si="164"/>
        <v>3.0874969589753685E-2</v>
      </c>
      <c r="G308" s="325">
        <f t="shared" si="164"/>
        <v>1.334517004241953E-2</v>
      </c>
      <c r="H308" s="325">
        <f t="shared" si="164"/>
        <v>2.1963182177486093E-2</v>
      </c>
      <c r="I308" s="325">
        <f t="shared" si="164"/>
        <v>5.6479692066356973E-3</v>
      </c>
      <c r="J308" s="325">
        <f t="shared" si="164"/>
        <v>5.803173324773479E-3</v>
      </c>
      <c r="K308" s="325">
        <f t="shared" si="164"/>
        <v>1.0651295023310184E-2</v>
      </c>
      <c r="L308" s="325">
        <f t="shared" si="164"/>
        <v>2.6830387466265166E-2</v>
      </c>
      <c r="M308" s="325">
        <f t="shared" si="164"/>
        <v>1.1702692732686249E-2</v>
      </c>
      <c r="N308" s="325">
        <f t="shared" si="164"/>
        <v>4.0510597741955028E-2</v>
      </c>
      <c r="O308" s="325">
        <f t="shared" si="164"/>
        <v>6.1226196955256537E-3</v>
      </c>
      <c r="P308" s="325">
        <f t="shared" si="164"/>
        <v>2.0056120624091189E-2</v>
      </c>
      <c r="Q308" s="325">
        <f t="shared" si="164"/>
        <v>8.1381588121186375E-3</v>
      </c>
      <c r="R308" s="325">
        <f t="shared" si="164"/>
        <v>1.5711853297678442E-2</v>
      </c>
      <c r="S308" s="325">
        <f t="shared" si="164"/>
        <v>3.0181284064261971E-3</v>
      </c>
      <c r="T308" s="325">
        <f t="shared" si="164"/>
        <v>3.678302908458957E-3</v>
      </c>
      <c r="U308" s="325">
        <f t="shared" si="164"/>
        <v>1.8637051660862824E-2</v>
      </c>
      <c r="V308" s="325">
        <f t="shared" si="164"/>
        <v>8.6618217179190195E-4</v>
      </c>
      <c r="W308" s="325">
        <f t="shared" si="164"/>
        <v>5.8805018176509762E-3</v>
      </c>
      <c r="X308" s="325">
        <f t="shared" si="164"/>
        <v>1.3838275191723017E-3</v>
      </c>
      <c r="Y308" s="325">
        <f t="shared" si="164"/>
        <v>7.0755842109711453E-3</v>
      </c>
      <c r="Z308" s="325">
        <f t="shared" si="164"/>
        <v>1.3724170930844264E-2</v>
      </c>
      <c r="AA308" s="325">
        <f t="shared" si="164"/>
        <v>5.0194297707786949E-3</v>
      </c>
      <c r="AB308" s="325">
        <f t="shared" si="164"/>
        <v>7.2975547459843519E-3</v>
      </c>
      <c r="AC308" s="268"/>
      <c r="AD308" s="268"/>
      <c r="AE308" s="268"/>
      <c r="AF308" s="268"/>
      <c r="AG308" s="268"/>
      <c r="AH308" s="268"/>
      <c r="AI308" s="268"/>
      <c r="AJ308" s="268"/>
      <c r="AK308" s="268"/>
      <c r="AL308" s="268"/>
      <c r="AM308" s="268"/>
      <c r="AN308" s="268"/>
      <c r="AO308" s="268"/>
      <c r="AP308" s="268"/>
      <c r="AQ308" s="268"/>
      <c r="AR308" s="268"/>
      <c r="AS308" s="268"/>
      <c r="AT308" s="268"/>
      <c r="AU308" s="268"/>
      <c r="AV308" s="268"/>
      <c r="AW308" s="268"/>
      <c r="AX308" s="268"/>
      <c r="AY308" s="268"/>
      <c r="AZ308" s="268"/>
      <c r="BA308" s="268"/>
      <c r="BB308" s="268"/>
      <c r="BC308" s="268"/>
      <c r="BD308" s="268"/>
      <c r="BE308" s="268"/>
      <c r="BF308" s="268"/>
      <c r="BG308" s="268"/>
    </row>
    <row r="309" spans="1:59" ht="15.75" customHeight="1" x14ac:dyDescent="0.2">
      <c r="A309" s="344"/>
      <c r="B309" s="344"/>
      <c r="C309" s="345"/>
      <c r="D309" s="346"/>
      <c r="E309" s="346"/>
      <c r="F309" s="346"/>
      <c r="G309" s="346"/>
      <c r="H309" s="346"/>
      <c r="I309" s="346"/>
      <c r="J309" s="346"/>
      <c r="K309" s="346"/>
      <c r="L309" s="346"/>
      <c r="M309" s="346"/>
      <c r="N309" s="346"/>
      <c r="O309" s="346"/>
      <c r="P309" s="346"/>
      <c r="Q309" s="346"/>
      <c r="R309" s="347"/>
      <c r="S309" s="346"/>
      <c r="T309" s="346"/>
      <c r="U309" s="346"/>
      <c r="V309" s="346"/>
      <c r="W309" s="348"/>
      <c r="X309" s="346"/>
      <c r="Y309" s="346"/>
      <c r="Z309" s="346"/>
      <c r="AA309" s="346"/>
      <c r="AB309" s="34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c r="BD309" s="268"/>
      <c r="BE309" s="268"/>
      <c r="BF309" s="268"/>
      <c r="BG309" s="268"/>
    </row>
    <row r="310" spans="1:59" ht="15.75" customHeight="1" x14ac:dyDescent="0.2">
      <c r="A310" s="210"/>
      <c r="B310" s="211" t="s">
        <v>252</v>
      </c>
      <c r="C310" s="211"/>
      <c r="D310" s="277" t="s">
        <v>98</v>
      </c>
      <c r="E310" s="277" t="s">
        <v>99</v>
      </c>
      <c r="F310" s="277" t="s">
        <v>100</v>
      </c>
      <c r="G310" s="277" t="s">
        <v>101</v>
      </c>
      <c r="H310" s="159">
        <v>2018</v>
      </c>
      <c r="I310" s="277" t="s">
        <v>102</v>
      </c>
      <c r="J310" s="277" t="s">
        <v>103</v>
      </c>
      <c r="K310" s="277" t="s">
        <v>104</v>
      </c>
      <c r="L310" s="277" t="s">
        <v>105</v>
      </c>
      <c r="M310" s="159">
        <v>2019</v>
      </c>
      <c r="N310" s="277" t="s">
        <v>158</v>
      </c>
      <c r="O310" s="277" t="s">
        <v>107</v>
      </c>
      <c r="P310" s="277" t="s">
        <v>108</v>
      </c>
      <c r="Q310" s="277" t="s">
        <v>109</v>
      </c>
      <c r="R310" s="159">
        <v>2020</v>
      </c>
      <c r="S310" s="277" t="s">
        <v>110</v>
      </c>
      <c r="T310" s="277" t="s">
        <v>111</v>
      </c>
      <c r="U310" s="277" t="s">
        <v>112</v>
      </c>
      <c r="V310" s="277" t="s">
        <v>113</v>
      </c>
      <c r="W310" s="159">
        <v>2021</v>
      </c>
      <c r="X310" s="277" t="s">
        <v>114</v>
      </c>
      <c r="Y310" s="277" t="s">
        <v>115</v>
      </c>
      <c r="Z310" s="277" t="str">
        <f>$Z$4</f>
        <v>3Q22</v>
      </c>
      <c r="AA310" s="277" t="str">
        <f>$AA$4</f>
        <v>4Q22</v>
      </c>
      <c r="AB310" s="160">
        <v>2022</v>
      </c>
      <c r="AC310" s="268"/>
      <c r="AD310" s="268"/>
      <c r="AE310" s="268"/>
      <c r="AF310" s="268"/>
      <c r="AG310" s="268"/>
      <c r="AH310" s="268"/>
      <c r="AI310" s="268"/>
      <c r="AJ310" s="268"/>
      <c r="AK310" s="268"/>
      <c r="AL310" s="268"/>
      <c r="AM310" s="268"/>
      <c r="AN310" s="268"/>
      <c r="AO310" s="268"/>
      <c r="AP310" s="268"/>
      <c r="AQ310" s="268"/>
      <c r="AR310" s="268"/>
      <c r="AS310" s="268"/>
      <c r="AT310" s="268"/>
      <c r="AU310" s="268"/>
      <c r="AV310" s="268"/>
      <c r="AW310" s="268"/>
      <c r="AX310" s="268"/>
      <c r="AY310" s="268"/>
      <c r="AZ310" s="268"/>
      <c r="BA310" s="268"/>
      <c r="BB310" s="268"/>
      <c r="BC310" s="268"/>
      <c r="BD310" s="268"/>
      <c r="BE310" s="268"/>
      <c r="BF310" s="268"/>
      <c r="BG310" s="268"/>
    </row>
    <row r="311" spans="1:59" ht="15.75" customHeight="1" x14ac:dyDescent="0.2">
      <c r="A311" s="312"/>
      <c r="B311" s="312"/>
      <c r="C311" s="313" t="s">
        <v>214</v>
      </c>
      <c r="D311" s="325" t="s">
        <v>146</v>
      </c>
      <c r="E311" s="325" t="s">
        <v>146</v>
      </c>
      <c r="F311" s="325" t="s">
        <v>146</v>
      </c>
      <c r="G311" s="325" t="s">
        <v>146</v>
      </c>
      <c r="H311" s="325" t="s">
        <v>146</v>
      </c>
      <c r="I311" s="325">
        <f t="shared" ref="I311:AB311" si="165">IFERROR(I292/D292-1,"n/a")</f>
        <v>5.9594558741980972</v>
      </c>
      <c r="J311" s="325">
        <f t="shared" si="165"/>
        <v>4.1677272556388498</v>
      </c>
      <c r="K311" s="325">
        <f t="shared" si="165"/>
        <v>7.9485546291108733</v>
      </c>
      <c r="L311" s="325">
        <f t="shared" si="165"/>
        <v>0.19854535479180324</v>
      </c>
      <c r="M311" s="325">
        <f t="shared" si="165"/>
        <v>2.2192804670129314</v>
      </c>
      <c r="N311" s="325">
        <f t="shared" si="165"/>
        <v>-1.4358000574463237E-2</v>
      </c>
      <c r="O311" s="325">
        <f t="shared" si="165"/>
        <v>1.3226104200700211</v>
      </c>
      <c r="P311" s="325">
        <f t="shared" si="165"/>
        <v>-0.70921885200146073</v>
      </c>
      <c r="Q311" s="325">
        <f t="shared" si="165"/>
        <v>-0.44527652817860142</v>
      </c>
      <c r="R311" s="325">
        <f t="shared" si="165"/>
        <v>-1.2350047918726625E-2</v>
      </c>
      <c r="S311" s="325">
        <f t="shared" si="165"/>
        <v>-0.73913834038128257</v>
      </c>
      <c r="T311" s="325">
        <f t="shared" si="165"/>
        <v>-0.93278380012117323</v>
      </c>
      <c r="U311" s="325">
        <f t="shared" si="165"/>
        <v>-0.40553196904887212</v>
      </c>
      <c r="V311" s="325">
        <f t="shared" si="165"/>
        <v>-0.40847130605865622</v>
      </c>
      <c r="W311" s="325">
        <f t="shared" si="165"/>
        <v>-0.77110129387882376</v>
      </c>
      <c r="X311" s="325">
        <f t="shared" si="165"/>
        <v>-0.38933169445770954</v>
      </c>
      <c r="Y311" s="325">
        <f t="shared" si="165"/>
        <v>7.3347938738753227E-2</v>
      </c>
      <c r="Z311" s="325">
        <f t="shared" si="165"/>
        <v>1.2826761734452576</v>
      </c>
      <c r="AA311" s="325">
        <f t="shared" si="165"/>
        <v>0.28023904100885133</v>
      </c>
      <c r="AB311" s="325">
        <f t="shared" si="165"/>
        <v>0.2909141747896038</v>
      </c>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2"/>
      <c r="AY311" s="312"/>
      <c r="AZ311" s="312"/>
      <c r="BA311" s="312"/>
      <c r="BB311" s="312"/>
      <c r="BC311" s="312"/>
      <c r="BD311" s="312"/>
      <c r="BE311" s="312"/>
      <c r="BF311" s="312"/>
      <c r="BG311" s="312"/>
    </row>
    <row r="312" spans="1:59" ht="15.75" customHeight="1" x14ac:dyDescent="0.2">
      <c r="A312" s="307"/>
      <c r="B312" s="307"/>
      <c r="C312" s="308" t="s">
        <v>215</v>
      </c>
      <c r="D312" s="325" t="s">
        <v>146</v>
      </c>
      <c r="E312" s="325" t="s">
        <v>146</v>
      </c>
      <c r="F312" s="325" t="s">
        <v>146</v>
      </c>
      <c r="G312" s="325" t="s">
        <v>146</v>
      </c>
      <c r="H312" s="325" t="s">
        <v>146</v>
      </c>
      <c r="I312" s="325">
        <f t="shared" ref="I312:AB312" si="166">IFERROR(I293/D293-1,"n/a")</f>
        <v>2.923485025383163</v>
      </c>
      <c r="J312" s="325">
        <f t="shared" si="166"/>
        <v>-0.16367264896956357</v>
      </c>
      <c r="K312" s="325">
        <f t="shared" si="166"/>
        <v>-0.58530789889634227</v>
      </c>
      <c r="L312" s="325">
        <f t="shared" si="166"/>
        <v>-0.80322670471028368</v>
      </c>
      <c r="M312" s="325">
        <f t="shared" si="166"/>
        <v>-0.5130493880959941</v>
      </c>
      <c r="N312" s="325">
        <f t="shared" si="166"/>
        <v>-0.66594380412540066</v>
      </c>
      <c r="O312" s="325">
        <f t="shared" si="166"/>
        <v>-0.6223679796224304</v>
      </c>
      <c r="P312" s="325">
        <f t="shared" si="166"/>
        <v>-0.8862026062699444</v>
      </c>
      <c r="Q312" s="325">
        <f t="shared" si="166"/>
        <v>8.4458276639709284E-2</v>
      </c>
      <c r="R312" s="325">
        <f t="shared" si="166"/>
        <v>-0.67028940699552542</v>
      </c>
      <c r="S312" s="325">
        <f t="shared" si="166"/>
        <v>3.5421809987850716</v>
      </c>
      <c r="T312" s="325">
        <f t="shared" si="166"/>
        <v>5.7933402428616638</v>
      </c>
      <c r="U312" s="325">
        <f t="shared" si="166"/>
        <v>23.376672879126559</v>
      </c>
      <c r="V312" s="325">
        <f t="shared" si="166"/>
        <v>9.6095044780319139</v>
      </c>
      <c r="W312" s="325">
        <f t="shared" si="166"/>
        <v>9.7235924604619193</v>
      </c>
      <c r="X312" s="325">
        <f t="shared" si="166"/>
        <v>1.205825846153846</v>
      </c>
      <c r="Y312" s="325">
        <f t="shared" si="166"/>
        <v>1.091819719824132</v>
      </c>
      <c r="Z312" s="325">
        <f t="shared" si="166"/>
        <v>-0.48181358900059046</v>
      </c>
      <c r="AA312" s="325">
        <f t="shared" si="166"/>
        <v>-0.79925952481743978</v>
      </c>
      <c r="AB312" s="325">
        <f t="shared" si="166"/>
        <v>-0.22262259772617443</v>
      </c>
      <c r="AC312" s="268"/>
      <c r="AD312" s="268"/>
      <c r="AE312" s="268"/>
      <c r="AF312" s="268"/>
      <c r="AG312" s="268"/>
      <c r="AH312" s="268"/>
      <c r="AI312" s="268"/>
      <c r="AJ312" s="268"/>
      <c r="AK312" s="268"/>
      <c r="AL312" s="268"/>
      <c r="AM312" s="268"/>
      <c r="AN312" s="268"/>
      <c r="AO312" s="268"/>
      <c r="AP312" s="268"/>
      <c r="AQ312" s="268"/>
      <c r="AR312" s="268"/>
      <c r="AS312" s="268"/>
      <c r="AT312" s="268"/>
      <c r="AU312" s="268"/>
      <c r="AV312" s="268"/>
      <c r="AW312" s="268"/>
      <c r="AX312" s="268"/>
      <c r="AY312" s="268"/>
      <c r="AZ312" s="268"/>
      <c r="BA312" s="268"/>
      <c r="BB312" s="268"/>
      <c r="BC312" s="268"/>
      <c r="BD312" s="268"/>
      <c r="BE312" s="268"/>
      <c r="BF312" s="268"/>
      <c r="BG312" s="268"/>
    </row>
    <row r="313" spans="1:59" ht="15.75" customHeight="1" x14ac:dyDescent="0.2">
      <c r="A313" s="307"/>
      <c r="B313" s="307"/>
      <c r="C313" s="308" t="s">
        <v>216</v>
      </c>
      <c r="D313" s="325" t="s">
        <v>146</v>
      </c>
      <c r="E313" s="325" t="s">
        <v>146</v>
      </c>
      <c r="F313" s="325" t="s">
        <v>146</v>
      </c>
      <c r="G313" s="325" t="s">
        <v>146</v>
      </c>
      <c r="H313" s="325" t="s">
        <v>146</v>
      </c>
      <c r="I313" s="325">
        <f t="shared" ref="I313:AB313" si="167">IFERROR(I294/D294-1,"n/a")</f>
        <v>-0.66161565475472228</v>
      </c>
      <c r="J313" s="325">
        <f t="shared" si="167"/>
        <v>-0.61060268452557609</v>
      </c>
      <c r="K313" s="325">
        <f t="shared" si="167"/>
        <v>-0.73300548660478548</v>
      </c>
      <c r="L313" s="325">
        <f t="shared" si="167"/>
        <v>-0.71138242979767452</v>
      </c>
      <c r="M313" s="325">
        <f t="shared" si="167"/>
        <v>-0.69192293108561376</v>
      </c>
      <c r="N313" s="325">
        <f t="shared" si="167"/>
        <v>-1</v>
      </c>
      <c r="O313" s="325">
        <f t="shared" si="167"/>
        <v>-1</v>
      </c>
      <c r="P313" s="325">
        <f t="shared" si="167"/>
        <v>-1</v>
      </c>
      <c r="Q313" s="325">
        <f t="shared" si="167"/>
        <v>-1</v>
      </c>
      <c r="R313" s="325">
        <f t="shared" si="167"/>
        <v>-1</v>
      </c>
      <c r="S313" s="325" t="str">
        <f t="shared" si="167"/>
        <v>n/a</v>
      </c>
      <c r="T313" s="325" t="str">
        <f t="shared" si="167"/>
        <v>n/a</v>
      </c>
      <c r="U313" s="325" t="str">
        <f t="shared" si="167"/>
        <v>n/a</v>
      </c>
      <c r="V313" s="325" t="str">
        <f t="shared" si="167"/>
        <v>n/a</v>
      </c>
      <c r="W313" s="325" t="str">
        <f t="shared" si="167"/>
        <v>n/a</v>
      </c>
      <c r="X313" s="325">
        <f t="shared" si="167"/>
        <v>70.428571428571431</v>
      </c>
      <c r="Y313" s="325">
        <f t="shared" si="167"/>
        <v>1.9499598235294111</v>
      </c>
      <c r="Z313" s="325">
        <f t="shared" si="167"/>
        <v>-0.63642175644705445</v>
      </c>
      <c r="AA313" s="325">
        <f t="shared" si="167"/>
        <v>9.9226436333333332</v>
      </c>
      <c r="AB313" s="325">
        <f t="shared" si="167"/>
        <v>3.1457526238362687</v>
      </c>
      <c r="AC313" s="268"/>
      <c r="AD313" s="268"/>
      <c r="AE313" s="268"/>
      <c r="AF313" s="268"/>
      <c r="AG313" s="268"/>
      <c r="AH313" s="268"/>
      <c r="AI313" s="268"/>
      <c r="AJ313" s="268"/>
      <c r="AK313" s="268"/>
      <c r="AL313" s="268"/>
      <c r="AM313" s="268"/>
      <c r="AN313" s="268"/>
      <c r="AO313" s="268"/>
      <c r="AP313" s="268"/>
      <c r="AQ313" s="268"/>
      <c r="AR313" s="268"/>
      <c r="AS313" s="268"/>
      <c r="AT313" s="268"/>
      <c r="AU313" s="268"/>
      <c r="AV313" s="268"/>
      <c r="AW313" s="268"/>
      <c r="AX313" s="268"/>
      <c r="AY313" s="268"/>
      <c r="AZ313" s="268"/>
      <c r="BA313" s="268"/>
      <c r="BB313" s="268"/>
      <c r="BC313" s="268"/>
      <c r="BD313" s="268"/>
      <c r="BE313" s="268"/>
      <c r="BF313" s="268"/>
      <c r="BG313" s="268"/>
    </row>
    <row r="314" spans="1:59" ht="15.75" customHeight="1" x14ac:dyDescent="0.2">
      <c r="A314" s="307"/>
      <c r="B314" s="307"/>
      <c r="C314" s="308" t="s">
        <v>217</v>
      </c>
      <c r="D314" s="325" t="s">
        <v>146</v>
      </c>
      <c r="E314" s="325" t="s">
        <v>146</v>
      </c>
      <c r="F314" s="325" t="s">
        <v>146</v>
      </c>
      <c r="G314" s="325" t="s">
        <v>146</v>
      </c>
      <c r="H314" s="325" t="s">
        <v>146</v>
      </c>
      <c r="I314" s="325">
        <f t="shared" ref="I314:AB314" si="168">IFERROR(I295/D295-1,"n/a")</f>
        <v>-0.29246242082882046</v>
      </c>
      <c r="J314" s="325">
        <f t="shared" si="168"/>
        <v>0.48870272352063249</v>
      </c>
      <c r="K314" s="325">
        <f t="shared" si="168"/>
        <v>-0.52758846551053107</v>
      </c>
      <c r="L314" s="325">
        <f t="shared" si="168"/>
        <v>-0.58421789030854265</v>
      </c>
      <c r="M314" s="325">
        <f t="shared" si="168"/>
        <v>-0.29697251841926042</v>
      </c>
      <c r="N314" s="325">
        <f t="shared" si="168"/>
        <v>-0.63185686031028088</v>
      </c>
      <c r="O314" s="325">
        <f t="shared" si="168"/>
        <v>-0.6215181244925938</v>
      </c>
      <c r="P314" s="325">
        <f t="shared" si="168"/>
        <v>-0.35933998854287352</v>
      </c>
      <c r="Q314" s="325">
        <f t="shared" si="168"/>
        <v>1.2681286551153637</v>
      </c>
      <c r="R314" s="325">
        <f t="shared" si="168"/>
        <v>-0.28904519675970952</v>
      </c>
      <c r="S314" s="325">
        <f t="shared" si="168"/>
        <v>0.97</v>
      </c>
      <c r="T314" s="325">
        <f t="shared" si="168"/>
        <v>2.3479439346179274</v>
      </c>
      <c r="U314" s="325">
        <f t="shared" si="168"/>
        <v>2.9887234485755494</v>
      </c>
      <c r="V314" s="325">
        <f t="shared" si="168"/>
        <v>1.8412923454132701</v>
      </c>
      <c r="W314" s="325">
        <f t="shared" si="168"/>
        <v>1.9925077083474556</v>
      </c>
      <c r="X314" s="325">
        <f t="shared" si="168"/>
        <v>1.9944475335025382</v>
      </c>
      <c r="Y314" s="325">
        <f t="shared" si="168"/>
        <v>0.29459731127098321</v>
      </c>
      <c r="Z314" s="325">
        <f t="shared" si="168"/>
        <v>0.57328124101897182</v>
      </c>
      <c r="AA314" s="325">
        <f t="shared" si="168"/>
        <v>-0.35174190575987452</v>
      </c>
      <c r="AB314" s="325">
        <f t="shared" si="168"/>
        <v>0.23185041942471685</v>
      </c>
      <c r="AC314" s="268"/>
      <c r="AD314" s="268"/>
      <c r="AE314" s="268"/>
      <c r="AF314" s="268"/>
      <c r="AG314" s="268"/>
      <c r="AH314" s="268"/>
      <c r="AI314" s="268"/>
      <c r="AJ314" s="268"/>
      <c r="AK314" s="268"/>
      <c r="AL314" s="268"/>
      <c r="AM314" s="268"/>
      <c r="AN314" s="268"/>
      <c r="AO314" s="268"/>
      <c r="AP314" s="268"/>
      <c r="AQ314" s="268"/>
      <c r="AR314" s="268"/>
      <c r="AS314" s="268"/>
      <c r="AT314" s="268"/>
      <c r="AU314" s="268"/>
      <c r="AV314" s="268"/>
      <c r="AW314" s="268"/>
      <c r="AX314" s="268"/>
      <c r="AY314" s="268"/>
      <c r="AZ314" s="268"/>
      <c r="BA314" s="268"/>
      <c r="BB314" s="268"/>
      <c r="BC314" s="268"/>
      <c r="BD314" s="268"/>
      <c r="BE314" s="268"/>
      <c r="BF314" s="268"/>
      <c r="BG314" s="268"/>
    </row>
    <row r="315" spans="1:59" ht="15.75" customHeight="1" x14ac:dyDescent="0.2">
      <c r="A315" s="307"/>
      <c r="B315" s="307"/>
      <c r="C315" s="308" t="s">
        <v>218</v>
      </c>
      <c r="D315" s="325" t="s">
        <v>146</v>
      </c>
      <c r="E315" s="325" t="s">
        <v>146</v>
      </c>
      <c r="F315" s="325" t="s">
        <v>146</v>
      </c>
      <c r="G315" s="325" t="s">
        <v>146</v>
      </c>
      <c r="H315" s="325" t="s">
        <v>146</v>
      </c>
      <c r="I315" s="325">
        <f t="shared" ref="I315:AB315" si="169">IFERROR(I296/D296-1,"n/a")</f>
        <v>-0.21941271282456787</v>
      </c>
      <c r="J315" s="325">
        <f t="shared" si="169"/>
        <v>-1</v>
      </c>
      <c r="K315" s="325">
        <f t="shared" si="169"/>
        <v>11.697686051845697</v>
      </c>
      <c r="L315" s="325">
        <f t="shared" si="169"/>
        <v>2.7043093902381501</v>
      </c>
      <c r="M315" s="325">
        <f t="shared" si="169"/>
        <v>1.7999817478502629</v>
      </c>
      <c r="N315" s="325">
        <f t="shared" si="169"/>
        <v>5.9616125545163881</v>
      </c>
      <c r="O315" s="325" t="str">
        <f t="shared" si="169"/>
        <v>n/a</v>
      </c>
      <c r="P315" s="325">
        <f t="shared" si="169"/>
        <v>-0.60414734460600417</v>
      </c>
      <c r="Q315" s="325">
        <f t="shared" si="169"/>
        <v>0.2633750457721713</v>
      </c>
      <c r="R315" s="325">
        <f t="shared" si="169"/>
        <v>0.40375536093066544</v>
      </c>
      <c r="S315" s="325">
        <f t="shared" si="169"/>
        <v>-0.8</v>
      </c>
      <c r="T315" s="325">
        <f t="shared" si="169"/>
        <v>-0.46315457275348393</v>
      </c>
      <c r="U315" s="325">
        <f t="shared" si="169"/>
        <v>0.30748274108899443</v>
      </c>
      <c r="V315" s="325">
        <f t="shared" si="169"/>
        <v>-0.50510550683975153</v>
      </c>
      <c r="W315" s="325">
        <f t="shared" si="169"/>
        <v>-0.48311341463888124</v>
      </c>
      <c r="X315" s="325">
        <f t="shared" si="169"/>
        <v>-0.4481849</v>
      </c>
      <c r="Y315" s="325">
        <f t="shared" si="169"/>
        <v>3.1411451428571429</v>
      </c>
      <c r="Z315" s="325">
        <f t="shared" si="169"/>
        <v>0.32427277341426075</v>
      </c>
      <c r="AA315" s="325">
        <f t="shared" si="169"/>
        <v>1.6181781374958644</v>
      </c>
      <c r="AB315" s="325">
        <f t="shared" si="169"/>
        <v>0.75165723761514602</v>
      </c>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c r="AY315" s="268"/>
      <c r="AZ315" s="268"/>
      <c r="BA315" s="268"/>
      <c r="BB315" s="268"/>
      <c r="BC315" s="268"/>
      <c r="BD315" s="268"/>
      <c r="BE315" s="268"/>
      <c r="BF315" s="268"/>
      <c r="BG315" s="268"/>
    </row>
    <row r="316" spans="1:59" ht="15.75" customHeight="1" x14ac:dyDescent="0.2">
      <c r="A316" s="307"/>
      <c r="B316" s="307"/>
      <c r="C316" s="308" t="s">
        <v>219</v>
      </c>
      <c r="D316" s="325" t="s">
        <v>146</v>
      </c>
      <c r="E316" s="325" t="s">
        <v>146</v>
      </c>
      <c r="F316" s="325" t="s">
        <v>146</v>
      </c>
      <c r="G316" s="325" t="s">
        <v>146</v>
      </c>
      <c r="H316" s="325" t="s">
        <v>146</v>
      </c>
      <c r="I316" s="325">
        <f t="shared" ref="I316:AB316" si="170">IFERROR(I297/D297-1,"n/a")</f>
        <v>8.5510934167993344</v>
      </c>
      <c r="J316" s="325">
        <f t="shared" si="170"/>
        <v>0.66190017679136037</v>
      </c>
      <c r="K316" s="325">
        <f t="shared" si="170"/>
        <v>1.1275673723859638</v>
      </c>
      <c r="L316" s="325">
        <f t="shared" si="170"/>
        <v>0.80649202683460386</v>
      </c>
      <c r="M316" s="325">
        <f t="shared" si="170"/>
        <v>1.2717741426954796</v>
      </c>
      <c r="N316" s="325">
        <f t="shared" si="170"/>
        <v>-0.77777777777777779</v>
      </c>
      <c r="O316" s="325">
        <f t="shared" si="170"/>
        <v>-0.31853005881539975</v>
      </c>
      <c r="P316" s="325">
        <f t="shared" si="170"/>
        <v>-3.0402233364234088E-2</v>
      </c>
      <c r="Q316" s="325">
        <f t="shared" si="170"/>
        <v>1.1987447531453452</v>
      </c>
      <c r="R316" s="325">
        <f t="shared" si="170"/>
        <v>0.26991312856557448</v>
      </c>
      <c r="S316" s="325">
        <f t="shared" si="170"/>
        <v>0.71320699999999992</v>
      </c>
      <c r="T316" s="325">
        <f t="shared" si="170"/>
        <v>2.3068981693349171</v>
      </c>
      <c r="U316" s="325">
        <f t="shared" si="170"/>
        <v>-0.4950770740608782</v>
      </c>
      <c r="V316" s="325">
        <f t="shared" si="170"/>
        <v>-0.73190613758440981</v>
      </c>
      <c r="W316" s="325">
        <f t="shared" si="170"/>
        <v>-0.46160787537619596</v>
      </c>
      <c r="X316" s="325">
        <f t="shared" si="170"/>
        <v>0.62958291088000462</v>
      </c>
      <c r="Y316" s="325">
        <f t="shared" si="170"/>
        <v>-0.57272852040816336</v>
      </c>
      <c r="Z316" s="325">
        <f t="shared" si="170"/>
        <v>1.40099052932253</v>
      </c>
      <c r="AA316" s="325">
        <f t="shared" si="170"/>
        <v>2.6166946576893695</v>
      </c>
      <c r="AB316" s="325">
        <f t="shared" si="170"/>
        <v>1.0708182417848806</v>
      </c>
      <c r="AC316" s="268"/>
      <c r="AD316" s="268"/>
      <c r="AE316" s="268"/>
      <c r="AF316" s="268"/>
      <c r="AG316" s="268"/>
      <c r="AH316" s="268"/>
      <c r="AI316" s="268"/>
      <c r="AJ316" s="268"/>
      <c r="AK316" s="268"/>
      <c r="AL316" s="268"/>
      <c r="AM316" s="268"/>
      <c r="AN316" s="268"/>
      <c r="AO316" s="268"/>
      <c r="AP316" s="268"/>
      <c r="AQ316" s="268"/>
      <c r="AR316" s="268"/>
      <c r="AS316" s="268"/>
      <c r="AT316" s="268"/>
      <c r="AU316" s="268"/>
      <c r="AV316" s="268"/>
      <c r="AW316" s="268"/>
      <c r="AX316" s="268"/>
      <c r="AY316" s="268"/>
      <c r="AZ316" s="268"/>
      <c r="BA316" s="268"/>
      <c r="BB316" s="268"/>
      <c r="BC316" s="268"/>
      <c r="BD316" s="268"/>
      <c r="BE316" s="268"/>
      <c r="BF316" s="268"/>
      <c r="BG316" s="268"/>
    </row>
    <row r="317" spans="1:59" ht="15.75" customHeight="1" x14ac:dyDescent="0.2">
      <c r="A317" s="307"/>
      <c r="B317" s="307"/>
      <c r="C317" s="308" t="s">
        <v>220</v>
      </c>
      <c r="D317" s="325" t="s">
        <v>146</v>
      </c>
      <c r="E317" s="325" t="s">
        <v>146</v>
      </c>
      <c r="F317" s="325" t="s">
        <v>146</v>
      </c>
      <c r="G317" s="325" t="s">
        <v>146</v>
      </c>
      <c r="H317" s="325" t="s">
        <v>146</v>
      </c>
      <c r="I317" s="325">
        <f t="shared" ref="I317:AB317" si="171">IFERROR(I298/D298-1,"n/a")</f>
        <v>-0.62662622481066488</v>
      </c>
      <c r="J317" s="325">
        <f t="shared" si="171"/>
        <v>-0.38786258345863223</v>
      </c>
      <c r="K317" s="325">
        <f t="shared" si="171"/>
        <v>-0.37148658644899724</v>
      </c>
      <c r="L317" s="325">
        <f t="shared" si="171"/>
        <v>0.74005021666666693</v>
      </c>
      <c r="M317" s="325">
        <f t="shared" si="171"/>
        <v>-0.17598903353086848</v>
      </c>
      <c r="N317" s="325">
        <f t="shared" si="171"/>
        <v>4.8</v>
      </c>
      <c r="O317" s="325">
        <f t="shared" si="171"/>
        <v>0.67630157430663806</v>
      </c>
      <c r="P317" s="325">
        <f t="shared" si="171"/>
        <v>-0.31999256999999992</v>
      </c>
      <c r="Q317" s="325">
        <f t="shared" si="171"/>
        <v>-0.73173958111726145</v>
      </c>
      <c r="R317" s="325">
        <f t="shared" si="171"/>
        <v>0.22151799939856609</v>
      </c>
      <c r="S317" s="325">
        <f t="shared" si="171"/>
        <v>-0.96189679655172411</v>
      </c>
      <c r="T317" s="325">
        <f t="shared" si="171"/>
        <v>-0.77645691883887302</v>
      </c>
      <c r="U317" s="325">
        <f t="shared" si="171"/>
        <v>0.7261616244398974</v>
      </c>
      <c r="V317" s="325">
        <f t="shared" si="171"/>
        <v>-0.82147445249428042</v>
      </c>
      <c r="W317" s="325">
        <f t="shared" si="171"/>
        <v>-0.68533179373392106</v>
      </c>
      <c r="X317" s="325">
        <f t="shared" si="171"/>
        <v>-9.5016809610269815E-2</v>
      </c>
      <c r="Y317" s="325">
        <f t="shared" si="171"/>
        <v>1.4833203999999998</v>
      </c>
      <c r="Z317" s="325">
        <f t="shared" si="171"/>
        <v>0.18266140853156809</v>
      </c>
      <c r="AA317" s="325">
        <f t="shared" si="171"/>
        <v>3.5637468999999999</v>
      </c>
      <c r="AB317" s="325">
        <f t="shared" si="171"/>
        <v>0.54089935453089932</v>
      </c>
      <c r="AC317" s="268"/>
      <c r="AD317" s="268"/>
      <c r="AE317" s="268"/>
      <c r="AF317" s="268"/>
      <c r="AG317" s="268"/>
      <c r="AH317" s="268"/>
      <c r="AI317" s="268"/>
      <c r="AJ317" s="268"/>
      <c r="AK317" s="268"/>
      <c r="AL317" s="268"/>
      <c r="AM317" s="268"/>
      <c r="AN317" s="268"/>
      <c r="AO317" s="268"/>
      <c r="AP317" s="268"/>
      <c r="AQ317" s="268"/>
      <c r="AR317" s="268"/>
      <c r="AS317" s="268"/>
      <c r="AT317" s="268"/>
      <c r="AU317" s="268"/>
      <c r="AV317" s="268"/>
      <c r="AW317" s="268"/>
      <c r="AX317" s="268"/>
      <c r="AY317" s="268"/>
      <c r="AZ317" s="268"/>
      <c r="BA317" s="268"/>
      <c r="BB317" s="268"/>
      <c r="BC317" s="268"/>
      <c r="BD317" s="268"/>
      <c r="BE317" s="268"/>
      <c r="BF317" s="268"/>
      <c r="BG317" s="268"/>
    </row>
    <row r="318" spans="1:59" ht="15.75" customHeight="1" x14ac:dyDescent="0.2">
      <c r="A318" s="329"/>
      <c r="B318" s="329"/>
      <c r="C318" s="327" t="s">
        <v>250</v>
      </c>
      <c r="D318" s="349" t="s">
        <v>146</v>
      </c>
      <c r="E318" s="349" t="s">
        <v>146</v>
      </c>
      <c r="F318" s="349" t="s">
        <v>146</v>
      </c>
      <c r="G318" s="349" t="s">
        <v>146</v>
      </c>
      <c r="H318" s="349" t="s">
        <v>146</v>
      </c>
      <c r="I318" s="349">
        <f t="shared" ref="I318:AB318" si="172">IFERROR(I299/D299-1,"n/a")</f>
        <v>0.77021363131673293</v>
      </c>
      <c r="J318" s="349">
        <f t="shared" si="172"/>
        <v>1.5345153592665697</v>
      </c>
      <c r="K318" s="349">
        <f t="shared" si="172"/>
        <v>0.82187541399156072</v>
      </c>
      <c r="L318" s="349">
        <f t="shared" si="172"/>
        <v>-0.13451618792451037</v>
      </c>
      <c r="M318" s="349">
        <f t="shared" si="172"/>
        <v>0.5464733960124839</v>
      </c>
      <c r="N318" s="349">
        <f t="shared" si="172"/>
        <v>-0.19136662442872809</v>
      </c>
      <c r="O318" s="349">
        <f t="shared" si="172"/>
        <v>0.58884089883960855</v>
      </c>
      <c r="P318" s="349">
        <f t="shared" si="172"/>
        <v>-0.63886536729975651</v>
      </c>
      <c r="Q318" s="349">
        <f t="shared" si="172"/>
        <v>-0.11558238827085365</v>
      </c>
      <c r="R318" s="349">
        <f t="shared" si="172"/>
        <v>-9.0174179737328664E-2</v>
      </c>
      <c r="S318" s="349">
        <f t="shared" si="172"/>
        <v>-0.48856266542988025</v>
      </c>
      <c r="T318" s="349">
        <f t="shared" si="172"/>
        <v>-0.62790740578539872</v>
      </c>
      <c r="U318" s="349">
        <f t="shared" si="172"/>
        <v>0.85759563188553178</v>
      </c>
      <c r="V318" s="349">
        <f t="shared" si="172"/>
        <v>0.67732528437565742</v>
      </c>
      <c r="W318" s="349">
        <f t="shared" si="172"/>
        <v>-0.15925190611178308</v>
      </c>
      <c r="X318" s="349">
        <f t="shared" si="172"/>
        <v>0.97376872219388777</v>
      </c>
      <c r="Y318" s="349">
        <f t="shared" si="172"/>
        <v>0.29097532833995277</v>
      </c>
      <c r="Z318" s="349">
        <f t="shared" si="172"/>
        <v>0.606022096283795</v>
      </c>
      <c r="AA318" s="349">
        <f t="shared" si="172"/>
        <v>-0.21245313075925332</v>
      </c>
      <c r="AB318" s="349">
        <f t="shared" si="172"/>
        <v>0.24168461499001959</v>
      </c>
      <c r="AC318" s="329"/>
      <c r="AD318" s="329"/>
      <c r="AE318" s="329"/>
      <c r="AF318" s="329"/>
      <c r="AG318" s="329"/>
      <c r="AH318" s="329"/>
      <c r="AI318" s="329"/>
      <c r="AJ318" s="329"/>
      <c r="AK318" s="329"/>
      <c r="AL318" s="329"/>
      <c r="AM318" s="329"/>
      <c r="AN318" s="329"/>
      <c r="AO318" s="329"/>
      <c r="AP318" s="329"/>
      <c r="AQ318" s="329"/>
      <c r="AR318" s="329"/>
      <c r="AS318" s="329"/>
      <c r="AT318" s="329"/>
      <c r="AU318" s="329"/>
      <c r="AV318" s="329"/>
      <c r="AW318" s="329"/>
      <c r="AX318" s="329"/>
      <c r="AY318" s="329"/>
      <c r="AZ318" s="329"/>
      <c r="BA318" s="329"/>
      <c r="BB318" s="329"/>
      <c r="BC318" s="329"/>
      <c r="BD318" s="329"/>
      <c r="BE318" s="329"/>
      <c r="BF318" s="329"/>
      <c r="BG318" s="329"/>
    </row>
    <row r="319" spans="1:59" ht="15.75" customHeight="1" x14ac:dyDescent="0.2">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c r="AL319" s="289"/>
      <c r="AM319" s="289"/>
      <c r="AN319" s="289"/>
      <c r="AO319" s="289"/>
      <c r="AP319" s="289"/>
      <c r="AQ319" s="289"/>
      <c r="AR319" s="289"/>
      <c r="AS319" s="289"/>
      <c r="AT319" s="289"/>
      <c r="AU319" s="289"/>
      <c r="AV319" s="289"/>
      <c r="AW319" s="289"/>
      <c r="AX319" s="289"/>
      <c r="AY319" s="289"/>
      <c r="AZ319" s="289"/>
      <c r="BA319" s="289"/>
      <c r="BB319" s="289"/>
      <c r="BC319" s="289"/>
      <c r="BD319" s="289"/>
      <c r="BE319" s="289"/>
      <c r="BF319" s="289"/>
      <c r="BG319" s="289"/>
    </row>
    <row r="320" spans="1:59" ht="15.75" customHeight="1" x14ac:dyDescent="0.2">
      <c r="A320" s="210"/>
      <c r="B320" s="211" t="s">
        <v>355</v>
      </c>
      <c r="C320" s="211"/>
      <c r="D320" s="277" t="s">
        <v>98</v>
      </c>
      <c r="E320" s="277" t="s">
        <v>99</v>
      </c>
      <c r="F320" s="277" t="s">
        <v>100</v>
      </c>
      <c r="G320" s="277" t="s">
        <v>101</v>
      </c>
      <c r="H320" s="159">
        <v>2018</v>
      </c>
      <c r="I320" s="277" t="s">
        <v>102</v>
      </c>
      <c r="J320" s="277" t="s">
        <v>103</v>
      </c>
      <c r="K320" s="277" t="s">
        <v>104</v>
      </c>
      <c r="L320" s="277" t="s">
        <v>105</v>
      </c>
      <c r="M320" s="159">
        <v>2019</v>
      </c>
      <c r="N320" s="277" t="s">
        <v>158</v>
      </c>
      <c r="O320" s="277" t="s">
        <v>107</v>
      </c>
      <c r="P320" s="277" t="s">
        <v>108</v>
      </c>
      <c r="Q320" s="277" t="s">
        <v>109</v>
      </c>
      <c r="R320" s="159">
        <v>2020</v>
      </c>
      <c r="S320" s="277" t="s">
        <v>110</v>
      </c>
      <c r="T320" s="277" t="s">
        <v>111</v>
      </c>
      <c r="U320" s="277" t="s">
        <v>112</v>
      </c>
      <c r="V320" s="277" t="s">
        <v>113</v>
      </c>
      <c r="W320" s="159">
        <v>2021</v>
      </c>
      <c r="X320" s="277" t="s">
        <v>114</v>
      </c>
      <c r="Y320" s="277" t="s">
        <v>115</v>
      </c>
      <c r="Z320" s="277" t="str">
        <f>$Z$4</f>
        <v>3Q22</v>
      </c>
      <c r="AA320" s="277" t="str">
        <f>$AA$4</f>
        <v>4Q22</v>
      </c>
      <c r="AB320" s="160">
        <v>2022</v>
      </c>
      <c r="AC320" s="268"/>
      <c r="AD320" s="268"/>
      <c r="AE320" s="268"/>
      <c r="AF320" s="268"/>
      <c r="AG320" s="268"/>
      <c r="AH320" s="268"/>
      <c r="AI320" s="268"/>
      <c r="AJ320" s="268"/>
      <c r="AK320" s="268"/>
      <c r="AL320" s="268"/>
      <c r="AM320" s="268"/>
      <c r="AN320" s="268"/>
      <c r="AO320" s="268"/>
      <c r="AP320" s="268"/>
      <c r="AQ320" s="268"/>
      <c r="AR320" s="268"/>
      <c r="AS320" s="268"/>
      <c r="AT320" s="268"/>
      <c r="AU320" s="268"/>
      <c r="AV320" s="268"/>
      <c r="AW320" s="268"/>
      <c r="AX320" s="268"/>
      <c r="AY320" s="268"/>
      <c r="AZ320" s="268"/>
      <c r="BA320" s="268"/>
      <c r="BB320" s="268"/>
      <c r="BC320" s="268"/>
      <c r="BD320" s="268"/>
      <c r="BE320" s="268"/>
      <c r="BF320" s="268"/>
      <c r="BG320" s="268"/>
    </row>
    <row r="321" spans="1:59" ht="15.75" customHeight="1" x14ac:dyDescent="0.2">
      <c r="A321" s="307"/>
      <c r="B321" s="307"/>
      <c r="C321" s="308" t="s">
        <v>19</v>
      </c>
      <c r="D321" s="292">
        <f t="shared" ref="D321:AB321" si="173">D178</f>
        <v>-16.776713192323484</v>
      </c>
      <c r="E321" s="292">
        <f t="shared" si="173"/>
        <v>-17.790963568723512</v>
      </c>
      <c r="F321" s="292">
        <f t="shared" si="173"/>
        <v>-18.011990777052404</v>
      </c>
      <c r="G321" s="292">
        <f t="shared" si="173"/>
        <v>-18.332010371707483</v>
      </c>
      <c r="H321" s="292">
        <f t="shared" si="173"/>
        <v>-70.911677909806883</v>
      </c>
      <c r="I321" s="292">
        <f t="shared" si="173"/>
        <v>-24.995797460000013</v>
      </c>
      <c r="J321" s="292">
        <f t="shared" si="173"/>
        <v>-24.648493120000012</v>
      </c>
      <c r="K321" s="292">
        <f t="shared" si="173"/>
        <v>-24.100485809999995</v>
      </c>
      <c r="L321" s="292">
        <f t="shared" si="173"/>
        <v>-23.692846469999992</v>
      </c>
      <c r="M321" s="292">
        <f t="shared" si="173"/>
        <v>-97.437622859999976</v>
      </c>
      <c r="N321" s="292">
        <f t="shared" si="173"/>
        <v>-23.658049480000003</v>
      </c>
      <c r="O321" s="292">
        <f t="shared" si="173"/>
        <v>-23.71512563000001</v>
      </c>
      <c r="P321" s="292">
        <f t="shared" si="173"/>
        <v>-24.008875650000007</v>
      </c>
      <c r="Q321" s="292">
        <f t="shared" si="173"/>
        <v>-25.521354479999999</v>
      </c>
      <c r="R321" s="292">
        <f t="shared" si="173"/>
        <v>-96.903405240000012</v>
      </c>
      <c r="S321" s="292">
        <f t="shared" si="173"/>
        <v>-28.479328359999997</v>
      </c>
      <c r="T321" s="292">
        <f t="shared" si="173"/>
        <v>-29.944790179999984</v>
      </c>
      <c r="U321" s="292">
        <f t="shared" si="173"/>
        <v>-29.263522099999989</v>
      </c>
      <c r="V321" s="292">
        <f t="shared" si="173"/>
        <v>-29.068045949999998</v>
      </c>
      <c r="W321" s="292">
        <f t="shared" si="173"/>
        <v>-116.75568658999998</v>
      </c>
      <c r="X321" s="292">
        <f t="shared" si="173"/>
        <v>-29.449314829999992</v>
      </c>
      <c r="Y321" s="292">
        <f t="shared" si="173"/>
        <v>-30.003882349999998</v>
      </c>
      <c r="Z321" s="292">
        <f t="shared" si="173"/>
        <v>-29.911573469999993</v>
      </c>
      <c r="AA321" s="292">
        <f t="shared" si="173"/>
        <v>-30.849116639999991</v>
      </c>
      <c r="AB321" s="292">
        <f t="shared" si="173"/>
        <v>-120.21388728999995</v>
      </c>
      <c r="AC321" s="307"/>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7"/>
      <c r="BE321" s="307"/>
      <c r="BF321" s="307"/>
      <c r="BG321" s="307"/>
    </row>
    <row r="322" spans="1:59" ht="15.75" customHeight="1" x14ac:dyDescent="0.2">
      <c r="A322" s="307"/>
      <c r="B322" s="307"/>
      <c r="C322" s="308" t="s">
        <v>27</v>
      </c>
      <c r="D322" s="292">
        <f t="shared" ref="D322:AB322" si="174">D196</f>
        <v>-3.0590749999999995</v>
      </c>
      <c r="E322" s="292">
        <f t="shared" si="174"/>
        <v>-3.0697220700000001</v>
      </c>
      <c r="F322" s="292">
        <f t="shared" si="174"/>
        <v>-3.0350390899999997</v>
      </c>
      <c r="G322" s="292">
        <f t="shared" si="174"/>
        <v>-2.9867868900000003</v>
      </c>
      <c r="H322" s="292">
        <f t="shared" si="174"/>
        <v>-12.15062305</v>
      </c>
      <c r="I322" s="292">
        <f t="shared" si="174"/>
        <v>-3.4548770200000001</v>
      </c>
      <c r="J322" s="292">
        <f t="shared" si="174"/>
        <v>-3.4484614399999991</v>
      </c>
      <c r="K322" s="292">
        <f t="shared" si="174"/>
        <v>-3.4613335899999997</v>
      </c>
      <c r="L322" s="292">
        <f t="shared" si="174"/>
        <v>-3.3823316499999976</v>
      </c>
      <c r="M322" s="292">
        <f t="shared" si="174"/>
        <v>-13.7470037</v>
      </c>
      <c r="N322" s="292">
        <f t="shared" si="174"/>
        <v>-3.3779308600000006</v>
      </c>
      <c r="O322" s="292">
        <f t="shared" si="174"/>
        <v>-3.4460188999999999</v>
      </c>
      <c r="P322" s="292">
        <f t="shared" si="174"/>
        <v>-3.2670977100000007</v>
      </c>
      <c r="Q322" s="292">
        <f t="shared" si="174"/>
        <v>-3.3135778399999998</v>
      </c>
      <c r="R322" s="292">
        <f t="shared" si="174"/>
        <v>-13.40462531</v>
      </c>
      <c r="S322" s="292">
        <f t="shared" si="174"/>
        <v>-3.4067543999999996</v>
      </c>
      <c r="T322" s="292">
        <f t="shared" si="174"/>
        <v>-3.3250176699999998</v>
      </c>
      <c r="U322" s="292">
        <f t="shared" si="174"/>
        <v>-3.2965013399999998</v>
      </c>
      <c r="V322" s="292">
        <f t="shared" si="174"/>
        <v>-3.5429103099999999</v>
      </c>
      <c r="W322" s="292">
        <f t="shared" si="174"/>
        <v>-13.571183720000001</v>
      </c>
      <c r="X322" s="292">
        <f t="shared" si="174"/>
        <v>-3.3824698400000002</v>
      </c>
      <c r="Y322" s="292">
        <f t="shared" si="174"/>
        <v>-3.2744722899999998</v>
      </c>
      <c r="Z322" s="292">
        <f t="shared" si="174"/>
        <v>-3.5532041400000001</v>
      </c>
      <c r="AA322" s="292">
        <f t="shared" si="174"/>
        <v>-3.7279070400000003</v>
      </c>
      <c r="AB322" s="292">
        <f t="shared" si="174"/>
        <v>-13.938053310000001</v>
      </c>
      <c r="AC322" s="307"/>
      <c r="AD322" s="307"/>
      <c r="AE322" s="307"/>
      <c r="AF322" s="307"/>
      <c r="AG322" s="307"/>
      <c r="AH322" s="307"/>
      <c r="AI322" s="307"/>
      <c r="AJ322" s="307"/>
      <c r="AK322" s="307"/>
      <c r="AL322" s="307"/>
      <c r="AM322" s="307"/>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row>
    <row r="323" spans="1:59" ht="15.75" customHeight="1" x14ac:dyDescent="0.2">
      <c r="A323" s="307"/>
      <c r="B323" s="307"/>
      <c r="C323" s="308" t="s">
        <v>21</v>
      </c>
      <c r="D323" s="292">
        <f t="shared" ref="D323:AB323" si="175">D214</f>
        <v>-1.3292255005999998</v>
      </c>
      <c r="E323" s="292">
        <f t="shared" si="175"/>
        <v>-1.360745756839</v>
      </c>
      <c r="F323" s="292">
        <f t="shared" si="175"/>
        <v>-1.3806286452889971</v>
      </c>
      <c r="G323" s="292">
        <f t="shared" si="175"/>
        <v>-1.4076829109099993</v>
      </c>
      <c r="H323" s="292">
        <f t="shared" si="175"/>
        <v>-5.4782828136379962</v>
      </c>
      <c r="I323" s="292">
        <f t="shared" si="175"/>
        <v>-4.2334012200000011</v>
      </c>
      <c r="J323" s="292">
        <f t="shared" si="175"/>
        <v>-4.3563483900000008</v>
      </c>
      <c r="K323" s="292">
        <f t="shared" si="175"/>
        <v>-4.4800070200000013</v>
      </c>
      <c r="L323" s="292">
        <f t="shared" si="175"/>
        <v>-4.4467880999999991</v>
      </c>
      <c r="M323" s="292">
        <f t="shared" si="175"/>
        <v>-17.516544730000007</v>
      </c>
      <c r="N323" s="292">
        <f t="shared" si="175"/>
        <v>-4.1991379599999972</v>
      </c>
      <c r="O323" s="292">
        <f t="shared" si="175"/>
        <v>-4.1761762499999984</v>
      </c>
      <c r="P323" s="292">
        <f t="shared" si="175"/>
        <v>-4.0962238699999993</v>
      </c>
      <c r="Q323" s="292">
        <f t="shared" si="175"/>
        <v>-4.1073871999999998</v>
      </c>
      <c r="R323" s="292">
        <f t="shared" si="175"/>
        <v>-16.578925279999996</v>
      </c>
      <c r="S323" s="292">
        <f t="shared" si="175"/>
        <v>-4.1033831999999997</v>
      </c>
      <c r="T323" s="292">
        <f t="shared" si="175"/>
        <v>-4.0902739100000005</v>
      </c>
      <c r="U323" s="292">
        <f t="shared" si="175"/>
        <v>-3.7193670499999989</v>
      </c>
      <c r="V323" s="292">
        <f t="shared" si="175"/>
        <v>-3.0999999999999996</v>
      </c>
      <c r="W323" s="292">
        <f t="shared" si="175"/>
        <v>-15.013024160000001</v>
      </c>
      <c r="X323" s="292">
        <f t="shared" si="175"/>
        <v>-3.0999999999999996</v>
      </c>
      <c r="Y323" s="292">
        <f t="shared" si="175"/>
        <v>-3.1622634000000005</v>
      </c>
      <c r="Z323" s="292">
        <f t="shared" si="175"/>
        <v>-3.0924681900000017</v>
      </c>
      <c r="AA323" s="292">
        <f t="shared" si="175"/>
        <v>-3.0778680400000002</v>
      </c>
      <c r="AB323" s="292">
        <f t="shared" si="175"/>
        <v>-12.432599629999999</v>
      </c>
      <c r="AC323" s="307"/>
      <c r="AD323" s="307"/>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row>
    <row r="324" spans="1:59" ht="15.75" customHeight="1" x14ac:dyDescent="0.2">
      <c r="A324" s="307"/>
      <c r="B324" s="307"/>
      <c r="C324" s="308" t="s">
        <v>23</v>
      </c>
      <c r="D324" s="292">
        <f t="shared" ref="D324:AB324" si="176">D232</f>
        <v>-22.365817120946197</v>
      </c>
      <c r="E324" s="292">
        <f t="shared" si="176"/>
        <v>-25.321491129419002</v>
      </c>
      <c r="F324" s="292">
        <f t="shared" si="176"/>
        <v>-28.0186608423354</v>
      </c>
      <c r="G324" s="292">
        <f t="shared" si="176"/>
        <v>-27.686312651121511</v>
      </c>
      <c r="H324" s="292">
        <f t="shared" si="176"/>
        <v>-103.39228174382208</v>
      </c>
      <c r="I324" s="292">
        <f t="shared" si="176"/>
        <v>-27.660187270000005</v>
      </c>
      <c r="J324" s="292">
        <f t="shared" si="176"/>
        <v>-30.525785110000001</v>
      </c>
      <c r="K324" s="292">
        <f t="shared" si="176"/>
        <v>-30.373363949999991</v>
      </c>
      <c r="L324" s="292">
        <f t="shared" si="176"/>
        <v>-32.15961772</v>
      </c>
      <c r="M324" s="292">
        <f t="shared" si="176"/>
        <v>-120.71895404999998</v>
      </c>
      <c r="N324" s="292">
        <f t="shared" si="176"/>
        <v>-35.391452390000005</v>
      </c>
      <c r="O324" s="292">
        <f t="shared" si="176"/>
        <v>-43.820924099999985</v>
      </c>
      <c r="P324" s="292">
        <f t="shared" si="176"/>
        <v>-43.715040639999998</v>
      </c>
      <c r="Q324" s="292">
        <f t="shared" si="176"/>
        <v>-43.295342860000005</v>
      </c>
      <c r="R324" s="292">
        <f t="shared" si="176"/>
        <v>-166.22275998999999</v>
      </c>
      <c r="S324" s="292">
        <f t="shared" si="176"/>
        <v>-43.325987090000012</v>
      </c>
      <c r="T324" s="292">
        <f t="shared" si="176"/>
        <v>-40.841957939999986</v>
      </c>
      <c r="U324" s="292">
        <f t="shared" si="176"/>
        <v>-38.444165300000009</v>
      </c>
      <c r="V324" s="292">
        <f t="shared" si="176"/>
        <v>-42.90765644999999</v>
      </c>
      <c r="W324" s="292">
        <f t="shared" si="176"/>
        <v>-165.51976678000005</v>
      </c>
      <c r="X324" s="292">
        <f t="shared" si="176"/>
        <v>-41.469480189999999</v>
      </c>
      <c r="Y324" s="292">
        <f t="shared" si="176"/>
        <v>-39.384223619999986</v>
      </c>
      <c r="Z324" s="292">
        <f t="shared" si="176"/>
        <v>-43.087341490000014</v>
      </c>
      <c r="AA324" s="292">
        <f t="shared" si="176"/>
        <v>-47.583400970000014</v>
      </c>
      <c r="AB324" s="292">
        <f t="shared" si="176"/>
        <v>-171.52444627000006</v>
      </c>
      <c r="AC324" s="307"/>
      <c r="AD324" s="307"/>
      <c r="AE324" s="307"/>
      <c r="AF324" s="307"/>
      <c r="AG324" s="307"/>
      <c r="AH324" s="307"/>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row>
    <row r="325" spans="1:59" ht="15.75" customHeight="1" x14ac:dyDescent="0.2">
      <c r="A325" s="307"/>
      <c r="B325" s="307"/>
      <c r="C325" s="308" t="s">
        <v>25</v>
      </c>
      <c r="D325" s="292">
        <f t="shared" ref="D325:AB325" si="177">D250</f>
        <v>-0.19097253467500008</v>
      </c>
      <c r="E325" s="292">
        <f t="shared" si="177"/>
        <v>-0.21268620571899999</v>
      </c>
      <c r="F325" s="292">
        <f t="shared" si="177"/>
        <v>-0.23192357554999976</v>
      </c>
      <c r="G325" s="292">
        <f t="shared" si="177"/>
        <v>-0.20824632502500018</v>
      </c>
      <c r="H325" s="292">
        <f t="shared" si="177"/>
        <v>-0.8438286409689999</v>
      </c>
      <c r="I325" s="292">
        <f t="shared" si="177"/>
        <v>-0.43351654000000001</v>
      </c>
      <c r="J325" s="292">
        <f t="shared" si="177"/>
        <v>-0.7092811</v>
      </c>
      <c r="K325" s="292">
        <f t="shared" si="177"/>
        <v>-0.13631819000000034</v>
      </c>
      <c r="L325" s="292">
        <f t="shared" si="177"/>
        <v>-0.44206829999999986</v>
      </c>
      <c r="M325" s="292">
        <f t="shared" si="177"/>
        <v>-1.721184130000001</v>
      </c>
      <c r="N325" s="292">
        <f t="shared" si="177"/>
        <v>-0.38615556000000001</v>
      </c>
      <c r="O325" s="292">
        <f t="shared" si="177"/>
        <v>-0.51183478999999998</v>
      </c>
      <c r="P325" s="292">
        <f t="shared" si="177"/>
        <v>-0.43177478999999996</v>
      </c>
      <c r="Q325" s="292">
        <f t="shared" si="177"/>
        <v>-0.42014188000000008</v>
      </c>
      <c r="R325" s="292">
        <f t="shared" si="177"/>
        <v>-1.7499070199999984</v>
      </c>
      <c r="S325" s="292">
        <f t="shared" si="177"/>
        <v>-0.43762104999999973</v>
      </c>
      <c r="T325" s="292">
        <f t="shared" si="177"/>
        <v>-0.40522814000000018</v>
      </c>
      <c r="U325" s="292">
        <f t="shared" si="177"/>
        <v>-0.33943462000000002</v>
      </c>
      <c r="V325" s="292">
        <f t="shared" si="177"/>
        <v>-0.35117413999999991</v>
      </c>
      <c r="W325" s="292">
        <f t="shared" si="177"/>
        <v>-1.533457949999999</v>
      </c>
      <c r="X325" s="292">
        <f t="shared" si="177"/>
        <v>-0.34818572999999997</v>
      </c>
      <c r="Y325" s="292">
        <f t="shared" si="177"/>
        <v>-0.42605441999999982</v>
      </c>
      <c r="Z325" s="292">
        <f t="shared" si="177"/>
        <v>-0.42528502999999973</v>
      </c>
      <c r="AA325" s="292">
        <f t="shared" si="177"/>
        <v>-0.37536437999999972</v>
      </c>
      <c r="AB325" s="292">
        <f t="shared" si="177"/>
        <v>-1.574889559999999</v>
      </c>
      <c r="AC325" s="307"/>
      <c r="AD325" s="307"/>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7"/>
      <c r="BE325" s="307"/>
      <c r="BF325" s="307"/>
      <c r="BG325" s="307"/>
    </row>
    <row r="326" spans="1:59" ht="15.75" customHeight="1" x14ac:dyDescent="0.2">
      <c r="A326" s="307"/>
      <c r="B326" s="307"/>
      <c r="C326" s="308" t="s">
        <v>29</v>
      </c>
      <c r="D326" s="292">
        <f t="shared" ref="D326:AB326" si="178">D268</f>
        <v>-1.7717141486270003</v>
      </c>
      <c r="E326" s="292">
        <f t="shared" si="178"/>
        <v>-2.0036959433930002</v>
      </c>
      <c r="F326" s="292">
        <f t="shared" si="178"/>
        <v>-0.80951035869899868</v>
      </c>
      <c r="G326" s="292">
        <f t="shared" si="178"/>
        <v>-1.4647469289440003</v>
      </c>
      <c r="H326" s="292">
        <f t="shared" si="178"/>
        <v>-6.0496673796629983</v>
      </c>
      <c r="I326" s="292">
        <f t="shared" si="178"/>
        <v>-0.59359269000000003</v>
      </c>
      <c r="J326" s="292">
        <f t="shared" si="178"/>
        <v>0.20528685000000024</v>
      </c>
      <c r="K326" s="292">
        <f t="shared" si="178"/>
        <v>-2.0079112800000001</v>
      </c>
      <c r="L326" s="292">
        <f t="shared" si="178"/>
        <v>-1.4679345499999998</v>
      </c>
      <c r="M326" s="292">
        <f t="shared" si="178"/>
        <v>-3.86415167</v>
      </c>
      <c r="N326" s="292">
        <f t="shared" si="178"/>
        <v>-2.81992954</v>
      </c>
      <c r="O326" s="292">
        <f t="shared" si="178"/>
        <v>-2.1613269499999999</v>
      </c>
      <c r="P326" s="292">
        <f t="shared" si="178"/>
        <v>-2.48271335</v>
      </c>
      <c r="Q326" s="292">
        <f t="shared" si="178"/>
        <v>-2.6263490699999998</v>
      </c>
      <c r="R326" s="292">
        <f t="shared" si="178"/>
        <v>-10.090318910000001</v>
      </c>
      <c r="S326" s="292">
        <f t="shared" si="178"/>
        <v>-2.5220714499999999</v>
      </c>
      <c r="T326" s="292">
        <f t="shared" si="178"/>
        <v>-2.1943284200000002</v>
      </c>
      <c r="U326" s="292">
        <f t="shared" si="178"/>
        <v>-2.1017966500000003</v>
      </c>
      <c r="V326" s="292">
        <f t="shared" si="178"/>
        <v>-2.0353594399999997</v>
      </c>
      <c r="W326" s="292">
        <f t="shared" si="178"/>
        <v>-8.8535559599999996</v>
      </c>
      <c r="X326" s="292">
        <f t="shared" si="178"/>
        <v>-2.0092561</v>
      </c>
      <c r="Y326" s="292">
        <f t="shared" si="178"/>
        <v>-2.0290537199999998</v>
      </c>
      <c r="Z326" s="292">
        <f t="shared" si="178"/>
        <v>-1.9301074499999999</v>
      </c>
      <c r="AA326" s="292">
        <f t="shared" si="178"/>
        <v>-1.9074658000000002</v>
      </c>
      <c r="AB326" s="292">
        <f t="shared" si="178"/>
        <v>-7.8758830699999995</v>
      </c>
      <c r="AC326" s="307"/>
      <c r="AD326" s="307"/>
      <c r="AE326" s="307"/>
      <c r="AF326" s="307"/>
      <c r="AG326" s="307"/>
      <c r="AH326" s="307"/>
      <c r="AI326" s="307"/>
      <c r="AJ326" s="307"/>
      <c r="AK326" s="307"/>
      <c r="AL326" s="307"/>
      <c r="AM326" s="307"/>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row>
    <row r="327" spans="1:59" ht="15.75" customHeight="1" x14ac:dyDescent="0.2">
      <c r="A327" s="307"/>
      <c r="B327" s="307"/>
      <c r="C327" s="308" t="s">
        <v>208</v>
      </c>
      <c r="D327" s="292">
        <f t="shared" ref="D327:AB327" si="179">D283</f>
        <v>-1.3877720637749995</v>
      </c>
      <c r="E327" s="292">
        <f t="shared" si="179"/>
        <v>-1.6528568698210009</v>
      </c>
      <c r="F327" s="292">
        <f t="shared" si="179"/>
        <v>-1.5644760412079961</v>
      </c>
      <c r="G327" s="292">
        <f t="shared" si="179"/>
        <v>-1.4121392548940008</v>
      </c>
      <c r="H327" s="292">
        <f t="shared" si="179"/>
        <v>-6.017244229698008</v>
      </c>
      <c r="I327" s="292">
        <f t="shared" si="179"/>
        <v>-1.7128397599999978</v>
      </c>
      <c r="J327" s="292">
        <f t="shared" si="179"/>
        <v>-0.74369154000000037</v>
      </c>
      <c r="K327" s="292">
        <f t="shared" si="179"/>
        <v>-1.8559351400000033</v>
      </c>
      <c r="L327" s="292">
        <f t="shared" si="179"/>
        <v>-1.4545604599999962</v>
      </c>
      <c r="M327" s="292">
        <f t="shared" si="179"/>
        <v>-5.7670268999999905</v>
      </c>
      <c r="N327" s="292">
        <f t="shared" si="179"/>
        <v>-2.1919171600000027</v>
      </c>
      <c r="O327" s="292">
        <f t="shared" si="179"/>
        <v>-2.7296899400000036</v>
      </c>
      <c r="P327" s="292">
        <f t="shared" si="179"/>
        <v>-2.60405175</v>
      </c>
      <c r="Q327" s="292">
        <f t="shared" si="179"/>
        <v>-2.5536800900000003</v>
      </c>
      <c r="R327" s="292">
        <f t="shared" si="179"/>
        <v>-10.079338940000014</v>
      </c>
      <c r="S327" s="292">
        <f t="shared" si="179"/>
        <v>-2.6567069199999978</v>
      </c>
      <c r="T327" s="292">
        <f t="shared" si="179"/>
        <v>-2.5565253800000001</v>
      </c>
      <c r="U327" s="292">
        <f t="shared" si="179"/>
        <v>-2.4090169500000016</v>
      </c>
      <c r="V327" s="292">
        <f t="shared" si="179"/>
        <v>-2.4382201100000032</v>
      </c>
      <c r="W327" s="292">
        <f t="shared" si="179"/>
        <v>-10.060469359999999</v>
      </c>
      <c r="X327" s="292">
        <f t="shared" si="179"/>
        <v>-1.8877793599999997</v>
      </c>
      <c r="Y327" s="292">
        <f t="shared" si="179"/>
        <v>-0.8245973599999985</v>
      </c>
      <c r="Z327" s="292">
        <f t="shared" si="179"/>
        <v>-1.5045395900000003</v>
      </c>
      <c r="AA327" s="292">
        <f t="shared" si="179"/>
        <v>-0.97941836000000393</v>
      </c>
      <c r="AB327" s="292">
        <f t="shared" si="179"/>
        <v>-5.1963346699999988</v>
      </c>
      <c r="AC327" s="307"/>
      <c r="AD327" s="307"/>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7"/>
      <c r="BE327" s="307"/>
      <c r="BF327" s="307"/>
      <c r="BG327" s="307"/>
    </row>
    <row r="328" spans="1:59" ht="15.75" customHeight="1" x14ac:dyDescent="0.2">
      <c r="A328" s="278"/>
      <c r="B328" s="278"/>
      <c r="C328" s="327" t="s">
        <v>250</v>
      </c>
      <c r="D328" s="333">
        <f t="shared" ref="D328:AB328" si="180">D15</f>
        <v>-46.9</v>
      </c>
      <c r="E328" s="333">
        <f t="shared" si="180"/>
        <v>-51.4</v>
      </c>
      <c r="F328" s="333">
        <f t="shared" si="180"/>
        <v>-53</v>
      </c>
      <c r="G328" s="333">
        <f t="shared" si="180"/>
        <v>-53.5</v>
      </c>
      <c r="H328" s="333">
        <f t="shared" si="180"/>
        <v>-204.8</v>
      </c>
      <c r="I328" s="333">
        <f t="shared" si="180"/>
        <v>-63.1</v>
      </c>
      <c r="J328" s="333">
        <f t="shared" si="180"/>
        <v>-64.2</v>
      </c>
      <c r="K328" s="333">
        <f t="shared" si="180"/>
        <v>-66.400000000000006</v>
      </c>
      <c r="L328" s="333">
        <f t="shared" si="180"/>
        <v>-67.099999999999994</v>
      </c>
      <c r="M328" s="333">
        <f t="shared" si="180"/>
        <v>-260.8</v>
      </c>
      <c r="N328" s="333">
        <f t="shared" si="180"/>
        <v>-72</v>
      </c>
      <c r="O328" s="333">
        <f t="shared" si="180"/>
        <v>-80.599999999999994</v>
      </c>
      <c r="P328" s="333">
        <f t="shared" si="180"/>
        <v>-80.599999999999994</v>
      </c>
      <c r="Q328" s="333">
        <f t="shared" si="180"/>
        <v>-81.8</v>
      </c>
      <c r="R328" s="333">
        <f t="shared" si="180"/>
        <v>-315</v>
      </c>
      <c r="S328" s="333">
        <f t="shared" si="180"/>
        <v>-84.931852460000002</v>
      </c>
      <c r="T328" s="333">
        <f t="shared" si="180"/>
        <v>-83.358121650000001</v>
      </c>
      <c r="U328" s="333">
        <f t="shared" si="180"/>
        <v>-79.573804019999997</v>
      </c>
      <c r="V328" s="333">
        <f t="shared" si="180"/>
        <v>-83.4</v>
      </c>
      <c r="W328" s="333">
        <f t="shared" si="180"/>
        <v>-331.26377812999999</v>
      </c>
      <c r="X328" s="333">
        <f t="shared" si="180"/>
        <v>-81.619663489999994</v>
      </c>
      <c r="Y328" s="333">
        <f t="shared" si="180"/>
        <v>-79.104547170000004</v>
      </c>
      <c r="Z328" s="333">
        <f t="shared" si="180"/>
        <v>-83.504519349999995</v>
      </c>
      <c r="AA328" s="333">
        <f t="shared" si="180"/>
        <v>-88.500541220000002</v>
      </c>
      <c r="AB328" s="333">
        <f t="shared" si="180"/>
        <v>-332.72927122999999</v>
      </c>
      <c r="AC328" s="278"/>
      <c r="AD328" s="278"/>
      <c r="AE328" s="278"/>
      <c r="AF328" s="278"/>
      <c r="AG328" s="278"/>
      <c r="AH328" s="278"/>
      <c r="AI328" s="278"/>
      <c r="AJ328" s="278"/>
      <c r="AK328" s="278"/>
      <c r="AL328" s="278"/>
      <c r="AM328" s="278"/>
      <c r="AN328" s="278"/>
      <c r="AO328" s="278"/>
      <c r="AP328" s="278"/>
      <c r="AQ328" s="278"/>
      <c r="AR328" s="278"/>
      <c r="AS328" s="278"/>
      <c r="AT328" s="278"/>
      <c r="AU328" s="278"/>
      <c r="AV328" s="278"/>
      <c r="AW328" s="278"/>
      <c r="AX328" s="278"/>
      <c r="AY328" s="278"/>
      <c r="AZ328" s="278"/>
      <c r="BA328" s="278"/>
      <c r="BB328" s="278"/>
      <c r="BC328" s="278"/>
      <c r="BD328" s="278"/>
      <c r="BE328" s="278"/>
      <c r="BF328" s="278"/>
      <c r="BG328" s="278"/>
    </row>
    <row r="329" spans="1:59" ht="15.75" customHeight="1" x14ac:dyDescent="0.2">
      <c r="A329" s="329"/>
      <c r="B329" s="329"/>
      <c r="C329" s="34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268"/>
      <c r="AD329" s="268"/>
      <c r="AE329" s="268"/>
      <c r="AF329" s="268"/>
      <c r="AG329" s="268"/>
      <c r="AH329" s="268"/>
      <c r="AI329" s="268"/>
      <c r="AJ329" s="268"/>
      <c r="AK329" s="268"/>
      <c r="AL329" s="268"/>
      <c r="AM329" s="268"/>
      <c r="AN329" s="268"/>
      <c r="AO329" s="268"/>
      <c r="AP329" s="268"/>
      <c r="AQ329" s="268"/>
      <c r="AR329" s="268"/>
      <c r="AS329" s="268"/>
      <c r="AT329" s="268"/>
      <c r="AU329" s="268"/>
      <c r="AV329" s="268"/>
      <c r="AW329" s="268"/>
      <c r="AX329" s="268"/>
      <c r="AY329" s="268"/>
      <c r="AZ329" s="268"/>
      <c r="BA329" s="268"/>
      <c r="BB329" s="268"/>
      <c r="BC329" s="268"/>
      <c r="BD329" s="268"/>
      <c r="BE329" s="268"/>
      <c r="BF329" s="268"/>
      <c r="BG329" s="268"/>
    </row>
    <row r="330" spans="1:59" ht="15.75" customHeight="1" x14ac:dyDescent="0.2">
      <c r="A330" s="210"/>
      <c r="B330" s="211" t="s">
        <v>254</v>
      </c>
      <c r="C330" s="211"/>
      <c r="D330" s="277" t="s">
        <v>98</v>
      </c>
      <c r="E330" s="277" t="s">
        <v>99</v>
      </c>
      <c r="F330" s="277" t="s">
        <v>100</v>
      </c>
      <c r="G330" s="277" t="s">
        <v>101</v>
      </c>
      <c r="H330" s="159">
        <v>2018</v>
      </c>
      <c r="I330" s="277" t="s">
        <v>102</v>
      </c>
      <c r="J330" s="277" t="s">
        <v>103</v>
      </c>
      <c r="K330" s="277" t="s">
        <v>104</v>
      </c>
      <c r="L330" s="277" t="s">
        <v>105</v>
      </c>
      <c r="M330" s="159">
        <v>2019</v>
      </c>
      <c r="N330" s="277" t="s">
        <v>158</v>
      </c>
      <c r="O330" s="277" t="s">
        <v>107</v>
      </c>
      <c r="P330" s="277" t="s">
        <v>108</v>
      </c>
      <c r="Q330" s="277" t="s">
        <v>109</v>
      </c>
      <c r="R330" s="159">
        <v>2020</v>
      </c>
      <c r="S330" s="277" t="s">
        <v>110</v>
      </c>
      <c r="T330" s="277" t="s">
        <v>111</v>
      </c>
      <c r="U330" s="277" t="s">
        <v>112</v>
      </c>
      <c r="V330" s="277" t="s">
        <v>113</v>
      </c>
      <c r="W330" s="159">
        <v>2021</v>
      </c>
      <c r="X330" s="277" t="s">
        <v>114</v>
      </c>
      <c r="Y330" s="277" t="s">
        <v>115</v>
      </c>
      <c r="Z330" s="277" t="str">
        <f>$Z$4</f>
        <v>3Q22</v>
      </c>
      <c r="AA330" s="277" t="str">
        <f>$AA$4</f>
        <v>4Q22</v>
      </c>
      <c r="AB330" s="160">
        <v>2022</v>
      </c>
      <c r="AC330" s="268"/>
      <c r="AD330" s="268"/>
      <c r="AE330" s="268"/>
      <c r="AF330" s="268"/>
      <c r="AG330" s="268"/>
      <c r="AH330" s="268"/>
      <c r="AI330" s="268"/>
      <c r="AJ330" s="268"/>
      <c r="AK330" s="268"/>
      <c r="AL330" s="268"/>
      <c r="AM330" s="268"/>
      <c r="AN330" s="268"/>
      <c r="AO330" s="268"/>
      <c r="AP330" s="268"/>
      <c r="AQ330" s="268"/>
      <c r="AR330" s="268"/>
      <c r="AS330" s="268"/>
      <c r="AT330" s="268"/>
      <c r="AU330" s="268"/>
      <c r="AV330" s="268"/>
      <c r="AW330" s="268"/>
      <c r="AX330" s="268"/>
      <c r="AY330" s="268"/>
      <c r="AZ330" s="268"/>
      <c r="BA330" s="268"/>
      <c r="BB330" s="268"/>
      <c r="BC330" s="268"/>
      <c r="BD330" s="268"/>
      <c r="BE330" s="268"/>
      <c r="BF330" s="268"/>
      <c r="BG330" s="268"/>
    </row>
    <row r="331" spans="1:59" ht="15.75" customHeight="1" x14ac:dyDescent="0.2">
      <c r="A331" s="329"/>
      <c r="B331" s="329"/>
      <c r="C331" s="308" t="s">
        <v>19</v>
      </c>
      <c r="D331" s="325">
        <f t="shared" ref="D331:AB331" si="181">+D321/D$328</f>
        <v>0.35771243480433867</v>
      </c>
      <c r="E331" s="325">
        <f t="shared" si="181"/>
        <v>0.34612769588956249</v>
      </c>
      <c r="F331" s="325">
        <f t="shared" si="181"/>
        <v>0.33984888258589441</v>
      </c>
      <c r="G331" s="325">
        <f t="shared" si="181"/>
        <v>0.34265439947116788</v>
      </c>
      <c r="H331" s="325">
        <f t="shared" si="181"/>
        <v>0.34624842729397892</v>
      </c>
      <c r="I331" s="325">
        <f t="shared" si="181"/>
        <v>0.39612991220285282</v>
      </c>
      <c r="J331" s="325">
        <f t="shared" si="181"/>
        <v>0.38393291464174473</v>
      </c>
      <c r="K331" s="325">
        <f t="shared" si="181"/>
        <v>0.36295912364457822</v>
      </c>
      <c r="L331" s="325">
        <f t="shared" si="181"/>
        <v>0.35309756289120708</v>
      </c>
      <c r="M331" s="325">
        <f t="shared" si="181"/>
        <v>0.37361051710122689</v>
      </c>
      <c r="N331" s="325">
        <f t="shared" si="181"/>
        <v>0.32858402055555558</v>
      </c>
      <c r="O331" s="325">
        <f t="shared" si="181"/>
        <v>0.29423232791563292</v>
      </c>
      <c r="P331" s="325">
        <f t="shared" si="181"/>
        <v>0.29787686910669986</v>
      </c>
      <c r="Q331" s="325">
        <f t="shared" si="181"/>
        <v>0.31199699853300733</v>
      </c>
      <c r="R331" s="325">
        <f t="shared" si="181"/>
        <v>0.30762985790476194</v>
      </c>
      <c r="S331" s="325">
        <f t="shared" si="181"/>
        <v>0.3353197597263381</v>
      </c>
      <c r="T331" s="325">
        <f t="shared" si="181"/>
        <v>0.35923062548998769</v>
      </c>
      <c r="U331" s="325">
        <f t="shared" si="181"/>
        <v>0.36775321301272623</v>
      </c>
      <c r="V331" s="325">
        <f t="shared" si="181"/>
        <v>0.34853772122302151</v>
      </c>
      <c r="W331" s="325">
        <f t="shared" si="181"/>
        <v>0.35245533710051691</v>
      </c>
      <c r="X331" s="325">
        <f t="shared" si="181"/>
        <v>0.36081151980745557</v>
      </c>
      <c r="Y331" s="325">
        <f t="shared" si="181"/>
        <v>0.37929402826262326</v>
      </c>
      <c r="Z331" s="325">
        <f t="shared" si="181"/>
        <v>0.3582030494017806</v>
      </c>
      <c r="AA331" s="325">
        <f t="shared" si="181"/>
        <v>0.34857545744622498</v>
      </c>
      <c r="AB331" s="325">
        <f t="shared" si="181"/>
        <v>0.36129639825677307</v>
      </c>
      <c r="AC331" s="268"/>
      <c r="AD331" s="268"/>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c r="BD331" s="268"/>
      <c r="BE331" s="268"/>
      <c r="BF331" s="268"/>
      <c r="BG331" s="268"/>
    </row>
    <row r="332" spans="1:59" ht="15.75" customHeight="1" x14ac:dyDescent="0.2">
      <c r="A332" s="329"/>
      <c r="B332" s="329"/>
      <c r="C332" s="308" t="s">
        <v>27</v>
      </c>
      <c r="D332" s="325">
        <f t="shared" ref="D332:AB332" si="182">+D322/D$328</f>
        <v>6.522547974413645E-2</v>
      </c>
      <c r="E332" s="325">
        <f t="shared" si="182"/>
        <v>5.9722219260700392E-2</v>
      </c>
      <c r="F332" s="325">
        <f t="shared" si="182"/>
        <v>5.7264888490566032E-2</v>
      </c>
      <c r="G332" s="325">
        <f t="shared" si="182"/>
        <v>5.5827792336448606E-2</v>
      </c>
      <c r="H332" s="325">
        <f t="shared" si="182"/>
        <v>5.9329214111328125E-2</v>
      </c>
      <c r="I332" s="325">
        <f t="shared" si="182"/>
        <v>5.475240919175911E-2</v>
      </c>
      <c r="J332" s="325">
        <f t="shared" si="182"/>
        <v>5.3714352647975062E-2</v>
      </c>
      <c r="K332" s="325">
        <f t="shared" si="182"/>
        <v>5.212851792168674E-2</v>
      </c>
      <c r="L332" s="325">
        <f t="shared" si="182"/>
        <v>5.0407327123695944E-2</v>
      </c>
      <c r="M332" s="325">
        <f t="shared" si="182"/>
        <v>5.2710903757668709E-2</v>
      </c>
      <c r="N332" s="325">
        <f t="shared" si="182"/>
        <v>4.6915706388888895E-2</v>
      </c>
      <c r="O332" s="325">
        <f t="shared" si="182"/>
        <v>4.2754576923076923E-2</v>
      </c>
      <c r="P332" s="325">
        <f t="shared" si="182"/>
        <v>4.0534711042183633E-2</v>
      </c>
      <c r="Q332" s="325">
        <f t="shared" si="182"/>
        <v>4.0508286552567233E-2</v>
      </c>
      <c r="R332" s="325">
        <f t="shared" si="182"/>
        <v>4.2554366063492062E-2</v>
      </c>
      <c r="S332" s="325">
        <f t="shared" si="182"/>
        <v>4.0111622451711675E-2</v>
      </c>
      <c r="T332" s="325">
        <f t="shared" si="182"/>
        <v>3.9888346860320598E-2</v>
      </c>
      <c r="U332" s="325">
        <f t="shared" si="182"/>
        <v>4.1426966834103601E-2</v>
      </c>
      <c r="V332" s="325">
        <f t="shared" si="182"/>
        <v>4.2480938968824933E-2</v>
      </c>
      <c r="W332" s="325">
        <f t="shared" si="182"/>
        <v>4.0967907196524739E-2</v>
      </c>
      <c r="X332" s="325">
        <f t="shared" si="182"/>
        <v>4.1441849860290335E-2</v>
      </c>
      <c r="Y332" s="325">
        <f t="shared" si="182"/>
        <v>4.1394235946550326E-2</v>
      </c>
      <c r="Z332" s="325">
        <f t="shared" si="182"/>
        <v>4.2551039963563367E-2</v>
      </c>
      <c r="AA332" s="325">
        <f t="shared" si="182"/>
        <v>4.2122985787543865E-2</v>
      </c>
      <c r="AB332" s="325">
        <f t="shared" si="182"/>
        <v>4.1890072545992758E-2</v>
      </c>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row>
    <row r="333" spans="1:59" ht="15.75" customHeight="1" x14ac:dyDescent="0.2">
      <c r="A333" s="329"/>
      <c r="B333" s="329"/>
      <c r="C333" s="308" t="s">
        <v>21</v>
      </c>
      <c r="D333" s="325">
        <f t="shared" ref="D333:AB333" si="183">+D323/D$328</f>
        <v>2.8341695108742002E-2</v>
      </c>
      <c r="E333" s="325">
        <f t="shared" si="183"/>
        <v>2.6473652856789886E-2</v>
      </c>
      <c r="F333" s="325">
        <f t="shared" si="183"/>
        <v>2.6049597080924473E-2</v>
      </c>
      <c r="G333" s="325">
        <f t="shared" si="183"/>
        <v>2.6311830110467276E-2</v>
      </c>
      <c r="H333" s="325">
        <f t="shared" si="183"/>
        <v>2.6749427800966778E-2</v>
      </c>
      <c r="I333" s="325">
        <f t="shared" si="183"/>
        <v>6.7090352139461185E-2</v>
      </c>
      <c r="J333" s="325">
        <f t="shared" si="183"/>
        <v>6.7855893925233654E-2</v>
      </c>
      <c r="K333" s="325">
        <f t="shared" si="183"/>
        <v>6.746998524096387E-2</v>
      </c>
      <c r="L333" s="325">
        <f t="shared" si="183"/>
        <v>6.6271059612518626E-2</v>
      </c>
      <c r="M333" s="325">
        <f t="shared" si="183"/>
        <v>6.7164665375766888E-2</v>
      </c>
      <c r="N333" s="325">
        <f t="shared" si="183"/>
        <v>5.8321360555555514E-2</v>
      </c>
      <c r="O333" s="325">
        <f t="shared" si="183"/>
        <v>5.1813601116625294E-2</v>
      </c>
      <c r="P333" s="325">
        <f t="shared" si="183"/>
        <v>5.082163610421836E-2</v>
      </c>
      <c r="Q333" s="325">
        <f t="shared" si="183"/>
        <v>5.021255745721271E-2</v>
      </c>
      <c r="R333" s="325">
        <f t="shared" si="183"/>
        <v>5.2631508825396814E-2</v>
      </c>
      <c r="S333" s="325">
        <f t="shared" si="183"/>
        <v>4.8313831397149294E-2</v>
      </c>
      <c r="T333" s="325">
        <f t="shared" si="183"/>
        <v>4.9068690957001677E-2</v>
      </c>
      <c r="U333" s="325">
        <f t="shared" si="183"/>
        <v>4.6741098981081475E-2</v>
      </c>
      <c r="V333" s="325">
        <f t="shared" si="183"/>
        <v>3.7170263788968816E-2</v>
      </c>
      <c r="W333" s="325">
        <f t="shared" si="183"/>
        <v>4.5320452011835544E-2</v>
      </c>
      <c r="X333" s="325">
        <f t="shared" si="183"/>
        <v>3.7981043629024644E-2</v>
      </c>
      <c r="Y333" s="325">
        <f t="shared" si="183"/>
        <v>3.9975747452344598E-2</v>
      </c>
      <c r="Z333" s="325">
        <f t="shared" si="183"/>
        <v>3.7033542783933192E-2</v>
      </c>
      <c r="AA333" s="325">
        <f t="shared" si="183"/>
        <v>3.4777957259592908E-2</v>
      </c>
      <c r="AB333" s="325">
        <f t="shared" si="183"/>
        <v>3.7365512159601766E-2</v>
      </c>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row>
    <row r="334" spans="1:59" ht="15.75" customHeight="1" x14ac:dyDescent="0.2">
      <c r="A334" s="329"/>
      <c r="B334" s="329"/>
      <c r="C334" s="308" t="s">
        <v>23</v>
      </c>
      <c r="D334" s="325">
        <f t="shared" ref="D334:AB334" si="184">+D324/D$328</f>
        <v>0.47688309426324516</v>
      </c>
      <c r="E334" s="325">
        <f t="shared" si="184"/>
        <v>0.4926360141910312</v>
      </c>
      <c r="F334" s="325">
        <f t="shared" si="184"/>
        <v>0.52865397815727166</v>
      </c>
      <c r="G334" s="325">
        <f t="shared" si="184"/>
        <v>0.51750117104900017</v>
      </c>
      <c r="H334" s="325">
        <f t="shared" si="184"/>
        <v>0.50484512570225626</v>
      </c>
      <c r="I334" s="325">
        <f t="shared" si="184"/>
        <v>0.43835479033280517</v>
      </c>
      <c r="J334" s="325">
        <f t="shared" si="184"/>
        <v>0.47547951884735201</v>
      </c>
      <c r="K334" s="325">
        <f t="shared" si="184"/>
        <v>0.45743017996987934</v>
      </c>
      <c r="L334" s="325">
        <f t="shared" si="184"/>
        <v>0.4792789526080477</v>
      </c>
      <c r="M334" s="325">
        <f t="shared" si="184"/>
        <v>0.46287942503834345</v>
      </c>
      <c r="N334" s="325">
        <f t="shared" si="184"/>
        <v>0.49154794986111117</v>
      </c>
      <c r="O334" s="325">
        <f t="shared" si="184"/>
        <v>0.54368392183622816</v>
      </c>
      <c r="P334" s="325">
        <f t="shared" si="184"/>
        <v>0.54237023126550865</v>
      </c>
      <c r="Q334" s="325">
        <f t="shared" si="184"/>
        <v>0.52928292004889987</v>
      </c>
      <c r="R334" s="325">
        <f t="shared" si="184"/>
        <v>0.52769130155555555</v>
      </c>
      <c r="S334" s="325">
        <f t="shared" si="184"/>
        <v>0.51012648182147058</v>
      </c>
      <c r="T334" s="325">
        <f t="shared" si="184"/>
        <v>0.48995775254491936</v>
      </c>
      <c r="U334" s="325">
        <f t="shared" si="184"/>
        <v>0.48312589517949261</v>
      </c>
      <c r="V334" s="325">
        <f t="shared" si="184"/>
        <v>0.51448029316546751</v>
      </c>
      <c r="W334" s="325">
        <f t="shared" si="184"/>
        <v>0.49966153170855904</v>
      </c>
      <c r="X334" s="325">
        <f t="shared" si="184"/>
        <v>0.50808197947398814</v>
      </c>
      <c r="Y334" s="325">
        <f t="shared" si="184"/>
        <v>0.49787559665010322</v>
      </c>
      <c r="Z334" s="325">
        <f t="shared" si="184"/>
        <v>0.51598813843121671</v>
      </c>
      <c r="AA334" s="325">
        <f t="shared" si="184"/>
        <v>0.53766225962069902</v>
      </c>
      <c r="AB334" s="325">
        <f t="shared" si="184"/>
        <v>0.51550753450673514</v>
      </c>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row>
    <row r="335" spans="1:59" ht="15.75" customHeight="1" x14ac:dyDescent="0.2">
      <c r="A335" s="329"/>
      <c r="B335" s="329"/>
      <c r="C335" s="308" t="s">
        <v>25</v>
      </c>
      <c r="D335" s="325">
        <f t="shared" ref="D335:AB335" si="185">+D325/D$328</f>
        <v>4.071909054904053E-3</v>
      </c>
      <c r="E335" s="325">
        <f t="shared" si="185"/>
        <v>4.137863924494163E-3</v>
      </c>
      <c r="F335" s="325">
        <f t="shared" si="185"/>
        <v>4.375916519811316E-3</v>
      </c>
      <c r="G335" s="325">
        <f t="shared" si="185"/>
        <v>3.8924546733644892E-3</v>
      </c>
      <c r="H335" s="325">
        <f t="shared" si="185"/>
        <v>4.1202570359814448E-3</v>
      </c>
      <c r="I335" s="325">
        <f t="shared" si="185"/>
        <v>6.8703096671949284E-3</v>
      </c>
      <c r="J335" s="325">
        <f t="shared" si="185"/>
        <v>1.1047992211838005E-2</v>
      </c>
      <c r="K335" s="325">
        <f t="shared" si="185"/>
        <v>2.0529847891566314E-3</v>
      </c>
      <c r="L335" s="325">
        <f t="shared" si="185"/>
        <v>6.5882011922503711E-3</v>
      </c>
      <c r="M335" s="325">
        <f t="shared" si="185"/>
        <v>6.5996324003067524E-3</v>
      </c>
      <c r="N335" s="325">
        <f t="shared" si="185"/>
        <v>5.3632716666666665E-3</v>
      </c>
      <c r="O335" s="325">
        <f t="shared" si="185"/>
        <v>6.3503075682382138E-3</v>
      </c>
      <c r="P335" s="325">
        <f t="shared" si="185"/>
        <v>5.3570073200992557E-3</v>
      </c>
      <c r="Q335" s="325">
        <f t="shared" si="185"/>
        <v>5.1362088019559909E-3</v>
      </c>
      <c r="R335" s="325">
        <f t="shared" si="185"/>
        <v>5.5552603809523758E-3</v>
      </c>
      <c r="S335" s="325">
        <f t="shared" si="185"/>
        <v>5.1526139760828165E-3</v>
      </c>
      <c r="T335" s="325">
        <f t="shared" si="185"/>
        <v>4.8612916411606812E-3</v>
      </c>
      <c r="U335" s="325">
        <f t="shared" si="185"/>
        <v>4.2656578277279148E-3</v>
      </c>
      <c r="V335" s="325">
        <f t="shared" si="185"/>
        <v>4.2107211031175047E-3</v>
      </c>
      <c r="W335" s="325">
        <f t="shared" si="185"/>
        <v>4.6291144738384712E-3</v>
      </c>
      <c r="X335" s="325">
        <f t="shared" si="185"/>
        <v>4.2659540006883215E-3</v>
      </c>
      <c r="Y335" s="325">
        <f t="shared" si="185"/>
        <v>5.3859662338295866E-3</v>
      </c>
      <c r="Z335" s="325">
        <f t="shared" si="185"/>
        <v>5.0929582411876938E-3</v>
      </c>
      <c r="AA335" s="325">
        <f t="shared" si="185"/>
        <v>4.2413794856564352E-3</v>
      </c>
      <c r="AB335" s="325">
        <f t="shared" si="185"/>
        <v>4.7332462039726964E-3</v>
      </c>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c r="BD335" s="268"/>
      <c r="BE335" s="268"/>
      <c r="BF335" s="268"/>
      <c r="BG335" s="268"/>
    </row>
    <row r="336" spans="1:59" ht="15.75" customHeight="1" x14ac:dyDescent="0.2">
      <c r="A336" s="329"/>
      <c r="B336" s="329"/>
      <c r="C336" s="308" t="s">
        <v>29</v>
      </c>
      <c r="D336" s="325">
        <f t="shared" ref="D336:AB336" si="186">+D326/D$328</f>
        <v>3.7776421079466958E-2</v>
      </c>
      <c r="E336" s="325">
        <f t="shared" si="186"/>
        <v>3.8982411350058373E-2</v>
      </c>
      <c r="F336" s="325">
        <f t="shared" si="186"/>
        <v>1.5273780352811296E-2</v>
      </c>
      <c r="G336" s="325">
        <f t="shared" si="186"/>
        <v>2.7378447269981312E-2</v>
      </c>
      <c r="H336" s="325">
        <f t="shared" si="186"/>
        <v>2.9539391502260731E-2</v>
      </c>
      <c r="I336" s="325">
        <f t="shared" si="186"/>
        <v>9.4071741679873228E-3</v>
      </c>
      <c r="J336" s="325">
        <f t="shared" si="186"/>
        <v>-3.1976144859813121E-3</v>
      </c>
      <c r="K336" s="325">
        <f t="shared" si="186"/>
        <v>3.0239627710843372E-2</v>
      </c>
      <c r="L336" s="325">
        <f t="shared" si="186"/>
        <v>2.1876818926974663E-2</v>
      </c>
      <c r="M336" s="325">
        <f t="shared" si="186"/>
        <v>1.4816532476993865E-2</v>
      </c>
      <c r="N336" s="325">
        <f t="shared" si="186"/>
        <v>3.9165688055555557E-2</v>
      </c>
      <c r="O336" s="325">
        <f t="shared" si="186"/>
        <v>2.6815470843672456E-2</v>
      </c>
      <c r="P336" s="325">
        <f t="shared" si="186"/>
        <v>3.0802895161290325E-2</v>
      </c>
      <c r="Q336" s="325">
        <f t="shared" si="186"/>
        <v>3.2106956845965769E-2</v>
      </c>
      <c r="R336" s="325">
        <f t="shared" si="186"/>
        <v>3.2032758444444448E-2</v>
      </c>
      <c r="S336" s="325">
        <f t="shared" si="186"/>
        <v>2.9695236556718331E-2</v>
      </c>
      <c r="T336" s="325">
        <f t="shared" si="186"/>
        <v>2.6324110675303349E-2</v>
      </c>
      <c r="U336" s="325">
        <f t="shared" si="186"/>
        <v>2.6413172976771815E-2</v>
      </c>
      <c r="V336" s="325">
        <f t="shared" si="186"/>
        <v>2.4404789448441242E-2</v>
      </c>
      <c r="W336" s="325">
        <f t="shared" si="186"/>
        <v>2.6726604429795343E-2</v>
      </c>
      <c r="X336" s="325">
        <f t="shared" si="186"/>
        <v>2.4617304385801262E-2</v>
      </c>
      <c r="Y336" s="325">
        <f t="shared" si="186"/>
        <v>2.5650279188621766E-2</v>
      </c>
      <c r="Z336" s="325">
        <f t="shared" si="186"/>
        <v>2.3113808270785526E-2</v>
      </c>
      <c r="AA336" s="325">
        <f t="shared" si="186"/>
        <v>2.1553154067818707E-2</v>
      </c>
      <c r="AB336" s="325">
        <f t="shared" si="186"/>
        <v>2.3670544646959463E-2</v>
      </c>
      <c r="AC336" s="268"/>
      <c r="AD336" s="268"/>
      <c r="AE336" s="268"/>
      <c r="AF336" s="268"/>
      <c r="AG336" s="268"/>
      <c r="AH336" s="268"/>
      <c r="AI336" s="268"/>
      <c r="AJ336" s="268"/>
      <c r="AK336" s="268"/>
      <c r="AL336" s="268"/>
      <c r="AM336" s="268"/>
      <c r="AN336" s="268"/>
      <c r="AO336" s="268"/>
      <c r="AP336" s="268"/>
      <c r="AQ336" s="268"/>
      <c r="AR336" s="268"/>
      <c r="AS336" s="268"/>
      <c r="AT336" s="268"/>
      <c r="AU336" s="268"/>
      <c r="AV336" s="268"/>
      <c r="AW336" s="268"/>
      <c r="AX336" s="268"/>
      <c r="AY336" s="268"/>
      <c r="AZ336" s="268"/>
      <c r="BA336" s="268"/>
      <c r="BB336" s="268"/>
      <c r="BC336" s="268"/>
      <c r="BD336" s="268"/>
      <c r="BE336" s="268"/>
      <c r="BF336" s="268"/>
      <c r="BG336" s="268"/>
    </row>
    <row r="337" spans="1:59" ht="15.75" customHeight="1" x14ac:dyDescent="0.2">
      <c r="A337" s="329"/>
      <c r="B337" s="329"/>
      <c r="C337" s="308" t="s">
        <v>208</v>
      </c>
      <c r="D337" s="325">
        <f t="shared" ref="D337:AB337" si="187">+D327/D$328</f>
        <v>2.9590022681769714E-2</v>
      </c>
      <c r="E337" s="325">
        <f t="shared" si="187"/>
        <v>3.2156748440097298E-2</v>
      </c>
      <c r="F337" s="325">
        <f t="shared" si="187"/>
        <v>2.9518415871848985E-2</v>
      </c>
      <c r="G337" s="325">
        <f t="shared" si="187"/>
        <v>2.639512625970095E-2</v>
      </c>
      <c r="H337" s="325">
        <f t="shared" si="187"/>
        <v>2.9381075340322305E-2</v>
      </c>
      <c r="I337" s="325">
        <f t="shared" si="187"/>
        <v>2.7144845641838316E-2</v>
      </c>
      <c r="J337" s="325">
        <f t="shared" si="187"/>
        <v>1.158398037383178E-2</v>
      </c>
      <c r="K337" s="325">
        <f t="shared" si="187"/>
        <v>2.7950830421686793E-2</v>
      </c>
      <c r="L337" s="325">
        <f t="shared" si="187"/>
        <v>2.1677503129657171E-2</v>
      </c>
      <c r="M337" s="325">
        <f t="shared" si="187"/>
        <v>2.2112833205521435E-2</v>
      </c>
      <c r="N337" s="325">
        <f t="shared" si="187"/>
        <v>3.0443293888888927E-2</v>
      </c>
      <c r="O337" s="325">
        <f t="shared" si="187"/>
        <v>3.3867120843672507E-2</v>
      </c>
      <c r="P337" s="325">
        <f t="shared" si="187"/>
        <v>3.2308334367245659E-2</v>
      </c>
      <c r="Q337" s="325">
        <f t="shared" si="187"/>
        <v>3.1218583007334967E-2</v>
      </c>
      <c r="R337" s="325">
        <f t="shared" si="187"/>
        <v>3.1997901396825443E-2</v>
      </c>
      <c r="S337" s="325">
        <f t="shared" si="187"/>
        <v>3.1280454188270718E-2</v>
      </c>
      <c r="T337" s="325">
        <f t="shared" si="187"/>
        <v>3.0669181711341982E-2</v>
      </c>
      <c r="U337" s="325">
        <f t="shared" si="187"/>
        <v>3.027399506242685E-2</v>
      </c>
      <c r="V337" s="325">
        <f t="shared" si="187"/>
        <v>2.9235253117506032E-2</v>
      </c>
      <c r="W337" s="325">
        <f t="shared" si="187"/>
        <v>3.0369965037505258E-2</v>
      </c>
      <c r="X337" s="325">
        <f t="shared" si="187"/>
        <v>2.312897749488136E-2</v>
      </c>
      <c r="Y337" s="325">
        <f t="shared" si="187"/>
        <v>1.0424146139511975E-2</v>
      </c>
      <c r="Z337" s="325">
        <f t="shared" si="187"/>
        <v>1.8017463027287042E-2</v>
      </c>
      <c r="AA337" s="325">
        <f t="shared" si="187"/>
        <v>1.1066806445457848E-2</v>
      </c>
      <c r="AB337" s="325">
        <f t="shared" si="187"/>
        <v>1.5617305477184838E-2</v>
      </c>
      <c r="AC337" s="268"/>
      <c r="AD337" s="268"/>
      <c r="AE337" s="268"/>
      <c r="AF337" s="268"/>
      <c r="AG337" s="268"/>
      <c r="AH337" s="268"/>
      <c r="AI337" s="268"/>
      <c r="AJ337" s="268"/>
      <c r="AK337" s="268"/>
      <c r="AL337" s="268"/>
      <c r="AM337" s="268"/>
      <c r="AN337" s="268"/>
      <c r="AO337" s="268"/>
      <c r="AP337" s="268"/>
      <c r="AQ337" s="268"/>
      <c r="AR337" s="268"/>
      <c r="AS337" s="268"/>
      <c r="AT337" s="268"/>
      <c r="AU337" s="268"/>
      <c r="AV337" s="268"/>
      <c r="AW337" s="268"/>
      <c r="AX337" s="268"/>
      <c r="AY337" s="268"/>
      <c r="AZ337" s="268"/>
      <c r="BA337" s="268"/>
      <c r="BB337" s="268"/>
      <c r="BC337" s="268"/>
      <c r="BD337" s="268"/>
      <c r="BE337" s="268"/>
      <c r="BF337" s="268"/>
      <c r="BG337" s="268"/>
    </row>
    <row r="338" spans="1:59" ht="15.75" customHeight="1" x14ac:dyDescent="0.2">
      <c r="A338" s="329"/>
      <c r="B338" s="329"/>
      <c r="C338" s="308"/>
      <c r="D338" s="351"/>
      <c r="E338" s="337"/>
      <c r="F338" s="337"/>
      <c r="G338" s="337"/>
      <c r="H338" s="337"/>
      <c r="I338" s="337"/>
      <c r="J338" s="337"/>
      <c r="K338" s="337"/>
      <c r="L338" s="337"/>
      <c r="M338" s="337"/>
      <c r="N338" s="337"/>
      <c r="O338" s="337"/>
      <c r="P338" s="337"/>
      <c r="Q338" s="337"/>
      <c r="R338" s="338"/>
      <c r="S338" s="337"/>
      <c r="T338" s="337"/>
      <c r="U338" s="337"/>
      <c r="V338" s="337"/>
      <c r="W338" s="337"/>
      <c r="X338" s="337"/>
      <c r="Y338" s="337"/>
      <c r="Z338" s="337"/>
      <c r="AA338" s="337"/>
      <c r="AB338" s="337"/>
      <c r="AC338" s="268"/>
      <c r="AD338" s="268"/>
      <c r="AE338" s="268"/>
      <c r="AF338" s="268"/>
      <c r="AG338" s="268"/>
      <c r="AH338" s="268"/>
      <c r="AI338" s="268"/>
      <c r="AJ338" s="268"/>
      <c r="AK338" s="268"/>
      <c r="AL338" s="268"/>
      <c r="AM338" s="268"/>
      <c r="AN338" s="268"/>
      <c r="AO338" s="268"/>
      <c r="AP338" s="268"/>
      <c r="AQ338" s="268"/>
      <c r="AR338" s="268"/>
      <c r="AS338" s="268"/>
      <c r="AT338" s="268"/>
      <c r="AU338" s="268"/>
      <c r="AV338" s="268"/>
      <c r="AW338" s="268"/>
      <c r="AX338" s="268"/>
      <c r="AY338" s="268"/>
      <c r="AZ338" s="268"/>
      <c r="BA338" s="268"/>
      <c r="BB338" s="268"/>
      <c r="BC338" s="268"/>
      <c r="BD338" s="268"/>
      <c r="BE338" s="268"/>
      <c r="BF338" s="268"/>
      <c r="BG338" s="268"/>
    </row>
    <row r="339" spans="1:59" ht="15.75" customHeight="1" x14ac:dyDescent="0.2">
      <c r="A339" s="210"/>
      <c r="B339" s="211" t="s">
        <v>255</v>
      </c>
      <c r="C339" s="211"/>
      <c r="D339" s="277" t="s">
        <v>98</v>
      </c>
      <c r="E339" s="277" t="s">
        <v>99</v>
      </c>
      <c r="F339" s="277" t="s">
        <v>100</v>
      </c>
      <c r="G339" s="277" t="s">
        <v>101</v>
      </c>
      <c r="H339" s="159">
        <v>2018</v>
      </c>
      <c r="I339" s="277" t="s">
        <v>102</v>
      </c>
      <c r="J339" s="277" t="s">
        <v>103</v>
      </c>
      <c r="K339" s="277" t="s">
        <v>104</v>
      </c>
      <c r="L339" s="277" t="s">
        <v>105</v>
      </c>
      <c r="M339" s="159">
        <v>2019</v>
      </c>
      <c r="N339" s="277" t="s">
        <v>158</v>
      </c>
      <c r="O339" s="277" t="s">
        <v>107</v>
      </c>
      <c r="P339" s="277" t="s">
        <v>108</v>
      </c>
      <c r="Q339" s="277" t="s">
        <v>109</v>
      </c>
      <c r="R339" s="159">
        <v>2020</v>
      </c>
      <c r="S339" s="277" t="s">
        <v>110</v>
      </c>
      <c r="T339" s="277" t="s">
        <v>111</v>
      </c>
      <c r="U339" s="277" t="s">
        <v>112</v>
      </c>
      <c r="V339" s="277" t="s">
        <v>113</v>
      </c>
      <c r="W339" s="159">
        <v>2021</v>
      </c>
      <c r="X339" s="277" t="s">
        <v>114</v>
      </c>
      <c r="Y339" s="277" t="s">
        <v>115</v>
      </c>
      <c r="Z339" s="277" t="str">
        <f>$Z$4</f>
        <v>3Q22</v>
      </c>
      <c r="AA339" s="277" t="str">
        <f>$AA$4</f>
        <v>4Q22</v>
      </c>
      <c r="AB339" s="160">
        <v>2022</v>
      </c>
      <c r="AC339" s="268"/>
      <c r="AD339" s="268"/>
      <c r="AE339" s="268"/>
      <c r="AF339" s="268"/>
      <c r="AG339" s="268"/>
      <c r="AH339" s="268"/>
      <c r="AI339" s="268"/>
      <c r="AJ339" s="268"/>
      <c r="AK339" s="268"/>
      <c r="AL339" s="268"/>
      <c r="AM339" s="268"/>
      <c r="AN339" s="268"/>
      <c r="AO339" s="268"/>
      <c r="AP339" s="268"/>
      <c r="AQ339" s="268"/>
      <c r="AR339" s="268"/>
      <c r="AS339" s="268"/>
      <c r="AT339" s="268"/>
      <c r="AU339" s="268"/>
      <c r="AV339" s="268"/>
      <c r="AW339" s="268"/>
      <c r="AX339" s="268"/>
      <c r="AY339" s="268"/>
      <c r="AZ339" s="268"/>
      <c r="BA339" s="268"/>
      <c r="BB339" s="268"/>
      <c r="BC339" s="268"/>
      <c r="BD339" s="268"/>
      <c r="BE339" s="268"/>
      <c r="BF339" s="268"/>
      <c r="BG339" s="268"/>
    </row>
    <row r="340" spans="1:59" ht="15.75" customHeight="1" x14ac:dyDescent="0.2">
      <c r="A340" s="352"/>
      <c r="B340" s="352"/>
      <c r="C340" s="353" t="s">
        <v>256</v>
      </c>
      <c r="D340" s="321">
        <f t="shared" ref="D340:AB340" si="188">(D344+D347)-D350</f>
        <v>5.5229999999999961</v>
      </c>
      <c r="E340" s="321">
        <f t="shared" si="188"/>
        <v>33.982000000000028</v>
      </c>
      <c r="F340" s="321">
        <f t="shared" si="188"/>
        <v>45.774000000000001</v>
      </c>
      <c r="G340" s="321">
        <f t="shared" si="188"/>
        <v>21.36</v>
      </c>
      <c r="H340" s="321">
        <f t="shared" si="188"/>
        <v>21.36</v>
      </c>
      <c r="I340" s="321">
        <f t="shared" si="188"/>
        <v>21.930999999999997</v>
      </c>
      <c r="J340" s="321">
        <f t="shared" si="188"/>
        <v>17.836000000000013</v>
      </c>
      <c r="K340" s="321">
        <f t="shared" si="188"/>
        <v>45.774000000000001</v>
      </c>
      <c r="L340" s="321">
        <f t="shared" si="188"/>
        <v>2.4470000000000027</v>
      </c>
      <c r="M340" s="321">
        <f t="shared" si="188"/>
        <v>2.4470000000000027</v>
      </c>
      <c r="N340" s="321">
        <f t="shared" si="188"/>
        <v>9.2839999999999918</v>
      </c>
      <c r="O340" s="321">
        <f t="shared" si="188"/>
        <v>-59.646000000000001</v>
      </c>
      <c r="P340" s="321">
        <f t="shared" si="188"/>
        <v>-5.8870000000000005</v>
      </c>
      <c r="Q340" s="321">
        <f t="shared" si="188"/>
        <v>9.0230000000000103</v>
      </c>
      <c r="R340" s="321">
        <f t="shared" si="188"/>
        <v>9.0230000000000103</v>
      </c>
      <c r="S340" s="321">
        <f t="shared" si="188"/>
        <v>182.75199999999995</v>
      </c>
      <c r="T340" s="321">
        <f t="shared" si="188"/>
        <v>214.21600000000001</v>
      </c>
      <c r="U340" s="321">
        <f t="shared" si="188"/>
        <v>240.89099999999996</v>
      </c>
      <c r="V340" s="321">
        <f t="shared" si="188"/>
        <v>182.75199999999995</v>
      </c>
      <c r="W340" s="321">
        <f t="shared" si="188"/>
        <v>182.75199999999995</v>
      </c>
      <c r="X340" s="321">
        <f t="shared" si="188"/>
        <v>212.61099999999999</v>
      </c>
      <c r="Y340" s="321">
        <f t="shared" si="188"/>
        <v>231.93799999999999</v>
      </c>
      <c r="Z340" s="321">
        <f t="shared" si="188"/>
        <v>259.02799999999996</v>
      </c>
      <c r="AA340" s="321">
        <f t="shared" si="188"/>
        <v>233.13399999999996</v>
      </c>
      <c r="AB340" s="321">
        <f t="shared" si="188"/>
        <v>233.13399999999996</v>
      </c>
      <c r="AC340" s="352"/>
      <c r="AD340" s="352"/>
      <c r="AE340" s="352"/>
      <c r="AF340" s="352"/>
      <c r="AG340" s="352"/>
      <c r="AH340" s="352"/>
      <c r="AI340" s="352"/>
      <c r="AJ340" s="352"/>
      <c r="AK340" s="352"/>
      <c r="AL340" s="352"/>
      <c r="AM340" s="352"/>
      <c r="AN340" s="352"/>
      <c r="AO340" s="352"/>
      <c r="AP340" s="352"/>
      <c r="AQ340" s="352"/>
      <c r="AR340" s="352"/>
      <c r="AS340" s="352"/>
      <c r="AT340" s="352"/>
      <c r="AU340" s="352"/>
      <c r="AV340" s="352"/>
      <c r="AW340" s="352"/>
      <c r="AX340" s="352"/>
      <c r="AY340" s="352"/>
      <c r="AZ340" s="352"/>
      <c r="BA340" s="352"/>
      <c r="BB340" s="352"/>
      <c r="BC340" s="352"/>
      <c r="BD340" s="352"/>
      <c r="BE340" s="352"/>
      <c r="BF340" s="352"/>
      <c r="BG340" s="352"/>
    </row>
    <row r="341" spans="1:59" ht="15.75" customHeight="1" x14ac:dyDescent="0.2">
      <c r="A341" s="352"/>
      <c r="B341" s="352"/>
      <c r="C341" s="353" t="s">
        <v>257</v>
      </c>
      <c r="D341" s="292" t="s">
        <v>146</v>
      </c>
      <c r="E341" s="292" t="s">
        <v>146</v>
      </c>
      <c r="F341" s="292" t="s">
        <v>146</v>
      </c>
      <c r="G341" s="292" t="s">
        <v>146</v>
      </c>
      <c r="H341" s="292" t="s">
        <v>146</v>
      </c>
      <c r="I341" s="292">
        <f t="shared" ref="I341:L341" si="189">I340-H340</f>
        <v>0.57099999999999795</v>
      </c>
      <c r="J341" s="292">
        <f t="shared" si="189"/>
        <v>-4.0949999999999847</v>
      </c>
      <c r="K341" s="292">
        <f t="shared" si="189"/>
        <v>27.937999999999988</v>
      </c>
      <c r="L341" s="292">
        <f t="shared" si="189"/>
        <v>-43.326999999999998</v>
      </c>
      <c r="M341" s="292">
        <f>SUM(I341:L341)</f>
        <v>-18.912999999999997</v>
      </c>
      <c r="N341" s="292">
        <f t="shared" ref="N341:Q341" si="190">N340-M340</f>
        <v>6.8369999999999891</v>
      </c>
      <c r="O341" s="292">
        <f t="shared" si="190"/>
        <v>-68.929999999999993</v>
      </c>
      <c r="P341" s="292">
        <f t="shared" si="190"/>
        <v>53.759</v>
      </c>
      <c r="Q341" s="292">
        <f t="shared" si="190"/>
        <v>14.910000000000011</v>
      </c>
      <c r="R341" s="292">
        <f>SUM(N341:Q341)</f>
        <v>6.5760000000000076</v>
      </c>
      <c r="S341" s="292">
        <f t="shared" ref="S341:V341" si="191">S340-R340</f>
        <v>173.72899999999993</v>
      </c>
      <c r="T341" s="292">
        <f t="shared" si="191"/>
        <v>31.464000000000055</v>
      </c>
      <c r="U341" s="292">
        <f t="shared" si="191"/>
        <v>26.674999999999955</v>
      </c>
      <c r="V341" s="292">
        <f t="shared" si="191"/>
        <v>-58.13900000000001</v>
      </c>
      <c r="W341" s="292">
        <f>SUM(S341:V341)</f>
        <v>173.72899999999993</v>
      </c>
      <c r="X341" s="292">
        <f t="shared" ref="X341:AA341" si="192">X340-W340</f>
        <v>29.859000000000037</v>
      </c>
      <c r="Y341" s="292">
        <f t="shared" si="192"/>
        <v>19.326999999999998</v>
      </c>
      <c r="Z341" s="292">
        <f t="shared" si="192"/>
        <v>27.089999999999975</v>
      </c>
      <c r="AA341" s="292">
        <f t="shared" si="192"/>
        <v>-25.894000000000005</v>
      </c>
      <c r="AB341" s="292">
        <f>SUM(X341:AA341)</f>
        <v>50.382000000000005</v>
      </c>
      <c r="AC341" s="352"/>
      <c r="AD341" s="352"/>
      <c r="AE341" s="352"/>
      <c r="AF341" s="352"/>
      <c r="AG341" s="352"/>
      <c r="AH341" s="352"/>
      <c r="AI341" s="352"/>
      <c r="AJ341" s="352"/>
      <c r="AK341" s="352"/>
      <c r="AL341" s="352"/>
      <c r="AM341" s="352"/>
      <c r="AN341" s="352"/>
      <c r="AO341" s="352"/>
      <c r="AP341" s="352"/>
      <c r="AQ341" s="352"/>
      <c r="AR341" s="352"/>
      <c r="AS341" s="352"/>
      <c r="AT341" s="352"/>
      <c r="AU341" s="352"/>
      <c r="AV341" s="352"/>
      <c r="AW341" s="352"/>
      <c r="AX341" s="352"/>
      <c r="AY341" s="352"/>
      <c r="AZ341" s="352"/>
      <c r="BA341" s="352"/>
      <c r="BB341" s="352"/>
      <c r="BC341" s="352"/>
      <c r="BD341" s="352"/>
      <c r="BE341" s="352"/>
      <c r="BF341" s="352"/>
      <c r="BG341" s="352"/>
    </row>
    <row r="342" spans="1:59" ht="15.75" customHeight="1" x14ac:dyDescent="0.2">
      <c r="A342" s="352"/>
      <c r="B342" s="352"/>
      <c r="C342" s="353" t="s">
        <v>258</v>
      </c>
      <c r="D342" s="321" t="s">
        <v>146</v>
      </c>
      <c r="E342" s="321" t="s">
        <v>146</v>
      </c>
      <c r="F342" s="321" t="s">
        <v>146</v>
      </c>
      <c r="G342" s="321" t="s">
        <v>146</v>
      </c>
      <c r="H342" s="354">
        <f t="shared" ref="H342:AB342" si="193">H340/H5</f>
        <v>1.2733463118468621E-2</v>
      </c>
      <c r="I342" s="354">
        <f t="shared" si="193"/>
        <v>5.7888987237107233E-2</v>
      </c>
      <c r="J342" s="354">
        <f t="shared" si="193"/>
        <v>4.6092602627990274E-2</v>
      </c>
      <c r="K342" s="354">
        <f t="shared" si="193"/>
        <v>0.1086366167050466</v>
      </c>
      <c r="L342" s="354">
        <f t="shared" si="193"/>
        <v>5.8953874427044315E-3</v>
      </c>
      <c r="M342" s="354">
        <f t="shared" si="193"/>
        <v>1.5272503536815623E-3</v>
      </c>
      <c r="N342" s="354">
        <f t="shared" si="193"/>
        <v>2.2845147962358425E-2</v>
      </c>
      <c r="O342" s="354">
        <f t="shared" si="193"/>
        <v>-0.13333631421045963</v>
      </c>
      <c r="P342" s="354">
        <f t="shared" si="193"/>
        <v>-1.2417257517262777E-2</v>
      </c>
      <c r="Q342" s="354">
        <f t="shared" si="193"/>
        <v>1.8499601294729221E-2</v>
      </c>
      <c r="R342" s="354">
        <f t="shared" si="193"/>
        <v>4.9698116883182203E-3</v>
      </c>
      <c r="S342" s="354">
        <f t="shared" si="193"/>
        <v>0.36039665828342732</v>
      </c>
      <c r="T342" s="354">
        <f t="shared" si="193"/>
        <v>0.4200330413650008</v>
      </c>
      <c r="U342" s="354">
        <f t="shared" si="193"/>
        <v>0.44287413787749469</v>
      </c>
      <c r="V342" s="354">
        <f t="shared" si="193"/>
        <v>0.31634163206659038</v>
      </c>
      <c r="W342" s="354">
        <f t="shared" si="193"/>
        <v>8.5449448756172122E-2</v>
      </c>
      <c r="X342" s="354">
        <f t="shared" si="193"/>
        <v>0.4017592592592592</v>
      </c>
      <c r="Y342" s="354">
        <f t="shared" si="193"/>
        <v>0.42985671110933493</v>
      </c>
      <c r="Z342" s="354">
        <f t="shared" si="193"/>
        <v>0.41840954428613114</v>
      </c>
      <c r="AA342" s="354">
        <f t="shared" si="193"/>
        <v>0.39918432459211678</v>
      </c>
      <c r="AB342" s="354">
        <f t="shared" si="193"/>
        <v>0.10261748246742214</v>
      </c>
      <c r="AC342" s="352"/>
      <c r="AD342" s="352"/>
      <c r="AE342" s="352"/>
      <c r="AF342" s="352"/>
      <c r="AG342" s="352"/>
      <c r="AH342" s="352"/>
      <c r="AI342" s="352"/>
      <c r="AJ342" s="352"/>
      <c r="AK342" s="352"/>
      <c r="AL342" s="352"/>
      <c r="AM342" s="352"/>
      <c r="AN342" s="352"/>
      <c r="AO342" s="352"/>
      <c r="AP342" s="352"/>
      <c r="AQ342" s="352"/>
      <c r="AR342" s="352"/>
      <c r="AS342" s="352"/>
      <c r="AT342" s="352"/>
      <c r="AU342" s="352"/>
      <c r="AV342" s="352"/>
      <c r="AW342" s="352"/>
      <c r="AX342" s="352"/>
      <c r="AY342" s="352"/>
      <c r="AZ342" s="352"/>
      <c r="BA342" s="352"/>
      <c r="BB342" s="352"/>
      <c r="BC342" s="352"/>
      <c r="BD342" s="352"/>
      <c r="BE342" s="352"/>
      <c r="BF342" s="352"/>
      <c r="BG342" s="352"/>
    </row>
    <row r="343" spans="1:59" ht="15.75" customHeight="1" x14ac:dyDescent="0.2">
      <c r="A343" s="329"/>
      <c r="B343" s="329"/>
      <c r="C343" s="336"/>
      <c r="D343" s="337"/>
      <c r="E343" s="337"/>
      <c r="F343" s="337"/>
      <c r="G343" s="337"/>
      <c r="H343" s="337"/>
      <c r="I343" s="337"/>
      <c r="J343" s="337"/>
      <c r="K343" s="337"/>
      <c r="L343" s="337"/>
      <c r="M343" s="337"/>
      <c r="N343" s="337"/>
      <c r="O343" s="337"/>
      <c r="P343" s="337"/>
      <c r="Q343" s="337"/>
      <c r="R343" s="338"/>
      <c r="S343" s="337"/>
      <c r="T343" s="337"/>
      <c r="U343" s="337"/>
      <c r="V343" s="337"/>
      <c r="W343" s="337"/>
      <c r="X343" s="337"/>
      <c r="Y343" s="337"/>
      <c r="Z343" s="337"/>
      <c r="AA343" s="337"/>
      <c r="AB343" s="337"/>
      <c r="AC343" s="352"/>
      <c r="AD343" s="352"/>
      <c r="AE343" s="352"/>
      <c r="AF343" s="268"/>
      <c r="AG343" s="268"/>
      <c r="AH343" s="268"/>
      <c r="AI343" s="268"/>
      <c r="AJ343" s="268"/>
      <c r="AK343" s="268"/>
      <c r="AL343" s="268"/>
      <c r="AM343" s="268"/>
      <c r="AN343" s="268"/>
      <c r="AO343" s="268"/>
      <c r="AP343" s="268"/>
      <c r="AQ343" s="268"/>
      <c r="AR343" s="268"/>
      <c r="AS343" s="268"/>
      <c r="AT343" s="268"/>
      <c r="AU343" s="268"/>
      <c r="AV343" s="268"/>
      <c r="AW343" s="268"/>
      <c r="AX343" s="268"/>
      <c r="AY343" s="268"/>
      <c r="AZ343" s="268"/>
      <c r="BA343" s="268"/>
      <c r="BB343" s="268"/>
      <c r="BC343" s="268"/>
      <c r="BD343" s="268"/>
      <c r="BE343" s="268"/>
      <c r="BF343" s="268"/>
      <c r="BG343" s="268"/>
    </row>
    <row r="344" spans="1:59" ht="15.75" customHeight="1" x14ac:dyDescent="0.2">
      <c r="A344" s="352"/>
      <c r="B344" s="352"/>
      <c r="C344" s="353" t="s">
        <v>259</v>
      </c>
      <c r="D344" s="292">
        <f t="shared" ref="D344:AB344" si="194">(D375)/1000</f>
        <v>107.98</v>
      </c>
      <c r="E344" s="292">
        <f t="shared" si="194"/>
        <v>114.93300000000001</v>
      </c>
      <c r="F344" s="292">
        <f t="shared" si="194"/>
        <v>75.245999999999995</v>
      </c>
      <c r="G344" s="292">
        <f t="shared" si="194"/>
        <v>61.707000000000001</v>
      </c>
      <c r="H344" s="292">
        <f t="shared" si="194"/>
        <v>61.707000000000001</v>
      </c>
      <c r="I344" s="292">
        <f t="shared" si="194"/>
        <v>57.7</v>
      </c>
      <c r="J344" s="292">
        <f t="shared" si="194"/>
        <v>48.95</v>
      </c>
      <c r="K344" s="292">
        <f t="shared" si="194"/>
        <v>75.245999999999995</v>
      </c>
      <c r="L344" s="292">
        <f t="shared" si="194"/>
        <v>38.601999999999997</v>
      </c>
      <c r="M344" s="292">
        <f t="shared" si="194"/>
        <v>38.601999999999997</v>
      </c>
      <c r="N344" s="292">
        <f t="shared" si="194"/>
        <v>36.088000000000001</v>
      </c>
      <c r="O344" s="292">
        <f t="shared" si="194"/>
        <v>31.215</v>
      </c>
      <c r="P344" s="292">
        <f t="shared" si="194"/>
        <v>42.572000000000003</v>
      </c>
      <c r="Q344" s="292">
        <f t="shared" si="194"/>
        <v>35.348999999999997</v>
      </c>
      <c r="R344" s="292">
        <f t="shared" si="194"/>
        <v>35.348999999999997</v>
      </c>
      <c r="S344" s="292">
        <f t="shared" si="194"/>
        <v>273.97199999999998</v>
      </c>
      <c r="T344" s="292">
        <f t="shared" si="194"/>
        <v>248.02600000000001</v>
      </c>
      <c r="U344" s="292">
        <f t="shared" si="194"/>
        <v>263.57299999999998</v>
      </c>
      <c r="V344" s="292">
        <f t="shared" si="194"/>
        <v>273.97199999999998</v>
      </c>
      <c r="W344" s="292">
        <f t="shared" si="194"/>
        <v>273.97199999999998</v>
      </c>
      <c r="X344" s="292">
        <f t="shared" si="194"/>
        <v>242.738</v>
      </c>
      <c r="Y344" s="292">
        <f t="shared" si="194"/>
        <v>253.66499999999999</v>
      </c>
      <c r="Z344" s="292">
        <f t="shared" si="194"/>
        <v>289.00099999999998</v>
      </c>
      <c r="AA344" s="292">
        <f t="shared" si="194"/>
        <v>284.55599999999998</v>
      </c>
      <c r="AB344" s="292">
        <f t="shared" si="194"/>
        <v>284.55599999999998</v>
      </c>
      <c r="AC344" s="352"/>
      <c r="AD344" s="352"/>
      <c r="AE344" s="352"/>
      <c r="AF344" s="352"/>
      <c r="AG344" s="352"/>
      <c r="AH344" s="352"/>
      <c r="AI344" s="352"/>
      <c r="AJ344" s="352"/>
      <c r="AK344" s="352"/>
      <c r="AL344" s="352"/>
      <c r="AM344" s="352"/>
      <c r="AN344" s="352"/>
      <c r="AO344" s="352"/>
      <c r="AP344" s="352"/>
      <c r="AQ344" s="352"/>
      <c r="AR344" s="352"/>
      <c r="AS344" s="352"/>
      <c r="AT344" s="352"/>
      <c r="AU344" s="352"/>
      <c r="AV344" s="352"/>
      <c r="AW344" s="352"/>
      <c r="AX344" s="352"/>
      <c r="AY344" s="352"/>
      <c r="AZ344" s="352"/>
      <c r="BA344" s="352"/>
      <c r="BB344" s="352"/>
      <c r="BC344" s="352"/>
      <c r="BD344" s="352"/>
      <c r="BE344" s="352"/>
      <c r="BF344" s="352"/>
      <c r="BG344" s="352"/>
    </row>
    <row r="345" spans="1:59" ht="15.75" customHeight="1" x14ac:dyDescent="0.2">
      <c r="A345" s="352"/>
      <c r="B345" s="352"/>
      <c r="C345" s="353" t="s">
        <v>260</v>
      </c>
      <c r="D345" s="292">
        <f t="shared" ref="D345:G345" si="195">(D344*365/4)/D5</f>
        <v>25.441841421891013</v>
      </c>
      <c r="E345" s="292">
        <f t="shared" si="195"/>
        <v>25.206407888120328</v>
      </c>
      <c r="F345" s="292">
        <f t="shared" si="195"/>
        <v>15.213172951615231</v>
      </c>
      <c r="G345" s="292">
        <f t="shared" si="195"/>
        <v>13.318271063994311</v>
      </c>
      <c r="H345" s="292">
        <f>(H344*365)/H5</f>
        <v>13.42680197367698</v>
      </c>
      <c r="I345" s="292">
        <f t="shared" ref="I345:L345" si="196">(I344*365/4)/I5</f>
        <v>13.897804656731305</v>
      </c>
      <c r="J345" s="292">
        <f t="shared" si="196"/>
        <v>11.543017044231394</v>
      </c>
      <c r="K345" s="292">
        <f t="shared" si="196"/>
        <v>16.29572390502576</v>
      </c>
      <c r="L345" s="292">
        <f t="shared" si="196"/>
        <v>8.4863524022370065</v>
      </c>
      <c r="M345" s="292">
        <f>(M344*365)/M5</f>
        <v>8.7938476198519382</v>
      </c>
      <c r="N345" s="292">
        <f t="shared" ref="N345:Q345" si="197">(N344*365/4)/N5</f>
        <v>8.1031621708838042</v>
      </c>
      <c r="O345" s="292">
        <f t="shared" si="197"/>
        <v>6.3674176078404949</v>
      </c>
      <c r="P345" s="292">
        <f t="shared" si="197"/>
        <v>8.1938607424873666</v>
      </c>
      <c r="Q345" s="292">
        <f t="shared" si="197"/>
        <v>6.6133486160671229</v>
      </c>
      <c r="R345" s="292">
        <f>(R344*365)/R5</f>
        <v>7.1065525634690907</v>
      </c>
      <c r="S345" s="292">
        <f t="shared" ref="S345:V345" si="198">(S344*365/4)/S5</f>
        <v>49.301220425874838</v>
      </c>
      <c r="T345" s="292">
        <f t="shared" si="198"/>
        <v>44.377377294322585</v>
      </c>
      <c r="U345" s="292">
        <f t="shared" si="198"/>
        <v>44.217434209991751</v>
      </c>
      <c r="V345" s="292">
        <f t="shared" si="198"/>
        <v>43.274620266125673</v>
      </c>
      <c r="W345" s="292">
        <f>(W344*365)/W5</f>
        <v>46.756949728257354</v>
      </c>
      <c r="X345" s="292">
        <f t="shared" ref="X345:AA345" si="199">(X344*365/4)/X5</f>
        <v>41.855333522297805</v>
      </c>
      <c r="Y345" s="292">
        <f t="shared" si="199"/>
        <v>42.898808040937176</v>
      </c>
      <c r="Z345" s="292">
        <f t="shared" si="199"/>
        <v>42.597792032624092</v>
      </c>
      <c r="AA345" s="292">
        <f t="shared" si="199"/>
        <v>44.459900265567825</v>
      </c>
      <c r="AB345" s="292">
        <f>(AB344*365)/AB5</f>
        <v>45.716855647245438</v>
      </c>
      <c r="AC345" s="352"/>
      <c r="AD345" s="352"/>
      <c r="AE345" s="352"/>
      <c r="AF345" s="352"/>
      <c r="AG345" s="352"/>
      <c r="AH345" s="352"/>
      <c r="AI345" s="352"/>
      <c r="AJ345" s="352"/>
      <c r="AK345" s="352"/>
      <c r="AL345" s="352"/>
      <c r="AM345" s="352"/>
      <c r="AN345" s="352"/>
      <c r="AO345" s="352"/>
      <c r="AP345" s="352"/>
      <c r="AQ345" s="352"/>
      <c r="AR345" s="352"/>
      <c r="AS345" s="352"/>
      <c r="AT345" s="352"/>
      <c r="AU345" s="352"/>
      <c r="AV345" s="352"/>
      <c r="AW345" s="352"/>
      <c r="AX345" s="352"/>
      <c r="AY345" s="352"/>
      <c r="AZ345" s="352"/>
      <c r="BA345" s="352"/>
      <c r="BB345" s="352"/>
      <c r="BC345" s="352"/>
      <c r="BD345" s="352"/>
      <c r="BE345" s="352"/>
      <c r="BF345" s="352"/>
      <c r="BG345" s="352"/>
    </row>
    <row r="346" spans="1:59" ht="15.75" customHeight="1" x14ac:dyDescent="0.2">
      <c r="A346" s="329"/>
      <c r="B346" s="329"/>
      <c r="C346" s="336"/>
      <c r="D346" s="337"/>
      <c r="E346" s="337"/>
      <c r="F346" s="337"/>
      <c r="G346" s="337"/>
      <c r="H346" s="337"/>
      <c r="I346" s="337"/>
      <c r="J346" s="337"/>
      <c r="K346" s="337"/>
      <c r="L346" s="337"/>
      <c r="M346" s="337"/>
      <c r="N346" s="337"/>
      <c r="O346" s="337"/>
      <c r="P346" s="337"/>
      <c r="Q346" s="337"/>
      <c r="R346" s="338"/>
      <c r="S346" s="337"/>
      <c r="T346" s="337"/>
      <c r="U346" s="337"/>
      <c r="V346" s="337"/>
      <c r="W346" s="337"/>
      <c r="X346" s="337"/>
      <c r="Y346" s="337"/>
      <c r="Z346" s="337"/>
      <c r="AA346" s="337"/>
      <c r="AB346" s="337"/>
      <c r="AC346" s="352"/>
      <c r="AD346" s="352"/>
      <c r="AE346" s="352"/>
      <c r="AF346" s="268"/>
      <c r="AG346" s="268"/>
      <c r="AH346" s="268"/>
      <c r="AI346" s="268"/>
      <c r="AJ346" s="268"/>
      <c r="AK346" s="268"/>
      <c r="AL346" s="268"/>
      <c r="AM346" s="268"/>
      <c r="AN346" s="268"/>
      <c r="AO346" s="268"/>
      <c r="AP346" s="268"/>
      <c r="AQ346" s="268"/>
      <c r="AR346" s="268"/>
      <c r="AS346" s="268"/>
      <c r="AT346" s="268"/>
      <c r="AU346" s="268"/>
      <c r="AV346" s="268"/>
      <c r="AW346" s="268"/>
      <c r="AX346" s="268"/>
      <c r="AY346" s="268"/>
      <c r="AZ346" s="268"/>
      <c r="BA346" s="268"/>
      <c r="BB346" s="268"/>
      <c r="BC346" s="268"/>
      <c r="BD346" s="268"/>
      <c r="BE346" s="268"/>
      <c r="BF346" s="268"/>
      <c r="BG346" s="268"/>
    </row>
    <row r="347" spans="1:59" ht="15.75" customHeight="1" x14ac:dyDescent="0.2">
      <c r="A347" s="352"/>
      <c r="B347" s="352"/>
      <c r="C347" s="353" t="s">
        <v>261</v>
      </c>
      <c r="D347" s="292">
        <f t="shared" ref="D347:AB347" si="200">(D376)/1000</f>
        <v>50.09</v>
      </c>
      <c r="E347" s="292">
        <f t="shared" si="200"/>
        <v>53.695999999999998</v>
      </c>
      <c r="F347" s="292">
        <f t="shared" si="200"/>
        <v>52.402999999999999</v>
      </c>
      <c r="G347" s="292">
        <f t="shared" si="200"/>
        <v>42.137999999999998</v>
      </c>
      <c r="H347" s="292">
        <f t="shared" si="200"/>
        <v>42.137999999999998</v>
      </c>
      <c r="I347" s="292">
        <f t="shared" si="200"/>
        <v>42.006</v>
      </c>
      <c r="J347" s="292">
        <f t="shared" si="200"/>
        <v>43.779000000000003</v>
      </c>
      <c r="K347" s="292">
        <f t="shared" si="200"/>
        <v>52.402999999999999</v>
      </c>
      <c r="L347" s="292">
        <f t="shared" si="200"/>
        <v>42.350999999999999</v>
      </c>
      <c r="M347" s="292">
        <f t="shared" si="200"/>
        <v>42.350999999999999</v>
      </c>
      <c r="N347" s="292">
        <f t="shared" si="200"/>
        <v>50.421999999999997</v>
      </c>
      <c r="O347" s="292">
        <f t="shared" si="200"/>
        <v>51.896000000000001</v>
      </c>
      <c r="P347" s="292">
        <f t="shared" si="200"/>
        <v>57.947000000000003</v>
      </c>
      <c r="Q347" s="292">
        <f t="shared" si="200"/>
        <v>61.134</v>
      </c>
      <c r="R347" s="292">
        <f t="shared" si="200"/>
        <v>61.134</v>
      </c>
      <c r="S347" s="292">
        <f t="shared" si="200"/>
        <v>68.626000000000005</v>
      </c>
      <c r="T347" s="292">
        <f t="shared" si="200"/>
        <v>63.317999999999998</v>
      </c>
      <c r="U347" s="292">
        <f t="shared" si="200"/>
        <v>74.926000000000002</v>
      </c>
      <c r="V347" s="292">
        <f t="shared" si="200"/>
        <v>68.626000000000005</v>
      </c>
      <c r="W347" s="292">
        <f t="shared" si="200"/>
        <v>68.626000000000005</v>
      </c>
      <c r="X347" s="292">
        <f t="shared" si="200"/>
        <v>69.206999999999994</v>
      </c>
      <c r="Y347" s="292">
        <f t="shared" si="200"/>
        <v>82.992000000000004</v>
      </c>
      <c r="Z347" s="292">
        <f t="shared" si="200"/>
        <v>87.591999999999999</v>
      </c>
      <c r="AA347" s="292">
        <f t="shared" si="200"/>
        <v>91.72</v>
      </c>
      <c r="AB347" s="292">
        <f t="shared" si="200"/>
        <v>91.72</v>
      </c>
      <c r="AC347" s="352"/>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2"/>
      <c r="AY347" s="352"/>
      <c r="AZ347" s="352"/>
      <c r="BA347" s="352"/>
      <c r="BB347" s="352"/>
      <c r="BC347" s="352"/>
      <c r="BD347" s="352"/>
      <c r="BE347" s="352"/>
      <c r="BF347" s="352"/>
      <c r="BG347" s="352"/>
    </row>
    <row r="348" spans="1:59" ht="15.75" customHeight="1" x14ac:dyDescent="0.2">
      <c r="A348" s="352"/>
      <c r="B348" s="352"/>
      <c r="C348" s="353" t="s">
        <v>262</v>
      </c>
      <c r="D348" s="321">
        <f t="shared" ref="D348:S348" si="201">(D347*365/4)/D6</f>
        <v>-17.987849271940185</v>
      </c>
      <c r="E348" s="321">
        <f t="shared" si="201"/>
        <v>-17.325884016973127</v>
      </c>
      <c r="F348" s="321">
        <f t="shared" si="201"/>
        <v>-17.684074519230773</v>
      </c>
      <c r="G348" s="321">
        <f t="shared" si="201"/>
        <v>-13.572511471937874</v>
      </c>
      <c r="H348" s="321">
        <f t="shared" si="201"/>
        <v>-3.5256670640014671</v>
      </c>
      <c r="I348" s="321">
        <f t="shared" si="201"/>
        <v>-16.105241596638656</v>
      </c>
      <c r="J348" s="321">
        <f t="shared" si="201"/>
        <v>-15.49586404189294</v>
      </c>
      <c r="K348" s="321">
        <f t="shared" si="201"/>
        <v>-19.866114457831326</v>
      </c>
      <c r="L348" s="321">
        <f t="shared" si="201"/>
        <v>-14.932491306027821</v>
      </c>
      <c r="M348" s="321">
        <f t="shared" si="201"/>
        <v>-3.8827778056867279</v>
      </c>
      <c r="N348" s="321">
        <f t="shared" si="201"/>
        <v>-18.671122769757609</v>
      </c>
      <c r="O348" s="321">
        <f t="shared" si="201"/>
        <v>-19.023739288349883</v>
      </c>
      <c r="P348" s="321">
        <f t="shared" si="201"/>
        <v>-19.551554506964941</v>
      </c>
      <c r="Q348" s="321">
        <f t="shared" si="201"/>
        <v>-17.460202353541657</v>
      </c>
      <c r="R348" s="321">
        <f t="shared" si="201"/>
        <v>-5.1400610053812539</v>
      </c>
      <c r="S348" s="321">
        <f t="shared" si="201"/>
        <v>-23.451016526708244</v>
      </c>
      <c r="T348" s="321">
        <f t="shared" ref="T348:AB348" si="202">(S347*365/4)/T6</f>
        <v>-21.450105509792369</v>
      </c>
      <c r="U348" s="321">
        <f t="shared" si="202"/>
        <v>-18.656013884404263</v>
      </c>
      <c r="V348" s="321">
        <f t="shared" si="202"/>
        <v>-18.154533988316516</v>
      </c>
      <c r="W348" s="321">
        <f t="shared" si="202"/>
        <v>-5.0287311330287183</v>
      </c>
      <c r="X348" s="321">
        <f t="shared" si="202"/>
        <v>-20.08712547676847</v>
      </c>
      <c r="Y348" s="321">
        <f t="shared" si="202"/>
        <v>-19.708118183683847</v>
      </c>
      <c r="Z348" s="321">
        <f t="shared" si="202"/>
        <v>-21.134208867450091</v>
      </c>
      <c r="AA348" s="321">
        <f t="shared" si="202"/>
        <v>-22.206210531443933</v>
      </c>
      <c r="AB348" s="321">
        <f t="shared" si="202"/>
        <v>-6.1977685538192402</v>
      </c>
      <c r="AC348" s="352"/>
      <c r="AD348" s="352"/>
      <c r="AE348" s="352"/>
      <c r="AF348" s="352"/>
      <c r="AG348" s="352"/>
      <c r="AH348" s="352"/>
      <c r="AI348" s="352"/>
      <c r="AJ348" s="352"/>
      <c r="AK348" s="352"/>
      <c r="AL348" s="352"/>
      <c r="AM348" s="352"/>
      <c r="AN348" s="352"/>
      <c r="AO348" s="352"/>
      <c r="AP348" s="352"/>
      <c r="AQ348" s="352"/>
      <c r="AR348" s="352"/>
      <c r="AS348" s="352"/>
      <c r="AT348" s="352"/>
      <c r="AU348" s="352"/>
      <c r="AV348" s="352"/>
      <c r="AW348" s="352"/>
      <c r="AX348" s="352"/>
      <c r="AY348" s="352"/>
      <c r="AZ348" s="352"/>
      <c r="BA348" s="352"/>
      <c r="BB348" s="352"/>
      <c r="BC348" s="352"/>
      <c r="BD348" s="352"/>
      <c r="BE348" s="352"/>
      <c r="BF348" s="352"/>
      <c r="BG348" s="352"/>
    </row>
    <row r="349" spans="1:59" ht="15.75" customHeight="1" x14ac:dyDescent="0.2">
      <c r="A349" s="329"/>
      <c r="B349" s="329"/>
      <c r="C349" s="336"/>
      <c r="D349" s="337"/>
      <c r="E349" s="337"/>
      <c r="F349" s="337"/>
      <c r="G349" s="337"/>
      <c r="H349" s="337"/>
      <c r="I349" s="337"/>
      <c r="J349" s="337"/>
      <c r="K349" s="337"/>
      <c r="L349" s="337"/>
      <c r="M349" s="337"/>
      <c r="N349" s="337"/>
      <c r="O349" s="337"/>
      <c r="P349" s="337"/>
      <c r="Q349" s="337"/>
      <c r="R349" s="338"/>
      <c r="S349" s="337"/>
      <c r="T349" s="337"/>
      <c r="U349" s="337"/>
      <c r="V349" s="337"/>
      <c r="W349" s="337"/>
      <c r="X349" s="337"/>
      <c r="Y349" s="337"/>
      <c r="Z349" s="337"/>
      <c r="AA349" s="337"/>
      <c r="AB349" s="337"/>
      <c r="AC349" s="352"/>
      <c r="AD349" s="352"/>
      <c r="AE349" s="352"/>
      <c r="AF349" s="268"/>
      <c r="AG349" s="268"/>
      <c r="AH349" s="268"/>
      <c r="AI349" s="268"/>
      <c r="AJ349" s="268"/>
      <c r="AK349" s="268"/>
      <c r="AL349" s="268"/>
      <c r="AM349" s="268"/>
      <c r="AN349" s="268"/>
      <c r="AO349" s="268"/>
      <c r="AP349" s="268"/>
      <c r="AQ349" s="268"/>
      <c r="AR349" s="268"/>
      <c r="AS349" s="268"/>
      <c r="AT349" s="268"/>
      <c r="AU349" s="268"/>
      <c r="AV349" s="268"/>
      <c r="AW349" s="268"/>
      <c r="AX349" s="268"/>
      <c r="AY349" s="268"/>
      <c r="AZ349" s="268"/>
      <c r="BA349" s="268"/>
      <c r="BB349" s="268"/>
      <c r="BC349" s="268"/>
      <c r="BD349" s="268"/>
      <c r="BE349" s="268"/>
      <c r="BF349" s="268"/>
      <c r="BG349" s="268"/>
    </row>
    <row r="350" spans="1:59" ht="15.75" customHeight="1" x14ac:dyDescent="0.2">
      <c r="A350" s="352"/>
      <c r="B350" s="352"/>
      <c r="C350" s="353" t="s">
        <v>263</v>
      </c>
      <c r="D350" s="292">
        <f t="shared" ref="D350:AB350" si="203">(D399)/1000</f>
        <v>152.547</v>
      </c>
      <c r="E350" s="292">
        <f t="shared" si="203"/>
        <v>134.64699999999999</v>
      </c>
      <c r="F350" s="292">
        <f t="shared" si="203"/>
        <v>81.875</v>
      </c>
      <c r="G350" s="292">
        <f t="shared" si="203"/>
        <v>82.484999999999999</v>
      </c>
      <c r="H350" s="292">
        <f t="shared" si="203"/>
        <v>82.484999999999999</v>
      </c>
      <c r="I350" s="292">
        <f t="shared" si="203"/>
        <v>77.775000000000006</v>
      </c>
      <c r="J350" s="292">
        <f t="shared" si="203"/>
        <v>74.893000000000001</v>
      </c>
      <c r="K350" s="292">
        <f t="shared" si="203"/>
        <v>81.875</v>
      </c>
      <c r="L350" s="292">
        <f t="shared" si="203"/>
        <v>78.506</v>
      </c>
      <c r="M350" s="292">
        <f t="shared" si="203"/>
        <v>78.506</v>
      </c>
      <c r="N350" s="292">
        <f t="shared" si="203"/>
        <v>77.225999999999999</v>
      </c>
      <c r="O350" s="292">
        <f t="shared" si="203"/>
        <v>142.75700000000001</v>
      </c>
      <c r="P350" s="292">
        <f t="shared" si="203"/>
        <v>106.40600000000001</v>
      </c>
      <c r="Q350" s="292">
        <f t="shared" si="203"/>
        <v>87.46</v>
      </c>
      <c r="R350" s="292">
        <f t="shared" si="203"/>
        <v>87.46</v>
      </c>
      <c r="S350" s="292">
        <f t="shared" si="203"/>
        <v>159.846</v>
      </c>
      <c r="T350" s="292">
        <f t="shared" si="203"/>
        <v>97.128</v>
      </c>
      <c r="U350" s="292">
        <f t="shared" si="203"/>
        <v>97.608000000000004</v>
      </c>
      <c r="V350" s="292">
        <f t="shared" si="203"/>
        <v>159.846</v>
      </c>
      <c r="W350" s="292">
        <f t="shared" si="203"/>
        <v>159.846</v>
      </c>
      <c r="X350" s="292">
        <f t="shared" si="203"/>
        <v>99.334000000000003</v>
      </c>
      <c r="Y350" s="292">
        <f t="shared" si="203"/>
        <v>104.71899999999999</v>
      </c>
      <c r="Z350" s="292">
        <f t="shared" si="203"/>
        <v>117.565</v>
      </c>
      <c r="AA350" s="292">
        <f t="shared" si="203"/>
        <v>143.142</v>
      </c>
      <c r="AB350" s="292">
        <f t="shared" si="203"/>
        <v>143.142</v>
      </c>
      <c r="AC350" s="292"/>
      <c r="AD350" s="292"/>
      <c r="AE350" s="292"/>
      <c r="AF350" s="292"/>
      <c r="AG350" s="352"/>
      <c r="AH350" s="352"/>
      <c r="AI350" s="352"/>
      <c r="AJ350" s="352"/>
      <c r="AK350" s="352"/>
      <c r="AL350" s="352"/>
      <c r="AM350" s="352"/>
      <c r="AN350" s="352"/>
      <c r="AO350" s="352"/>
      <c r="AP350" s="352"/>
      <c r="AQ350" s="352"/>
      <c r="AR350" s="352"/>
      <c r="AS350" s="352"/>
      <c r="AT350" s="352"/>
      <c r="AU350" s="352"/>
      <c r="AV350" s="352"/>
      <c r="AW350" s="352"/>
      <c r="AX350" s="352"/>
      <c r="AY350" s="352"/>
      <c r="AZ350" s="352"/>
      <c r="BA350" s="352"/>
      <c r="BB350" s="352"/>
      <c r="BC350" s="352"/>
      <c r="BD350" s="352"/>
      <c r="BE350" s="352"/>
      <c r="BF350" s="352"/>
      <c r="BG350" s="352"/>
    </row>
    <row r="351" spans="1:59" ht="15.75" customHeight="1" x14ac:dyDescent="0.2">
      <c r="A351" s="352"/>
      <c r="B351" s="352"/>
      <c r="C351" s="353" t="s">
        <v>264</v>
      </c>
      <c r="D351" s="321">
        <f t="shared" ref="D351:S351" si="204">(D350*365/4)/D6</f>
        <v>-54.781242621015352</v>
      </c>
      <c r="E351" s="321">
        <f t="shared" si="204"/>
        <v>-43.44603518387553</v>
      </c>
      <c r="F351" s="321">
        <f t="shared" si="204"/>
        <v>-27.629784578402369</v>
      </c>
      <c r="G351" s="321">
        <f t="shared" si="204"/>
        <v>-26.568147723261561</v>
      </c>
      <c r="H351" s="321">
        <f t="shared" si="204"/>
        <v>-6.9014819823950129</v>
      </c>
      <c r="I351" s="321">
        <f t="shared" si="204"/>
        <v>-29.819196428571434</v>
      </c>
      <c r="J351" s="321">
        <f t="shared" si="204"/>
        <v>-26.508868308766484</v>
      </c>
      <c r="K351" s="321">
        <f t="shared" si="204"/>
        <v>-31.039026796842546</v>
      </c>
      <c r="L351" s="321">
        <f t="shared" si="204"/>
        <v>-27.680341962905715</v>
      </c>
      <c r="M351" s="321">
        <f t="shared" si="204"/>
        <v>-7.1975007535416458</v>
      </c>
      <c r="N351" s="321">
        <f t="shared" si="204"/>
        <v>-28.59656751055692</v>
      </c>
      <c r="O351" s="321">
        <f t="shared" si="204"/>
        <v>-52.33104573737792</v>
      </c>
      <c r="P351" s="321">
        <f t="shared" si="204"/>
        <v>-35.901819056519081</v>
      </c>
      <c r="Q351" s="321">
        <f t="shared" si="204"/>
        <v>-24.979050901965405</v>
      </c>
      <c r="R351" s="321">
        <f t="shared" si="204"/>
        <v>-7.3535141742834504</v>
      </c>
      <c r="S351" s="321">
        <f t="shared" si="204"/>
        <v>-54.622900762512835</v>
      </c>
      <c r="T351" s="321">
        <f t="shared" ref="T351:AB351" si="205">(S350*365/4)/T6</f>
        <v>-49.962311154930646</v>
      </c>
      <c r="U351" s="321">
        <f t="shared" si="205"/>
        <v>-28.617791411042948</v>
      </c>
      <c r="V351" s="321">
        <f t="shared" si="205"/>
        <v>-23.650371747211892</v>
      </c>
      <c r="W351" s="321">
        <f t="shared" si="205"/>
        <v>-11.713090617114629</v>
      </c>
      <c r="X351" s="321">
        <f t="shared" si="205"/>
        <v>-46.787611968634813</v>
      </c>
      <c r="Y351" s="321">
        <f t="shared" si="205"/>
        <v>-28.287401731877583</v>
      </c>
      <c r="Z351" s="321">
        <f t="shared" si="205"/>
        <v>-26.667066926818318</v>
      </c>
      <c r="AA351" s="321">
        <f t="shared" si="205"/>
        <v>-29.804926718526875</v>
      </c>
      <c r="AB351" s="321">
        <f t="shared" si="205"/>
        <v>-9.6724922190448499</v>
      </c>
      <c r="AC351" s="352"/>
      <c r="AD351" s="352"/>
      <c r="AE351" s="352"/>
      <c r="AF351" s="352"/>
      <c r="AG351" s="352"/>
      <c r="AH351" s="352"/>
      <c r="AI351" s="352"/>
      <c r="AJ351" s="352"/>
      <c r="AK351" s="352"/>
      <c r="AL351" s="352"/>
      <c r="AM351" s="352"/>
      <c r="AN351" s="352"/>
      <c r="AO351" s="352"/>
      <c r="AP351" s="352"/>
      <c r="AQ351" s="352"/>
      <c r="AR351" s="352"/>
      <c r="AS351" s="352"/>
      <c r="AT351" s="352"/>
      <c r="AU351" s="352"/>
      <c r="AV351" s="352"/>
      <c r="AW351" s="352"/>
      <c r="AX351" s="352"/>
      <c r="AY351" s="352"/>
      <c r="AZ351" s="352"/>
      <c r="BA351" s="352"/>
      <c r="BB351" s="352"/>
      <c r="BC351" s="352"/>
      <c r="BD351" s="352"/>
      <c r="BE351" s="352"/>
      <c r="BF351" s="352"/>
      <c r="BG351" s="352"/>
    </row>
    <row r="352" spans="1:59" ht="15.75" customHeight="1" x14ac:dyDescent="0.2">
      <c r="A352" s="329"/>
      <c r="B352" s="329"/>
      <c r="C352" s="336"/>
      <c r="D352" s="337"/>
      <c r="E352" s="337"/>
      <c r="F352" s="337"/>
      <c r="G352" s="337"/>
      <c r="H352" s="337"/>
      <c r="I352" s="337"/>
      <c r="J352" s="337"/>
      <c r="K352" s="337"/>
      <c r="L352" s="337"/>
      <c r="M352" s="337"/>
      <c r="N352" s="337"/>
      <c r="O352" s="337"/>
      <c r="P352" s="337"/>
      <c r="Q352" s="337"/>
      <c r="R352" s="338"/>
      <c r="S352" s="337"/>
      <c r="T352" s="337"/>
      <c r="U352" s="337"/>
      <c r="V352" s="337"/>
      <c r="W352" s="337"/>
      <c r="X352" s="337"/>
      <c r="Y352" s="337"/>
      <c r="Z352" s="337"/>
      <c r="AA352" s="337"/>
      <c r="AB352" s="337"/>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8"/>
      <c r="AY352" s="268"/>
      <c r="AZ352" s="268"/>
      <c r="BA352" s="268"/>
      <c r="BB352" s="268"/>
      <c r="BC352" s="268"/>
      <c r="BD352" s="268"/>
      <c r="BE352" s="268"/>
      <c r="BF352" s="268"/>
      <c r="BG352" s="268"/>
    </row>
    <row r="353" spans="1:59" ht="15.75" customHeight="1" x14ac:dyDescent="0.2">
      <c r="A353" s="210"/>
      <c r="B353" s="211" t="s">
        <v>265</v>
      </c>
      <c r="C353" s="211"/>
      <c r="D353" s="277"/>
      <c r="E353" s="277"/>
      <c r="F353" s="277"/>
      <c r="G353" s="277"/>
      <c r="H353" s="159"/>
      <c r="I353" s="277"/>
      <c r="J353" s="277"/>
      <c r="K353" s="277"/>
      <c r="L353" s="277"/>
      <c r="M353" s="159"/>
      <c r="N353" s="277"/>
      <c r="O353" s="277"/>
      <c r="P353" s="277"/>
      <c r="Q353" s="277"/>
      <c r="R353" s="159"/>
      <c r="S353" s="277"/>
      <c r="T353" s="277"/>
      <c r="U353" s="277"/>
      <c r="V353" s="277"/>
      <c r="W353" s="159"/>
      <c r="X353" s="277"/>
      <c r="Y353" s="277"/>
      <c r="Z353" s="277"/>
      <c r="AA353" s="277"/>
      <c r="AB353" s="159"/>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c r="BD353" s="268"/>
      <c r="BE353" s="268"/>
      <c r="BF353" s="268"/>
      <c r="BG353" s="268"/>
    </row>
    <row r="354" spans="1:59" ht="15.75" customHeight="1" x14ac:dyDescent="0.2">
      <c r="A354" s="210"/>
      <c r="B354" s="211" t="s">
        <v>266</v>
      </c>
      <c r="C354" s="211"/>
      <c r="D354" s="277" t="s">
        <v>98</v>
      </c>
      <c r="E354" s="277" t="s">
        <v>99</v>
      </c>
      <c r="F354" s="277" t="s">
        <v>100</v>
      </c>
      <c r="G354" s="277" t="s">
        <v>101</v>
      </c>
      <c r="H354" s="159">
        <v>2018</v>
      </c>
      <c r="I354" s="277" t="s">
        <v>102</v>
      </c>
      <c r="J354" s="277" t="s">
        <v>103</v>
      </c>
      <c r="K354" s="277" t="s">
        <v>104</v>
      </c>
      <c r="L354" s="277" t="s">
        <v>105</v>
      </c>
      <c r="M354" s="159">
        <v>2019</v>
      </c>
      <c r="N354" s="277" t="s">
        <v>158</v>
      </c>
      <c r="O354" s="277" t="s">
        <v>107</v>
      </c>
      <c r="P354" s="277" t="s">
        <v>108</v>
      </c>
      <c r="Q354" s="277" t="s">
        <v>109</v>
      </c>
      <c r="R354" s="159">
        <v>2020</v>
      </c>
      <c r="S354" s="277" t="s">
        <v>110</v>
      </c>
      <c r="T354" s="277" t="s">
        <v>111</v>
      </c>
      <c r="U354" s="277" t="s">
        <v>112</v>
      </c>
      <c r="V354" s="277" t="s">
        <v>113</v>
      </c>
      <c r="W354" s="159">
        <v>2021</v>
      </c>
      <c r="X354" s="277" t="s">
        <v>114</v>
      </c>
      <c r="Y354" s="277" t="s">
        <v>115</v>
      </c>
      <c r="Z354" s="277" t="str">
        <f>$Z$4</f>
        <v>3Q22</v>
      </c>
      <c r="AA354" s="277" t="str">
        <f>$AA$4</f>
        <v>4Q22</v>
      </c>
      <c r="AB354" s="160">
        <v>2022</v>
      </c>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c r="BD354" s="268"/>
      <c r="BE354" s="268"/>
      <c r="BF354" s="268"/>
      <c r="BG354" s="268"/>
    </row>
    <row r="355" spans="1:59" ht="15.75" customHeight="1" x14ac:dyDescent="0.2">
      <c r="A355" s="352"/>
      <c r="B355" s="352"/>
      <c r="C355" s="353" t="s">
        <v>167</v>
      </c>
      <c r="D355" s="321">
        <f t="shared" ref="D355:AA355" si="206">D141</f>
        <v>-1.6</v>
      </c>
      <c r="E355" s="321">
        <f t="shared" si="206"/>
        <v>-2.9</v>
      </c>
      <c r="F355" s="321">
        <f t="shared" si="206"/>
        <v>-2.1</v>
      </c>
      <c r="G355" s="321">
        <f t="shared" si="206"/>
        <v>-8.5</v>
      </c>
      <c r="H355" s="321">
        <f t="shared" si="206"/>
        <v>-15.1</v>
      </c>
      <c r="I355" s="321">
        <f t="shared" si="206"/>
        <v>-4.8</v>
      </c>
      <c r="J355" s="321">
        <f t="shared" si="206"/>
        <v>2.5</v>
      </c>
      <c r="K355" s="321">
        <f t="shared" si="206"/>
        <v>-2.1</v>
      </c>
      <c r="L355" s="321">
        <f t="shared" si="206"/>
        <v>6.8</v>
      </c>
      <c r="M355" s="321">
        <f t="shared" si="206"/>
        <v>2.3999999999999995</v>
      </c>
      <c r="N355" s="321">
        <f t="shared" si="206"/>
        <v>-18.8</v>
      </c>
      <c r="O355" s="321">
        <f t="shared" si="206"/>
        <v>-6</v>
      </c>
      <c r="P355" s="321">
        <f t="shared" si="206"/>
        <v>0.4</v>
      </c>
      <c r="Q355" s="321">
        <f t="shared" si="206"/>
        <v>5.3</v>
      </c>
      <c r="R355" s="321">
        <f t="shared" si="206"/>
        <v>-19.100000000000001</v>
      </c>
      <c r="S355" s="321">
        <f t="shared" si="206"/>
        <v>-10.2396025</v>
      </c>
      <c r="T355" s="321">
        <f t="shared" si="206"/>
        <v>2.1483368199999999</v>
      </c>
      <c r="U355" s="321">
        <f t="shared" si="206"/>
        <v>-15.7</v>
      </c>
      <c r="V355" s="321">
        <f t="shared" si="206"/>
        <v>-8.1</v>
      </c>
      <c r="W355" s="321">
        <f t="shared" si="206"/>
        <v>-31.891265679999997</v>
      </c>
      <c r="X355" s="321">
        <f t="shared" si="206"/>
        <v>21.417042769999998</v>
      </c>
      <c r="Y355" s="321">
        <f t="shared" si="206"/>
        <v>-18.24229012</v>
      </c>
      <c r="Z355" s="321">
        <f t="shared" si="206"/>
        <v>-12.859271869999999</v>
      </c>
      <c r="AA355" s="321">
        <f t="shared" si="206"/>
        <v>26.697567840000001</v>
      </c>
      <c r="AB355" s="321">
        <f t="shared" ref="AB355:AB357" si="207">SUM(X355:AA355)</f>
        <v>17.013048619999999</v>
      </c>
      <c r="AC355" s="352"/>
      <c r="AD355" s="352"/>
      <c r="AE355" s="352"/>
      <c r="AF355" s="352"/>
      <c r="AG355" s="352"/>
      <c r="AH355" s="352"/>
      <c r="AI355" s="352"/>
      <c r="AJ355" s="352"/>
      <c r="AK355" s="352"/>
      <c r="AL355" s="352"/>
      <c r="AM355" s="352"/>
      <c r="AN355" s="352"/>
      <c r="AO355" s="352"/>
      <c r="AP355" s="352"/>
      <c r="AQ355" s="352"/>
      <c r="AR355" s="352"/>
      <c r="AS355" s="352"/>
      <c r="AT355" s="352"/>
      <c r="AU355" s="352"/>
      <c r="AV355" s="352"/>
      <c r="AW355" s="352"/>
      <c r="AX355" s="352"/>
      <c r="AY355" s="352"/>
      <c r="AZ355" s="352"/>
      <c r="BA355" s="352"/>
      <c r="BB355" s="352"/>
      <c r="BC355" s="352"/>
      <c r="BD355" s="352"/>
      <c r="BE355" s="352"/>
      <c r="BF355" s="352"/>
      <c r="BG355" s="352"/>
    </row>
    <row r="356" spans="1:59" ht="15.75" customHeight="1" x14ac:dyDescent="0.2">
      <c r="A356" s="352"/>
      <c r="B356" s="352"/>
      <c r="C356" s="353" t="s">
        <v>168</v>
      </c>
      <c r="D356" s="321">
        <f t="shared" ref="D356:AA356" si="208">D142</f>
        <v>132.58230541999995</v>
      </c>
      <c r="E356" s="321">
        <f t="shared" si="208"/>
        <v>129.37024279499892</v>
      </c>
      <c r="F356" s="321">
        <f t="shared" si="208"/>
        <v>178.83237634500128</v>
      </c>
      <c r="G356" s="321">
        <f t="shared" si="208"/>
        <v>129.98488874000026</v>
      </c>
      <c r="H356" s="321">
        <f t="shared" si="208"/>
        <v>570.76981330000046</v>
      </c>
      <c r="I356" s="321">
        <f t="shared" si="208"/>
        <v>136.04580550999998</v>
      </c>
      <c r="J356" s="321">
        <f t="shared" si="208"/>
        <v>131.66014074000003</v>
      </c>
      <c r="K356" s="321">
        <f t="shared" si="208"/>
        <v>179.54964608000003</v>
      </c>
      <c r="L356" s="321">
        <f t="shared" si="208"/>
        <v>109.07026023000002</v>
      </c>
      <c r="M356" s="321">
        <f t="shared" si="208"/>
        <v>556.32585256000004</v>
      </c>
      <c r="N356" s="321">
        <f t="shared" si="208"/>
        <v>142.16454465000001</v>
      </c>
      <c r="O356" s="321">
        <f t="shared" si="208"/>
        <v>192.40864829999998</v>
      </c>
      <c r="P356" s="321">
        <f t="shared" si="208"/>
        <v>204.05101571000003</v>
      </c>
      <c r="Q356" s="321">
        <f t="shared" si="208"/>
        <v>172.54351460000004</v>
      </c>
      <c r="R356" s="321">
        <f t="shared" si="208"/>
        <v>711.16772325999989</v>
      </c>
      <c r="S356" s="321">
        <f t="shared" si="208"/>
        <v>229.48144902000001</v>
      </c>
      <c r="T356" s="321">
        <f t="shared" si="208"/>
        <v>220.56195263000001</v>
      </c>
      <c r="U356" s="321">
        <f t="shared" si="208"/>
        <v>219.12654571000007</v>
      </c>
      <c r="V356" s="321">
        <f t="shared" si="208"/>
        <v>189.60454937</v>
      </c>
      <c r="W356" s="321">
        <f t="shared" si="208"/>
        <v>858.7744967299999</v>
      </c>
      <c r="X356" s="321">
        <f t="shared" si="208"/>
        <v>239.01264623</v>
      </c>
      <c r="Y356" s="321">
        <f t="shared" si="208"/>
        <v>201.20064793999998</v>
      </c>
      <c r="Z356" s="321">
        <f t="shared" si="208"/>
        <v>248.02250831999999</v>
      </c>
      <c r="AA356" s="321">
        <f t="shared" si="208"/>
        <v>250.71721364000001</v>
      </c>
      <c r="AB356" s="321">
        <f t="shared" si="207"/>
        <v>938.95301612999992</v>
      </c>
      <c r="AC356" s="352"/>
      <c r="AD356" s="352"/>
      <c r="AE356" s="352"/>
      <c r="AF356" s="352"/>
      <c r="AG356" s="352"/>
      <c r="AH356" s="352"/>
      <c r="AI356" s="352"/>
      <c r="AJ356" s="352"/>
      <c r="AK356" s="352"/>
      <c r="AL356" s="352"/>
      <c r="AM356" s="352"/>
      <c r="AN356" s="352"/>
      <c r="AO356" s="352"/>
      <c r="AP356" s="352"/>
      <c r="AQ356" s="352"/>
      <c r="AR356" s="352"/>
      <c r="AS356" s="352"/>
      <c r="AT356" s="352"/>
      <c r="AU356" s="352"/>
      <c r="AV356" s="352"/>
      <c r="AW356" s="352"/>
      <c r="AX356" s="352"/>
      <c r="AY356" s="352"/>
      <c r="AZ356" s="352"/>
      <c r="BA356" s="352"/>
      <c r="BB356" s="352"/>
      <c r="BC356" s="352"/>
      <c r="BD356" s="352"/>
      <c r="BE356" s="352"/>
      <c r="BF356" s="352"/>
      <c r="BG356" s="352"/>
    </row>
    <row r="357" spans="1:59" ht="15.75" customHeight="1" x14ac:dyDescent="0.2">
      <c r="A357" s="278"/>
      <c r="B357" s="278"/>
      <c r="C357" s="297" t="s">
        <v>267</v>
      </c>
      <c r="D357" s="292">
        <v>-46.9</v>
      </c>
      <c r="E357" s="292">
        <v>-51.4</v>
      </c>
      <c r="F357" s="292">
        <v>-53</v>
      </c>
      <c r="G357" s="292">
        <v>-53.5</v>
      </c>
      <c r="H357" s="292">
        <v>-204.8</v>
      </c>
      <c r="I357" s="292">
        <v>-63.1</v>
      </c>
      <c r="J357" s="292">
        <v>-64.2</v>
      </c>
      <c r="K357" s="292">
        <v>-66.400000000000006</v>
      </c>
      <c r="L357" s="292">
        <v>-67.099999999999994</v>
      </c>
      <c r="M357" s="292">
        <v>-260.8</v>
      </c>
      <c r="N357" s="292">
        <v>-72</v>
      </c>
      <c r="O357" s="292">
        <v>-80.599999999999994</v>
      </c>
      <c r="P357" s="292">
        <v>-80.599999999999994</v>
      </c>
      <c r="Q357" s="292">
        <v>-81.8</v>
      </c>
      <c r="R357" s="294">
        <v>-315</v>
      </c>
      <c r="S357" s="292">
        <v>-84.931852460000002</v>
      </c>
      <c r="T357" s="292">
        <v>-83.358121650000001</v>
      </c>
      <c r="U357" s="292">
        <v>-79.573804019999997</v>
      </c>
      <c r="V357" s="292">
        <v>-83.4</v>
      </c>
      <c r="W357" s="292">
        <v>-331.26377812999999</v>
      </c>
      <c r="X357" s="292">
        <v>-81.599999999999994</v>
      </c>
      <c r="Y357" s="294">
        <f t="shared" ref="Y357:AA357" si="209">Y15</f>
        <v>-79.104547170000004</v>
      </c>
      <c r="Z357" s="294">
        <f t="shared" si="209"/>
        <v>-83.504519349999995</v>
      </c>
      <c r="AA357" s="294">
        <f t="shared" si="209"/>
        <v>-88.500541220000002</v>
      </c>
      <c r="AB357" s="321">
        <f t="shared" si="207"/>
        <v>-332.70960774000002</v>
      </c>
      <c r="AC357" s="270"/>
      <c r="AD357" s="270"/>
      <c r="AE357" s="270"/>
      <c r="AF357" s="270"/>
      <c r="AG357" s="270"/>
      <c r="AH357" s="270"/>
      <c r="AI357" s="270"/>
      <c r="AJ357" s="295"/>
      <c r="AK357" s="296"/>
      <c r="AL357" s="296"/>
      <c r="AM357" s="296"/>
      <c r="AN357" s="296"/>
      <c r="AO357" s="296"/>
      <c r="AP357" s="296"/>
      <c r="AQ357" s="296"/>
      <c r="AR357" s="296"/>
      <c r="AS357" s="296"/>
      <c r="AT357" s="296"/>
      <c r="AU357" s="296"/>
      <c r="AV357" s="296"/>
      <c r="AW357" s="296"/>
      <c r="AX357" s="296"/>
      <c r="AY357" s="296"/>
      <c r="AZ357" s="296"/>
      <c r="BA357" s="296"/>
      <c r="BB357" s="296"/>
      <c r="BC357" s="296"/>
      <c r="BD357" s="296"/>
      <c r="BE357" s="296"/>
      <c r="BF357" s="296"/>
      <c r="BG357" s="296"/>
    </row>
    <row r="358" spans="1:59" ht="15.75" customHeight="1" x14ac:dyDescent="0.2">
      <c r="A358" s="278"/>
      <c r="B358" s="297"/>
      <c r="C358" s="353" t="s">
        <v>170</v>
      </c>
      <c r="D358" s="292">
        <f t="shared" ref="D358:AB358" si="210">D356+D357</f>
        <v>85.682305419999949</v>
      </c>
      <c r="E358" s="292">
        <f t="shared" si="210"/>
        <v>77.97024279499891</v>
      </c>
      <c r="F358" s="292">
        <f t="shared" si="210"/>
        <v>125.83237634500128</v>
      </c>
      <c r="G358" s="292">
        <f t="shared" si="210"/>
        <v>76.484888740000258</v>
      </c>
      <c r="H358" s="292">
        <f t="shared" si="210"/>
        <v>365.96981330000045</v>
      </c>
      <c r="I358" s="292">
        <f t="shared" si="210"/>
        <v>72.945805509999985</v>
      </c>
      <c r="J358" s="292">
        <f t="shared" si="210"/>
        <v>67.460140740000028</v>
      </c>
      <c r="K358" s="292">
        <f t="shared" si="210"/>
        <v>113.14964608000002</v>
      </c>
      <c r="L358" s="292">
        <f t="shared" si="210"/>
        <v>41.970260230000022</v>
      </c>
      <c r="M358" s="292">
        <f t="shared" si="210"/>
        <v>295.52585256000003</v>
      </c>
      <c r="N358" s="292">
        <f t="shared" si="210"/>
        <v>70.164544650000011</v>
      </c>
      <c r="O358" s="292">
        <f t="shared" si="210"/>
        <v>111.80864829999999</v>
      </c>
      <c r="P358" s="292">
        <f t="shared" si="210"/>
        <v>123.45101571000004</v>
      </c>
      <c r="Q358" s="292">
        <f t="shared" si="210"/>
        <v>90.74351460000004</v>
      </c>
      <c r="R358" s="292">
        <f t="shared" si="210"/>
        <v>396.16772325999989</v>
      </c>
      <c r="S358" s="292">
        <f t="shared" si="210"/>
        <v>144.54959656</v>
      </c>
      <c r="T358" s="292">
        <f t="shared" si="210"/>
        <v>137.20383098000002</v>
      </c>
      <c r="U358" s="292">
        <f t="shared" si="210"/>
        <v>139.55274169000006</v>
      </c>
      <c r="V358" s="292">
        <f t="shared" si="210"/>
        <v>106.20454937</v>
      </c>
      <c r="W358" s="292">
        <f t="shared" si="210"/>
        <v>527.5107185999999</v>
      </c>
      <c r="X358" s="292">
        <f t="shared" si="210"/>
        <v>157.41264623000001</v>
      </c>
      <c r="Y358" s="292">
        <f t="shared" si="210"/>
        <v>122.09610076999998</v>
      </c>
      <c r="Z358" s="292">
        <f t="shared" si="210"/>
        <v>164.51798896999998</v>
      </c>
      <c r="AA358" s="292">
        <f t="shared" si="210"/>
        <v>162.21667242000001</v>
      </c>
      <c r="AB358" s="292">
        <f t="shared" si="210"/>
        <v>606.2434083899999</v>
      </c>
      <c r="AC358" s="292"/>
      <c r="AD358" s="292"/>
      <c r="AE358" s="292"/>
      <c r="AF358" s="292"/>
      <c r="AG358" s="292"/>
      <c r="AH358" s="292"/>
      <c r="AI358" s="292"/>
      <c r="AJ358" s="292"/>
      <c r="AK358" s="292"/>
      <c r="AL358" s="292"/>
      <c r="AM358" s="292"/>
      <c r="AN358" s="292"/>
      <c r="AO358" s="292"/>
      <c r="AP358" s="294"/>
      <c r="AQ358" s="292"/>
      <c r="AR358" s="292"/>
      <c r="AS358" s="292"/>
      <c r="AT358" s="292"/>
      <c r="AU358" s="292"/>
      <c r="AV358" s="292"/>
      <c r="AW358" s="294"/>
      <c r="AX358" s="268"/>
      <c r="AY358" s="268"/>
      <c r="AZ358" s="268"/>
      <c r="BA358" s="268"/>
      <c r="BB358" s="268"/>
      <c r="BC358" s="268"/>
      <c r="BD358" s="268"/>
      <c r="BE358" s="268"/>
      <c r="BF358" s="268"/>
      <c r="BG358" s="268"/>
    </row>
    <row r="359" spans="1:59" ht="15.75" customHeight="1" x14ac:dyDescent="0.2">
      <c r="A359" s="278"/>
      <c r="B359" s="278"/>
      <c r="C359" s="297" t="s">
        <v>178</v>
      </c>
      <c r="D359" s="294">
        <f>D24</f>
        <v>-26.6</v>
      </c>
      <c r="E359" s="292">
        <v>-11.4</v>
      </c>
      <c r="F359" s="292">
        <v>-38.799999999999997</v>
      </c>
      <c r="G359" s="292">
        <v>-23.3</v>
      </c>
      <c r="H359" s="292">
        <v>-100.1</v>
      </c>
      <c r="I359" s="292">
        <v>-27.9</v>
      </c>
      <c r="J359" s="292">
        <v>-22.6</v>
      </c>
      <c r="K359" s="292">
        <v>-30.7</v>
      </c>
      <c r="L359" s="292">
        <v>-4.3</v>
      </c>
      <c r="M359" s="292">
        <v>-85.5</v>
      </c>
      <c r="N359" s="292">
        <v>-41.5</v>
      </c>
      <c r="O359" s="292">
        <v>-37.700000000000003</v>
      </c>
      <c r="P359" s="292">
        <v>-35.5</v>
      </c>
      <c r="Q359" s="292">
        <v>-18.899999999999999</v>
      </c>
      <c r="R359" s="294">
        <v>-133.6</v>
      </c>
      <c r="S359" s="292">
        <v>-52.4</v>
      </c>
      <c r="T359" s="292">
        <v>-26</v>
      </c>
      <c r="U359" s="292">
        <v>-52</v>
      </c>
      <c r="V359" s="292">
        <v>-19.600000000000001</v>
      </c>
      <c r="W359" s="292">
        <v>-150</v>
      </c>
      <c r="X359" s="294">
        <f t="shared" ref="X359:AA359" si="211">X24</f>
        <v>4.8021610700000004</v>
      </c>
      <c r="Y359" s="294">
        <f t="shared" si="211"/>
        <v>-57.816059699999997</v>
      </c>
      <c r="Z359" s="294">
        <f t="shared" si="211"/>
        <v>-61.145711199999994</v>
      </c>
      <c r="AA359" s="294">
        <f t="shared" si="211"/>
        <v>-22.376066429999998</v>
      </c>
      <c r="AB359" s="321">
        <f>SUM(X359:AA359)</f>
        <v>-136.53567626</v>
      </c>
      <c r="AC359" s="270"/>
      <c r="AD359" s="270"/>
      <c r="AE359" s="270"/>
      <c r="AF359" s="270"/>
      <c r="AG359" s="270"/>
      <c r="AH359" s="270"/>
      <c r="AI359" s="270"/>
      <c r="AJ359" s="270"/>
      <c r="AK359" s="268"/>
      <c r="AL359" s="268"/>
      <c r="AM359" s="268"/>
      <c r="AN359" s="268"/>
      <c r="AO359" s="268"/>
      <c r="AP359" s="268"/>
      <c r="AQ359" s="268"/>
      <c r="AR359" s="268"/>
      <c r="AS359" s="268"/>
      <c r="AT359" s="268"/>
      <c r="AU359" s="268"/>
      <c r="AV359" s="268"/>
      <c r="AW359" s="268"/>
      <c r="AX359" s="268"/>
      <c r="AY359" s="268"/>
      <c r="AZ359" s="268"/>
      <c r="BA359" s="268"/>
      <c r="BB359" s="268"/>
      <c r="BC359" s="268"/>
      <c r="BD359" s="268"/>
      <c r="BE359" s="268"/>
      <c r="BF359" s="268"/>
      <c r="BG359" s="268"/>
    </row>
    <row r="360" spans="1:59" ht="15.75" customHeight="1" x14ac:dyDescent="0.2">
      <c r="A360" s="329"/>
      <c r="B360" s="329"/>
      <c r="C360" s="336"/>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row>
    <row r="361" spans="1:59" ht="15.75" customHeight="1" x14ac:dyDescent="0.2">
      <c r="A361" s="278"/>
      <c r="B361" s="278"/>
      <c r="C361" s="297" t="s">
        <v>268</v>
      </c>
      <c r="D361" s="292">
        <f t="shared" ref="D361:AB361" si="212">D358+D359</f>
        <v>59.082305419999948</v>
      </c>
      <c r="E361" s="292">
        <f t="shared" si="212"/>
        <v>66.570242794998904</v>
      </c>
      <c r="F361" s="292">
        <f t="shared" si="212"/>
        <v>87.032376345001282</v>
      </c>
      <c r="G361" s="292">
        <f t="shared" si="212"/>
        <v>53.184888740000261</v>
      </c>
      <c r="H361" s="292">
        <f t="shared" si="212"/>
        <v>265.86981330000049</v>
      </c>
      <c r="I361" s="292">
        <f t="shared" si="212"/>
        <v>45.045805509999987</v>
      </c>
      <c r="J361" s="292">
        <f t="shared" si="212"/>
        <v>44.860140740000027</v>
      </c>
      <c r="K361" s="292">
        <f t="shared" si="212"/>
        <v>82.449646080000022</v>
      </c>
      <c r="L361" s="292">
        <f t="shared" si="212"/>
        <v>37.670260230000025</v>
      </c>
      <c r="M361" s="292">
        <f t="shared" si="212"/>
        <v>210.02585256000003</v>
      </c>
      <c r="N361" s="292">
        <f t="shared" si="212"/>
        <v>28.664544650000011</v>
      </c>
      <c r="O361" s="292">
        <f t="shared" si="212"/>
        <v>74.108648299999984</v>
      </c>
      <c r="P361" s="292">
        <f t="shared" si="212"/>
        <v>87.951015710000036</v>
      </c>
      <c r="Q361" s="292">
        <f t="shared" si="212"/>
        <v>71.843514600000049</v>
      </c>
      <c r="R361" s="292">
        <f t="shared" si="212"/>
        <v>262.56772325999987</v>
      </c>
      <c r="S361" s="292">
        <f t="shared" si="212"/>
        <v>92.149596559999992</v>
      </c>
      <c r="T361" s="292">
        <f t="shared" si="212"/>
        <v>111.20383098000002</v>
      </c>
      <c r="U361" s="292">
        <f t="shared" si="212"/>
        <v>87.552741690000062</v>
      </c>
      <c r="V361" s="292">
        <f t="shared" si="212"/>
        <v>86.604549370000001</v>
      </c>
      <c r="W361" s="292">
        <f t="shared" si="212"/>
        <v>377.5107185999999</v>
      </c>
      <c r="X361" s="292">
        <f t="shared" si="212"/>
        <v>162.21480730000002</v>
      </c>
      <c r="Y361" s="292">
        <f t="shared" si="212"/>
        <v>64.280041069999982</v>
      </c>
      <c r="Z361" s="292">
        <f t="shared" si="212"/>
        <v>103.37227776999998</v>
      </c>
      <c r="AA361" s="292">
        <f t="shared" si="212"/>
        <v>139.84060599</v>
      </c>
      <c r="AB361" s="292">
        <f t="shared" si="212"/>
        <v>469.7077321299999</v>
      </c>
      <c r="AC361" s="270"/>
      <c r="AD361" s="270"/>
      <c r="AE361" s="270"/>
      <c r="AF361" s="270"/>
      <c r="AG361" s="270"/>
      <c r="AH361" s="270"/>
      <c r="AI361" s="270"/>
      <c r="AJ361" s="270"/>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row>
    <row r="362" spans="1:59" ht="15.75" customHeight="1" x14ac:dyDescent="0.2">
      <c r="A362" s="329"/>
      <c r="B362" s="329"/>
      <c r="C362" s="353" t="s">
        <v>269</v>
      </c>
      <c r="D362" s="354">
        <f t="shared" ref="D362:AB362" si="213">D361/D$5</f>
        <v>0.15255617050700615</v>
      </c>
      <c r="E362" s="354">
        <f t="shared" si="213"/>
        <v>0.15999760604797345</v>
      </c>
      <c r="F362" s="354">
        <f t="shared" si="213"/>
        <v>0.19283432987859306</v>
      </c>
      <c r="G362" s="354">
        <f t="shared" si="213"/>
        <v>0.12579656973669023</v>
      </c>
      <c r="H362" s="354">
        <f t="shared" si="213"/>
        <v>0.15849454409970479</v>
      </c>
      <c r="I362" s="354">
        <f t="shared" si="213"/>
        <v>0.11890274316053094</v>
      </c>
      <c r="J362" s="354">
        <f t="shared" si="213"/>
        <v>0.11592961656002115</v>
      </c>
      <c r="K362" s="354">
        <f t="shared" si="213"/>
        <v>0.1956798750089507</v>
      </c>
      <c r="L362" s="354">
        <f t="shared" si="213"/>
        <v>9.0756346188537007E-2</v>
      </c>
      <c r="M362" s="354">
        <f t="shared" si="213"/>
        <v>0.13108379959318814</v>
      </c>
      <c r="N362" s="354">
        <f t="shared" si="213"/>
        <v>7.0534873309228835E-2</v>
      </c>
      <c r="O362" s="354">
        <f t="shared" si="213"/>
        <v>0.16566700223722033</v>
      </c>
      <c r="P362" s="354">
        <f t="shared" si="213"/>
        <v>0.18551221521588152</v>
      </c>
      <c r="Q362" s="354">
        <f t="shared" si="213"/>
        <v>0.14729872278754927</v>
      </c>
      <c r="R362" s="354">
        <f t="shared" si="213"/>
        <v>0.14462065167157817</v>
      </c>
      <c r="S362" s="354">
        <f t="shared" si="213"/>
        <v>0.1817239026789858</v>
      </c>
      <c r="T362" s="354">
        <f t="shared" si="213"/>
        <v>0.21804759372768096</v>
      </c>
      <c r="U362" s="354">
        <f t="shared" si="213"/>
        <v>0.16096427427662208</v>
      </c>
      <c r="V362" s="354">
        <f t="shared" si="213"/>
        <v>0.14991148929750378</v>
      </c>
      <c r="W362" s="354">
        <f t="shared" si="213"/>
        <v>0.17651288524293257</v>
      </c>
      <c r="X362" s="354">
        <f t="shared" si="213"/>
        <v>0.3065283584656085</v>
      </c>
      <c r="Y362" s="354">
        <f t="shared" si="213"/>
        <v>0.11913186732800649</v>
      </c>
      <c r="Z362" s="354">
        <f t="shared" si="213"/>
        <v>0.1669778851458725</v>
      </c>
      <c r="AA362" s="354">
        <f t="shared" si="213"/>
        <v>0.23944245735358413</v>
      </c>
      <c r="AB362" s="354">
        <f t="shared" si="213"/>
        <v>0.20674901544460647</v>
      </c>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row>
    <row r="363" spans="1:59" ht="15.75" customHeight="1" x14ac:dyDescent="0.2">
      <c r="A363" s="329"/>
      <c r="B363" s="329"/>
      <c r="C363" s="336"/>
      <c r="D363" s="337"/>
      <c r="E363" s="337"/>
      <c r="F363" s="337"/>
      <c r="G363" s="337"/>
      <c r="H363" s="337"/>
      <c r="I363" s="337"/>
      <c r="J363" s="337"/>
      <c r="K363" s="337"/>
      <c r="L363" s="337"/>
      <c r="M363" s="337"/>
      <c r="N363" s="337"/>
      <c r="O363" s="337"/>
      <c r="P363" s="337"/>
      <c r="Q363" s="337"/>
      <c r="R363" s="338"/>
      <c r="S363" s="337"/>
      <c r="T363" s="337"/>
      <c r="U363" s="337"/>
      <c r="V363" s="337"/>
      <c r="W363" s="337"/>
      <c r="X363" s="337"/>
      <c r="Y363" s="337"/>
      <c r="Z363" s="337"/>
      <c r="AA363" s="337"/>
      <c r="AB363" s="337"/>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row>
    <row r="364" spans="1:59" ht="15.75" customHeight="1" x14ac:dyDescent="0.2">
      <c r="A364" s="278"/>
      <c r="B364" s="278"/>
      <c r="C364" s="297" t="s">
        <v>270</v>
      </c>
      <c r="D364" s="292">
        <f t="shared" ref="D364:AB364" si="214">-D357</f>
        <v>46.9</v>
      </c>
      <c r="E364" s="292">
        <f t="shared" si="214"/>
        <v>51.4</v>
      </c>
      <c r="F364" s="292">
        <f t="shared" si="214"/>
        <v>53</v>
      </c>
      <c r="G364" s="292">
        <f t="shared" si="214"/>
        <v>53.5</v>
      </c>
      <c r="H364" s="292">
        <f t="shared" si="214"/>
        <v>204.8</v>
      </c>
      <c r="I364" s="292">
        <f t="shared" si="214"/>
        <v>63.1</v>
      </c>
      <c r="J364" s="292">
        <f t="shared" si="214"/>
        <v>64.2</v>
      </c>
      <c r="K364" s="292">
        <f t="shared" si="214"/>
        <v>66.400000000000006</v>
      </c>
      <c r="L364" s="292">
        <f t="shared" si="214"/>
        <v>67.099999999999994</v>
      </c>
      <c r="M364" s="292">
        <f t="shared" si="214"/>
        <v>260.8</v>
      </c>
      <c r="N364" s="292">
        <f t="shared" si="214"/>
        <v>72</v>
      </c>
      <c r="O364" s="292">
        <f t="shared" si="214"/>
        <v>80.599999999999994</v>
      </c>
      <c r="P364" s="292">
        <f t="shared" si="214"/>
        <v>80.599999999999994</v>
      </c>
      <c r="Q364" s="292">
        <f t="shared" si="214"/>
        <v>81.8</v>
      </c>
      <c r="R364" s="292">
        <f t="shared" si="214"/>
        <v>315</v>
      </c>
      <c r="S364" s="292">
        <f t="shared" si="214"/>
        <v>84.931852460000002</v>
      </c>
      <c r="T364" s="292">
        <f t="shared" si="214"/>
        <v>83.358121650000001</v>
      </c>
      <c r="U364" s="292">
        <f t="shared" si="214"/>
        <v>79.573804019999997</v>
      </c>
      <c r="V364" s="292">
        <f t="shared" si="214"/>
        <v>83.4</v>
      </c>
      <c r="W364" s="292">
        <f t="shared" si="214"/>
        <v>331.26377812999999</v>
      </c>
      <c r="X364" s="292">
        <f t="shared" si="214"/>
        <v>81.599999999999994</v>
      </c>
      <c r="Y364" s="292">
        <f t="shared" si="214"/>
        <v>79.104547170000004</v>
      </c>
      <c r="Z364" s="292">
        <f t="shared" si="214"/>
        <v>83.504519349999995</v>
      </c>
      <c r="AA364" s="292">
        <f t="shared" si="214"/>
        <v>88.500541220000002</v>
      </c>
      <c r="AB364" s="292">
        <f t="shared" si="214"/>
        <v>332.70960774000002</v>
      </c>
      <c r="AC364" s="268"/>
      <c r="AD364" s="268"/>
      <c r="AE364" s="268"/>
      <c r="AF364" s="268"/>
      <c r="AG364" s="268"/>
      <c r="AH364" s="270"/>
      <c r="AI364" s="270"/>
      <c r="AJ364" s="295"/>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F364" s="296"/>
      <c r="BG364" s="296"/>
    </row>
    <row r="365" spans="1:59" ht="15.75" customHeight="1" x14ac:dyDescent="0.2">
      <c r="A365" s="278"/>
      <c r="B365" s="278"/>
      <c r="C365" s="297" t="s">
        <v>271</v>
      </c>
      <c r="D365" s="292">
        <f t="shared" ref="D365:AB365" si="215">-D299</f>
        <v>-50.009441388241335</v>
      </c>
      <c r="E365" s="292">
        <f t="shared" si="215"/>
        <v>-36.287424127748942</v>
      </c>
      <c r="F365" s="292">
        <f t="shared" si="215"/>
        <v>-51.532226950857186</v>
      </c>
      <c r="G365" s="292">
        <f t="shared" si="215"/>
        <v>-89.920173080270132</v>
      </c>
      <c r="H365" s="292">
        <f t="shared" si="215"/>
        <v>-227.7492655471176</v>
      </c>
      <c r="I365" s="292">
        <f t="shared" si="215"/>
        <v>-88.527394840000014</v>
      </c>
      <c r="J365" s="292">
        <f t="shared" si="215"/>
        <v>-91.971033800000001</v>
      </c>
      <c r="K365" s="292">
        <f t="shared" si="215"/>
        <v>-93.885297309999999</v>
      </c>
      <c r="L365" s="292">
        <f t="shared" si="215"/>
        <v>-77.824454180000018</v>
      </c>
      <c r="M365" s="292">
        <f t="shared" si="215"/>
        <v>-352.20818012999996</v>
      </c>
      <c r="N365" s="292">
        <f t="shared" si="215"/>
        <v>-71.586206120000014</v>
      </c>
      <c r="O365" s="292">
        <f t="shared" si="215"/>
        <v>-146.12734001000001</v>
      </c>
      <c r="P365" s="292">
        <f t="shared" si="215"/>
        <v>-33.905232360000007</v>
      </c>
      <c r="Q365" s="292">
        <f t="shared" si="215"/>
        <v>-68.829317899999992</v>
      </c>
      <c r="R365" s="292">
        <f t="shared" si="215"/>
        <v>-320.44809638999993</v>
      </c>
      <c r="S365" s="292">
        <f t="shared" si="215"/>
        <v>-36.61185845</v>
      </c>
      <c r="T365" s="292">
        <f t="shared" si="215"/>
        <v>-54.372901030000001</v>
      </c>
      <c r="U365" s="292">
        <f t="shared" si="215"/>
        <v>-62.982211529999994</v>
      </c>
      <c r="V365" s="292">
        <f t="shared" si="215"/>
        <v>-115.44915522000001</v>
      </c>
      <c r="W365" s="292">
        <f t="shared" si="215"/>
        <v>-269.41612623000003</v>
      </c>
      <c r="X365" s="292">
        <f t="shared" si="215"/>
        <v>-72.263341069999996</v>
      </c>
      <c r="Y365" s="292">
        <f t="shared" si="215"/>
        <v>-70.194073760000009</v>
      </c>
      <c r="Z365" s="292">
        <f t="shared" si="215"/>
        <v>-101.15082339</v>
      </c>
      <c r="AA365" s="292">
        <f t="shared" si="215"/>
        <v>-90.921620750000017</v>
      </c>
      <c r="AB365" s="292">
        <f t="shared" si="215"/>
        <v>-334.52985897000008</v>
      </c>
      <c r="AC365" s="268"/>
      <c r="AD365" s="268"/>
      <c r="AE365" s="268"/>
      <c r="AF365" s="268"/>
      <c r="AG365" s="268"/>
      <c r="AH365" s="270"/>
      <c r="AI365" s="270"/>
      <c r="AJ365" s="295"/>
      <c r="AK365" s="296"/>
      <c r="AL365" s="296"/>
      <c r="AM365" s="296"/>
      <c r="AN365" s="296"/>
      <c r="AO365" s="296"/>
      <c r="AP365" s="296"/>
      <c r="AQ365" s="296"/>
      <c r="AR365" s="296"/>
      <c r="AS365" s="296"/>
      <c r="AT365" s="296"/>
      <c r="AU365" s="296"/>
      <c r="AV365" s="296"/>
      <c r="AW365" s="296"/>
      <c r="AX365" s="296"/>
      <c r="AY365" s="296"/>
      <c r="AZ365" s="296"/>
      <c r="BA365" s="296"/>
      <c r="BB365" s="296"/>
      <c r="BC365" s="296"/>
      <c r="BD365" s="296"/>
      <c r="BE365" s="296"/>
      <c r="BF365" s="296"/>
      <c r="BG365" s="296"/>
    </row>
    <row r="366" spans="1:59" ht="15.75" customHeight="1" x14ac:dyDescent="0.2">
      <c r="A366" s="278"/>
      <c r="B366" s="278"/>
      <c r="C366" s="297" t="s">
        <v>257</v>
      </c>
      <c r="D366" s="292" t="str">
        <f t="shared" ref="D366:H366" si="216">D341</f>
        <v>-</v>
      </c>
      <c r="E366" s="292" t="str">
        <f t="shared" si="216"/>
        <v>-</v>
      </c>
      <c r="F366" s="292" t="str">
        <f t="shared" si="216"/>
        <v>-</v>
      </c>
      <c r="G366" s="292" t="str">
        <f t="shared" si="216"/>
        <v>-</v>
      </c>
      <c r="H366" s="292" t="str">
        <f t="shared" si="216"/>
        <v>-</v>
      </c>
      <c r="I366" s="292">
        <f t="shared" ref="I366:AB366" si="217">-I341</f>
        <v>-0.57099999999999795</v>
      </c>
      <c r="J366" s="292">
        <f t="shared" si="217"/>
        <v>4.0949999999999847</v>
      </c>
      <c r="K366" s="292">
        <f t="shared" si="217"/>
        <v>-27.937999999999988</v>
      </c>
      <c r="L366" s="292">
        <f t="shared" si="217"/>
        <v>43.326999999999998</v>
      </c>
      <c r="M366" s="292">
        <f t="shared" si="217"/>
        <v>18.912999999999997</v>
      </c>
      <c r="N366" s="292">
        <f t="shared" si="217"/>
        <v>-6.8369999999999891</v>
      </c>
      <c r="O366" s="292">
        <f t="shared" si="217"/>
        <v>68.929999999999993</v>
      </c>
      <c r="P366" s="292">
        <f t="shared" si="217"/>
        <v>-53.759</v>
      </c>
      <c r="Q366" s="292">
        <f t="shared" si="217"/>
        <v>-14.910000000000011</v>
      </c>
      <c r="R366" s="292">
        <f t="shared" si="217"/>
        <v>-6.5760000000000076</v>
      </c>
      <c r="S366" s="292">
        <f t="shared" si="217"/>
        <v>-173.72899999999993</v>
      </c>
      <c r="T366" s="292">
        <f t="shared" si="217"/>
        <v>-31.464000000000055</v>
      </c>
      <c r="U366" s="292">
        <f t="shared" si="217"/>
        <v>-26.674999999999955</v>
      </c>
      <c r="V366" s="292">
        <f t="shared" si="217"/>
        <v>58.13900000000001</v>
      </c>
      <c r="W366" s="292">
        <f t="shared" si="217"/>
        <v>-173.72899999999993</v>
      </c>
      <c r="X366" s="292">
        <f t="shared" si="217"/>
        <v>-29.859000000000037</v>
      </c>
      <c r="Y366" s="292">
        <f t="shared" si="217"/>
        <v>-19.326999999999998</v>
      </c>
      <c r="Z366" s="292">
        <f t="shared" si="217"/>
        <v>-27.089999999999975</v>
      </c>
      <c r="AA366" s="292">
        <f t="shared" si="217"/>
        <v>25.894000000000005</v>
      </c>
      <c r="AB366" s="292">
        <f t="shared" si="217"/>
        <v>-50.382000000000005</v>
      </c>
      <c r="AC366" s="268"/>
      <c r="AD366" s="268"/>
      <c r="AE366" s="268"/>
      <c r="AF366" s="268"/>
      <c r="AG366" s="268"/>
      <c r="AH366" s="270"/>
      <c r="AI366" s="270"/>
      <c r="AJ366" s="295"/>
      <c r="AK366" s="296"/>
      <c r="AL366" s="296"/>
      <c r="AM366" s="296"/>
      <c r="AN366" s="296"/>
      <c r="AO366" s="296"/>
      <c r="AP366" s="296"/>
      <c r="AQ366" s="296"/>
      <c r="AR366" s="296"/>
      <c r="AS366" s="296"/>
      <c r="AT366" s="296"/>
      <c r="AU366" s="296"/>
      <c r="AV366" s="296"/>
      <c r="AW366" s="296"/>
      <c r="AX366" s="296"/>
      <c r="AY366" s="296"/>
      <c r="AZ366" s="296"/>
      <c r="BA366" s="296"/>
      <c r="BB366" s="296"/>
      <c r="BC366" s="296"/>
      <c r="BD366" s="296"/>
      <c r="BE366" s="296"/>
      <c r="BF366" s="296"/>
      <c r="BG366" s="296"/>
    </row>
    <row r="367" spans="1:59" ht="15.75" customHeight="1" x14ac:dyDescent="0.2">
      <c r="A367" s="278"/>
      <c r="B367" s="278"/>
      <c r="C367" s="297"/>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68"/>
      <c r="AD367" s="268"/>
      <c r="AE367" s="268"/>
      <c r="AF367" s="268"/>
      <c r="AG367" s="268"/>
      <c r="AH367" s="270"/>
      <c r="AI367" s="270"/>
      <c r="AJ367" s="295"/>
      <c r="AK367" s="296"/>
      <c r="AL367" s="296"/>
      <c r="AM367" s="296"/>
      <c r="AN367" s="296"/>
      <c r="AO367" s="296"/>
      <c r="AP367" s="296"/>
      <c r="AQ367" s="296"/>
      <c r="AR367" s="296"/>
      <c r="AS367" s="296"/>
      <c r="AT367" s="296"/>
      <c r="AU367" s="296"/>
      <c r="AV367" s="296"/>
      <c r="AW367" s="296"/>
      <c r="AX367" s="296"/>
      <c r="AY367" s="296"/>
      <c r="AZ367" s="296"/>
      <c r="BA367" s="296"/>
      <c r="BB367" s="296"/>
      <c r="BC367" s="296"/>
      <c r="BD367" s="296"/>
      <c r="BE367" s="296"/>
      <c r="BF367" s="296"/>
      <c r="BG367" s="296"/>
    </row>
    <row r="368" spans="1:59" ht="15.75" customHeight="1" x14ac:dyDescent="0.2">
      <c r="A368" s="278"/>
      <c r="B368" s="278"/>
      <c r="C368" s="297" t="s">
        <v>272</v>
      </c>
      <c r="D368" s="292" t="s">
        <v>146</v>
      </c>
      <c r="E368" s="292" t="s">
        <v>146</v>
      </c>
      <c r="F368" s="292" t="s">
        <v>146</v>
      </c>
      <c r="G368" s="292" t="s">
        <v>146</v>
      </c>
      <c r="H368" s="292" t="s">
        <v>146</v>
      </c>
      <c r="I368" s="292">
        <f t="shared" ref="I368:AB368" si="218">I361+I364+I365+I366</f>
        <v>19.047410669999977</v>
      </c>
      <c r="J368" s="292">
        <f t="shared" si="218"/>
        <v>21.184106940000021</v>
      </c>
      <c r="K368" s="292">
        <f t="shared" si="218"/>
        <v>27.026348770000027</v>
      </c>
      <c r="L368" s="292">
        <f t="shared" si="218"/>
        <v>70.27280605</v>
      </c>
      <c r="M368" s="292">
        <f t="shared" si="218"/>
        <v>137.5306724300001</v>
      </c>
      <c r="N368" s="292">
        <f t="shared" si="218"/>
        <v>22.241338530000007</v>
      </c>
      <c r="O368" s="292">
        <f t="shared" si="218"/>
        <v>77.511308289999974</v>
      </c>
      <c r="P368" s="292">
        <f t="shared" si="218"/>
        <v>80.886783350000016</v>
      </c>
      <c r="Q368" s="292">
        <f t="shared" si="218"/>
        <v>69.904196700000057</v>
      </c>
      <c r="R368" s="292">
        <f t="shared" si="218"/>
        <v>250.54362686999991</v>
      </c>
      <c r="S368" s="292">
        <f t="shared" si="218"/>
        <v>-33.259409429999948</v>
      </c>
      <c r="T368" s="292">
        <f t="shared" si="218"/>
        <v>108.72505159999994</v>
      </c>
      <c r="U368" s="292">
        <f t="shared" si="218"/>
        <v>77.469334180000118</v>
      </c>
      <c r="V368" s="292">
        <f t="shared" si="218"/>
        <v>112.69439415000001</v>
      </c>
      <c r="W368" s="292">
        <f t="shared" si="218"/>
        <v>265.62937049999994</v>
      </c>
      <c r="X368" s="292">
        <f t="shared" si="218"/>
        <v>141.69246622999998</v>
      </c>
      <c r="Y368" s="292">
        <f t="shared" si="218"/>
        <v>53.863514479999964</v>
      </c>
      <c r="Z368" s="292">
        <f t="shared" si="218"/>
        <v>58.635973730000018</v>
      </c>
      <c r="AA368" s="292">
        <f t="shared" si="218"/>
        <v>163.31352645999999</v>
      </c>
      <c r="AB368" s="292">
        <f t="shared" si="218"/>
        <v>417.5054808999999</v>
      </c>
      <c r="AC368" s="268"/>
      <c r="AD368" s="268"/>
      <c r="AE368" s="268"/>
      <c r="AF368" s="268"/>
      <c r="AG368" s="268"/>
      <c r="AH368" s="270"/>
      <c r="AI368" s="270"/>
      <c r="AJ368" s="295"/>
      <c r="AK368" s="296"/>
      <c r="AL368" s="296"/>
      <c r="AM368" s="296"/>
      <c r="AN368" s="296"/>
      <c r="AO368" s="296"/>
      <c r="AP368" s="296"/>
      <c r="AQ368" s="296"/>
      <c r="AR368" s="296"/>
      <c r="AS368" s="296"/>
      <c r="AT368" s="296"/>
      <c r="AU368" s="296"/>
      <c r="AV368" s="296"/>
      <c r="AW368" s="296"/>
      <c r="AX368" s="296"/>
      <c r="AY368" s="296"/>
      <c r="AZ368" s="296"/>
      <c r="BA368" s="296"/>
      <c r="BB368" s="296"/>
      <c r="BC368" s="296"/>
      <c r="BD368" s="296"/>
      <c r="BE368" s="296"/>
      <c r="BF368" s="296"/>
      <c r="BG368" s="296"/>
    </row>
    <row r="369" spans="1:59" ht="15.75" customHeight="1" x14ac:dyDescent="0.2">
      <c r="A369" s="268"/>
      <c r="B369" s="268"/>
      <c r="C369" s="314" t="s">
        <v>193</v>
      </c>
      <c r="D369" s="355"/>
      <c r="E369" s="355"/>
      <c r="F369" s="355"/>
      <c r="G369" s="355"/>
      <c r="H369" s="355"/>
      <c r="I369" s="355"/>
      <c r="J369" s="355"/>
      <c r="K369" s="355"/>
      <c r="L369" s="355"/>
      <c r="M369" s="355"/>
      <c r="N369" s="355"/>
      <c r="O369" s="355"/>
      <c r="P369" s="355"/>
      <c r="Q369" s="355"/>
      <c r="R369" s="355"/>
      <c r="S369" s="355"/>
      <c r="T369" s="355"/>
      <c r="U369" s="355"/>
      <c r="V369" s="355"/>
      <c r="W369" s="355"/>
      <c r="X369" s="355"/>
      <c r="Y369" s="355"/>
      <c r="Z369" s="355"/>
      <c r="AA369" s="355"/>
      <c r="AB369" s="355"/>
      <c r="AC369" s="268"/>
      <c r="AD369" s="268"/>
      <c r="AE369" s="268"/>
      <c r="AF369" s="268"/>
      <c r="AG369" s="268"/>
      <c r="AH369" s="276"/>
      <c r="AI369" s="276"/>
      <c r="AJ369" s="276"/>
      <c r="AK369" s="268"/>
      <c r="AL369" s="268"/>
      <c r="AM369" s="268"/>
      <c r="AN369" s="268"/>
      <c r="AO369" s="268"/>
      <c r="AP369" s="268"/>
      <c r="AQ369" s="268"/>
      <c r="AR369" s="268"/>
      <c r="AS369" s="268"/>
      <c r="AT369" s="268"/>
      <c r="AU369" s="268"/>
      <c r="AV369" s="268"/>
      <c r="AW369" s="268"/>
      <c r="AX369" s="268"/>
      <c r="AY369" s="268"/>
      <c r="AZ369" s="268"/>
      <c r="BA369" s="268"/>
      <c r="BB369" s="268"/>
      <c r="BC369" s="268"/>
      <c r="BD369" s="268"/>
      <c r="BE369" s="268"/>
      <c r="BF369" s="268"/>
      <c r="BG369" s="268"/>
    </row>
    <row r="370" spans="1:59" ht="15.75" customHeight="1" x14ac:dyDescent="0.2">
      <c r="A370" s="162"/>
      <c r="B370" s="162"/>
      <c r="C370" s="206"/>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c r="BD370" s="268"/>
      <c r="BE370" s="268"/>
      <c r="BF370" s="268"/>
      <c r="BG370" s="268"/>
    </row>
    <row r="371" spans="1:59" ht="15.75" customHeight="1" x14ac:dyDescent="0.2">
      <c r="A371" s="289"/>
      <c r="B371" s="272" t="s">
        <v>273</v>
      </c>
      <c r="C371" s="272"/>
      <c r="D371" s="356" t="s">
        <v>274</v>
      </c>
      <c r="E371" s="356" t="s">
        <v>275</v>
      </c>
      <c r="F371" s="356" t="s">
        <v>276</v>
      </c>
      <c r="G371" s="356" t="s">
        <v>277</v>
      </c>
      <c r="H371" s="356">
        <v>2018</v>
      </c>
      <c r="I371" s="356" t="s">
        <v>278</v>
      </c>
      <c r="J371" s="356" t="s">
        <v>279</v>
      </c>
      <c r="K371" s="356" t="s">
        <v>280</v>
      </c>
      <c r="L371" s="356" t="s">
        <v>281</v>
      </c>
      <c r="M371" s="356">
        <v>2019</v>
      </c>
      <c r="N371" s="356" t="s">
        <v>282</v>
      </c>
      <c r="O371" s="356" t="s">
        <v>283</v>
      </c>
      <c r="P371" s="356" t="s">
        <v>284</v>
      </c>
      <c r="Q371" s="356" t="s">
        <v>285</v>
      </c>
      <c r="R371" s="356">
        <v>2020</v>
      </c>
      <c r="S371" s="356" t="s">
        <v>286</v>
      </c>
      <c r="T371" s="356" t="s">
        <v>287</v>
      </c>
      <c r="U371" s="356" t="s">
        <v>288</v>
      </c>
      <c r="V371" s="356" t="s">
        <v>289</v>
      </c>
      <c r="W371" s="356">
        <v>2021</v>
      </c>
      <c r="X371" s="356" t="s">
        <v>290</v>
      </c>
      <c r="Y371" s="356" t="s">
        <v>291</v>
      </c>
      <c r="Z371" s="356" t="s">
        <v>292</v>
      </c>
      <c r="AA371" s="356" t="s">
        <v>293</v>
      </c>
      <c r="AB371" s="356">
        <v>2022</v>
      </c>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89"/>
      <c r="AY371" s="289"/>
      <c r="AZ371" s="289"/>
      <c r="BA371" s="289"/>
      <c r="BB371" s="289"/>
      <c r="BC371" s="289"/>
      <c r="BD371" s="289"/>
      <c r="BE371" s="289"/>
      <c r="BF371" s="289"/>
      <c r="BG371" s="289"/>
    </row>
    <row r="372" spans="1:59" ht="15.75" customHeight="1" x14ac:dyDescent="0.2">
      <c r="A372" s="289"/>
      <c r="B372" s="289"/>
      <c r="C372" s="357" t="s">
        <v>297</v>
      </c>
      <c r="D372" s="358">
        <f t="shared" ref="D372:E372" si="219">SUM(D373:D379)</f>
        <v>745193</v>
      </c>
      <c r="E372" s="358">
        <f t="shared" si="219"/>
        <v>623829</v>
      </c>
      <c r="F372" s="358">
        <v>711759</v>
      </c>
      <c r="G372" s="358">
        <f>SUM(G373:G379)</f>
        <v>684847</v>
      </c>
      <c r="H372" s="358">
        <f t="shared" ref="H372:AB372" si="220">SUM(H373:H380)</f>
        <v>684847</v>
      </c>
      <c r="I372" s="358">
        <f t="shared" si="220"/>
        <v>664788</v>
      </c>
      <c r="J372" s="358">
        <f t="shared" si="220"/>
        <v>588853</v>
      </c>
      <c r="K372" s="358">
        <f t="shared" si="220"/>
        <v>711759</v>
      </c>
      <c r="L372" s="358">
        <f t="shared" si="220"/>
        <v>685255</v>
      </c>
      <c r="M372" s="358">
        <f t="shared" si="220"/>
        <v>685255</v>
      </c>
      <c r="N372" s="358">
        <f t="shared" si="220"/>
        <v>881465</v>
      </c>
      <c r="O372" s="358">
        <f t="shared" si="220"/>
        <v>940897</v>
      </c>
      <c r="P372" s="358">
        <f t="shared" si="220"/>
        <v>1064982</v>
      </c>
      <c r="Q372" s="358">
        <f t="shared" si="220"/>
        <v>925735</v>
      </c>
      <c r="R372" s="358">
        <f t="shared" si="220"/>
        <v>925735</v>
      </c>
      <c r="S372" s="358">
        <f t="shared" si="220"/>
        <v>915026</v>
      </c>
      <c r="T372" s="358">
        <f t="shared" si="220"/>
        <v>694827</v>
      </c>
      <c r="U372" s="358">
        <f t="shared" si="220"/>
        <v>758616</v>
      </c>
      <c r="V372" s="358">
        <f t="shared" si="220"/>
        <v>915026</v>
      </c>
      <c r="W372" s="358">
        <f t="shared" si="220"/>
        <v>915026</v>
      </c>
      <c r="X372" s="358">
        <f t="shared" si="220"/>
        <v>855432</v>
      </c>
      <c r="Y372" s="358">
        <f t="shared" si="220"/>
        <v>716830</v>
      </c>
      <c r="Z372" s="358">
        <f t="shared" si="220"/>
        <v>927545</v>
      </c>
      <c r="AA372" s="358">
        <f t="shared" si="220"/>
        <v>872083</v>
      </c>
      <c r="AB372" s="358">
        <f t="shared" si="220"/>
        <v>872083</v>
      </c>
      <c r="AC372" s="289"/>
      <c r="AD372" s="289"/>
      <c r="AE372" s="289"/>
      <c r="AF372" s="289"/>
      <c r="AG372" s="289"/>
      <c r="AH372" s="289"/>
      <c r="AI372" s="289"/>
      <c r="AJ372" s="289"/>
      <c r="AK372" s="289"/>
      <c r="AL372" s="289"/>
      <c r="AM372" s="289"/>
      <c r="AN372" s="289"/>
      <c r="AO372" s="289"/>
      <c r="AP372" s="289"/>
      <c r="AQ372" s="289"/>
      <c r="AR372" s="289"/>
      <c r="AS372" s="289"/>
      <c r="AT372" s="289"/>
      <c r="AU372" s="289"/>
      <c r="AV372" s="289"/>
      <c r="AW372" s="289"/>
      <c r="AX372" s="289"/>
      <c r="AY372" s="289"/>
      <c r="AZ372" s="289"/>
      <c r="BA372" s="289"/>
      <c r="BB372" s="289"/>
      <c r="BC372" s="289"/>
      <c r="BD372" s="289"/>
      <c r="BE372" s="289"/>
      <c r="BF372" s="289"/>
      <c r="BG372" s="289"/>
    </row>
    <row r="373" spans="1:59" ht="15.75" customHeight="1" x14ac:dyDescent="0.2">
      <c r="A373" s="289"/>
      <c r="B373" s="268"/>
      <c r="C373" s="307" t="s">
        <v>298</v>
      </c>
      <c r="D373" s="359">
        <v>377587</v>
      </c>
      <c r="E373" s="359">
        <v>213190</v>
      </c>
      <c r="F373" s="359">
        <v>146188</v>
      </c>
      <c r="G373" s="359">
        <v>154699</v>
      </c>
      <c r="H373" s="359">
        <f t="shared" ref="H373:H377" si="221">G373</f>
        <v>154699</v>
      </c>
      <c r="I373" s="359">
        <v>152540</v>
      </c>
      <c r="J373" s="359">
        <v>209510</v>
      </c>
      <c r="K373" s="359">
        <v>146188</v>
      </c>
      <c r="L373" s="359">
        <v>256542</v>
      </c>
      <c r="M373" s="359">
        <f t="shared" ref="M373:M380" si="222">L373</f>
        <v>256542</v>
      </c>
      <c r="N373" s="359">
        <v>503255</v>
      </c>
      <c r="O373" s="359">
        <v>533045</v>
      </c>
      <c r="P373" s="359">
        <v>533656</v>
      </c>
      <c r="Q373" s="359">
        <v>305241</v>
      </c>
      <c r="R373" s="359">
        <f t="shared" ref="R373:R380" si="223">Q373</f>
        <v>305241</v>
      </c>
      <c r="S373" s="359">
        <v>373695</v>
      </c>
      <c r="T373" s="359">
        <v>201999</v>
      </c>
      <c r="U373" s="359">
        <v>208200</v>
      </c>
      <c r="V373" s="359">
        <v>373695</v>
      </c>
      <c r="W373" s="359">
        <f t="shared" ref="W373:W380" si="224">V373</f>
        <v>373695</v>
      </c>
      <c r="X373" s="359">
        <v>343402</v>
      </c>
      <c r="Y373" s="359">
        <v>151091</v>
      </c>
      <c r="Z373" s="359">
        <v>339924</v>
      </c>
      <c r="AA373" s="359">
        <v>261395</v>
      </c>
      <c r="AB373" s="359">
        <f t="shared" ref="AB373:AB380" si="225">AA373</f>
        <v>261395</v>
      </c>
      <c r="AC373" s="289"/>
      <c r="AD373" s="289"/>
      <c r="AE373" s="289"/>
      <c r="AF373" s="289"/>
      <c r="AG373" s="289"/>
      <c r="AH373" s="289"/>
      <c r="AI373" s="289"/>
      <c r="AJ373" s="289"/>
      <c r="AK373" s="289"/>
      <c r="AL373" s="289"/>
      <c r="AM373" s="289"/>
      <c r="AN373" s="289"/>
      <c r="AO373" s="289"/>
      <c r="AP373" s="289"/>
      <c r="AQ373" s="289"/>
      <c r="AR373" s="289"/>
      <c r="AS373" s="289"/>
      <c r="AT373" s="289"/>
      <c r="AU373" s="289"/>
      <c r="AV373" s="289"/>
      <c r="AW373" s="289"/>
      <c r="AX373" s="289"/>
      <c r="AY373" s="289"/>
      <c r="AZ373" s="289"/>
      <c r="BA373" s="289"/>
      <c r="BB373" s="289"/>
      <c r="BC373" s="289"/>
      <c r="BD373" s="289"/>
      <c r="BE373" s="289"/>
      <c r="BF373" s="289"/>
      <c r="BG373" s="289"/>
    </row>
    <row r="374" spans="1:59" ht="15.75" customHeight="1" x14ac:dyDescent="0.2">
      <c r="A374" s="289"/>
      <c r="B374" s="268"/>
      <c r="C374" s="307" t="s">
        <v>299</v>
      </c>
      <c r="D374" s="359">
        <v>21472</v>
      </c>
      <c r="E374" s="359">
        <v>46440</v>
      </c>
      <c r="F374" s="359">
        <v>95569</v>
      </c>
      <c r="G374" s="359">
        <v>112794</v>
      </c>
      <c r="H374" s="359">
        <f t="shared" si="221"/>
        <v>112794</v>
      </c>
      <c r="I374" s="359">
        <v>114384</v>
      </c>
      <c r="J374" s="359">
        <v>0</v>
      </c>
      <c r="K374" s="359">
        <v>95569</v>
      </c>
      <c r="L374" s="359">
        <v>56740</v>
      </c>
      <c r="M374" s="359">
        <f t="shared" si="222"/>
        <v>56740</v>
      </c>
      <c r="N374" s="359">
        <v>0</v>
      </c>
      <c r="O374" s="359">
        <v>0</v>
      </c>
      <c r="P374" s="359">
        <v>101589</v>
      </c>
      <c r="Q374" s="359">
        <v>205735</v>
      </c>
      <c r="R374" s="359">
        <f t="shared" si="223"/>
        <v>205735</v>
      </c>
      <c r="S374" s="359">
        <v>0</v>
      </c>
      <c r="T374" s="359">
        <v>0</v>
      </c>
      <c r="U374" s="359">
        <v>0</v>
      </c>
      <c r="V374" s="359">
        <v>0</v>
      </c>
      <c r="W374" s="359">
        <f t="shared" si="224"/>
        <v>0</v>
      </c>
      <c r="X374" s="359">
        <v>0</v>
      </c>
      <c r="Y374" s="359">
        <v>0</v>
      </c>
      <c r="Z374" s="359">
        <v>0</v>
      </c>
      <c r="AA374" s="359">
        <v>0</v>
      </c>
      <c r="AB374" s="359">
        <f t="shared" si="225"/>
        <v>0</v>
      </c>
      <c r="AC374" s="289"/>
      <c r="AD374" s="289"/>
      <c r="AE374" s="289"/>
      <c r="AF374" s="289"/>
      <c r="AG374" s="289"/>
      <c r="AH374" s="289"/>
      <c r="AI374" s="289"/>
      <c r="AJ374" s="289"/>
      <c r="AK374" s="289"/>
      <c r="AL374" s="289"/>
      <c r="AM374" s="289"/>
      <c r="AN374" s="289"/>
      <c r="AO374" s="289"/>
      <c r="AP374" s="289"/>
      <c r="AQ374" s="289"/>
      <c r="AR374" s="289"/>
      <c r="AS374" s="289"/>
      <c r="AT374" s="289"/>
      <c r="AU374" s="289"/>
      <c r="AV374" s="289"/>
      <c r="AW374" s="289"/>
      <c r="AX374" s="289"/>
      <c r="AY374" s="289"/>
      <c r="AZ374" s="289"/>
      <c r="BA374" s="289"/>
      <c r="BB374" s="289"/>
      <c r="BC374" s="289"/>
      <c r="BD374" s="289"/>
      <c r="BE374" s="289"/>
      <c r="BF374" s="289"/>
      <c r="BG374" s="289"/>
    </row>
    <row r="375" spans="1:59" ht="15.75" customHeight="1" x14ac:dyDescent="0.2">
      <c r="A375" s="289"/>
      <c r="B375" s="268"/>
      <c r="C375" s="307" t="s">
        <v>259</v>
      </c>
      <c r="D375" s="359">
        <v>107980</v>
      </c>
      <c r="E375" s="359">
        <v>114933</v>
      </c>
      <c r="F375" s="359">
        <v>75246</v>
      </c>
      <c r="G375" s="359">
        <v>61707</v>
      </c>
      <c r="H375" s="359">
        <f t="shared" si="221"/>
        <v>61707</v>
      </c>
      <c r="I375" s="359">
        <v>57700</v>
      </c>
      <c r="J375" s="359">
        <v>48950</v>
      </c>
      <c r="K375" s="359">
        <v>75246</v>
      </c>
      <c r="L375" s="359">
        <v>38602</v>
      </c>
      <c r="M375" s="359">
        <f t="shared" si="222"/>
        <v>38602</v>
      </c>
      <c r="N375" s="359">
        <v>36088</v>
      </c>
      <c r="O375" s="359">
        <v>31215</v>
      </c>
      <c r="P375" s="359">
        <v>42572</v>
      </c>
      <c r="Q375" s="359">
        <v>35349</v>
      </c>
      <c r="R375" s="359">
        <f t="shared" si="223"/>
        <v>35349</v>
      </c>
      <c r="S375" s="359">
        <v>273972</v>
      </c>
      <c r="T375" s="359">
        <v>248026</v>
      </c>
      <c r="U375" s="359">
        <v>263573</v>
      </c>
      <c r="V375" s="359">
        <v>273972</v>
      </c>
      <c r="W375" s="359">
        <f t="shared" si="224"/>
        <v>273972</v>
      </c>
      <c r="X375" s="359">
        <v>242738</v>
      </c>
      <c r="Y375" s="359">
        <v>253665</v>
      </c>
      <c r="Z375" s="359">
        <v>289001</v>
      </c>
      <c r="AA375" s="359">
        <v>284556</v>
      </c>
      <c r="AB375" s="359">
        <f t="shared" si="225"/>
        <v>284556</v>
      </c>
      <c r="AC375" s="289"/>
      <c r="AD375" s="289"/>
      <c r="AE375" s="289"/>
      <c r="AF375" s="289"/>
      <c r="AG375" s="289"/>
      <c r="AH375" s="289"/>
      <c r="AI375" s="289"/>
      <c r="AJ375" s="289"/>
      <c r="AK375" s="289"/>
      <c r="AL375" s="289"/>
      <c r="AM375" s="289"/>
      <c r="AN375" s="289"/>
      <c r="AO375" s="289"/>
      <c r="AP375" s="289"/>
      <c r="AQ375" s="289"/>
      <c r="AR375" s="289"/>
      <c r="AS375" s="289"/>
      <c r="AT375" s="289"/>
      <c r="AU375" s="289"/>
      <c r="AV375" s="289"/>
      <c r="AW375" s="289"/>
      <c r="AX375" s="289"/>
      <c r="AY375" s="289"/>
      <c r="AZ375" s="289"/>
      <c r="BA375" s="289"/>
      <c r="BB375" s="289"/>
      <c r="BC375" s="289"/>
      <c r="BD375" s="289"/>
      <c r="BE375" s="289"/>
      <c r="BF375" s="289"/>
      <c r="BG375" s="289"/>
    </row>
    <row r="376" spans="1:59" ht="15.75" customHeight="1" x14ac:dyDescent="0.2">
      <c r="A376" s="289"/>
      <c r="B376" s="268"/>
      <c r="C376" s="307" t="s">
        <v>261</v>
      </c>
      <c r="D376" s="359">
        <v>50090</v>
      </c>
      <c r="E376" s="359">
        <v>53696</v>
      </c>
      <c r="F376" s="359">
        <v>52403</v>
      </c>
      <c r="G376" s="359">
        <v>42138</v>
      </c>
      <c r="H376" s="359">
        <f t="shared" si="221"/>
        <v>42138</v>
      </c>
      <c r="I376" s="359">
        <v>42006</v>
      </c>
      <c r="J376" s="359">
        <v>43779</v>
      </c>
      <c r="K376" s="359">
        <v>52403</v>
      </c>
      <c r="L376" s="359">
        <v>42351</v>
      </c>
      <c r="M376" s="359">
        <f t="shared" si="222"/>
        <v>42351</v>
      </c>
      <c r="N376" s="359">
        <v>50422</v>
      </c>
      <c r="O376" s="359">
        <v>51896</v>
      </c>
      <c r="P376" s="359">
        <v>57947</v>
      </c>
      <c r="Q376" s="359">
        <v>61134</v>
      </c>
      <c r="R376" s="359">
        <f t="shared" si="223"/>
        <v>61134</v>
      </c>
      <c r="S376" s="359">
        <v>68626</v>
      </c>
      <c r="T376" s="359">
        <v>63318</v>
      </c>
      <c r="U376" s="359">
        <v>74926</v>
      </c>
      <c r="V376" s="359">
        <v>68626</v>
      </c>
      <c r="W376" s="359">
        <f t="shared" si="224"/>
        <v>68626</v>
      </c>
      <c r="X376" s="359">
        <v>69207</v>
      </c>
      <c r="Y376" s="359">
        <v>82992</v>
      </c>
      <c r="Z376" s="359">
        <v>87592</v>
      </c>
      <c r="AA376" s="359">
        <v>91720</v>
      </c>
      <c r="AB376" s="359">
        <f t="shared" si="225"/>
        <v>91720</v>
      </c>
      <c r="AC376" s="289"/>
      <c r="AD376" s="289"/>
      <c r="AE376" s="289"/>
      <c r="AF376" s="289"/>
      <c r="AG376" s="289"/>
      <c r="AH376" s="289"/>
      <c r="AI376" s="289"/>
      <c r="AJ376" s="289"/>
      <c r="AK376" s="289"/>
      <c r="AL376" s="289"/>
      <c r="AM376" s="289"/>
      <c r="AN376" s="289"/>
      <c r="AO376" s="289"/>
      <c r="AP376" s="289"/>
      <c r="AQ376" s="289"/>
      <c r="AR376" s="289"/>
      <c r="AS376" s="289"/>
      <c r="AT376" s="289"/>
      <c r="AU376" s="289"/>
      <c r="AV376" s="289"/>
      <c r="AW376" s="289"/>
      <c r="AX376" s="289"/>
      <c r="AY376" s="289"/>
      <c r="AZ376" s="289"/>
      <c r="BA376" s="289"/>
      <c r="BB376" s="289"/>
      <c r="BC376" s="289"/>
      <c r="BD376" s="289"/>
      <c r="BE376" s="289"/>
      <c r="BF376" s="289"/>
      <c r="BG376" s="289"/>
    </row>
    <row r="377" spans="1:59" ht="15.75" customHeight="1" x14ac:dyDescent="0.2">
      <c r="A377" s="289"/>
      <c r="B377" s="268"/>
      <c r="C377" s="307" t="s">
        <v>300</v>
      </c>
      <c r="D377" s="359">
        <v>0</v>
      </c>
      <c r="E377" s="359">
        <v>0</v>
      </c>
      <c r="F377" s="359">
        <v>81187</v>
      </c>
      <c r="G377" s="359">
        <v>90218</v>
      </c>
      <c r="H377" s="359">
        <f t="shared" si="221"/>
        <v>90218</v>
      </c>
      <c r="I377" s="359">
        <v>87035</v>
      </c>
      <c r="J377" s="359">
        <v>82020</v>
      </c>
      <c r="K377" s="359">
        <v>81187</v>
      </c>
      <c r="L377" s="359">
        <v>100956</v>
      </c>
      <c r="M377" s="359">
        <f t="shared" si="222"/>
        <v>100956</v>
      </c>
      <c r="N377" s="359">
        <v>96871</v>
      </c>
      <c r="O377" s="359">
        <v>105407</v>
      </c>
      <c r="P377" s="359">
        <v>115014</v>
      </c>
      <c r="Q377" s="359">
        <v>116815</v>
      </c>
      <c r="R377" s="359">
        <f t="shared" si="223"/>
        <v>116815</v>
      </c>
      <c r="S377" s="359">
        <v>141635</v>
      </c>
      <c r="T377" s="359">
        <v>135239</v>
      </c>
      <c r="U377" s="359">
        <v>151405</v>
      </c>
      <c r="V377" s="359">
        <v>141635</v>
      </c>
      <c r="W377" s="359">
        <f t="shared" si="224"/>
        <v>141635</v>
      </c>
      <c r="X377" s="359">
        <v>137526</v>
      </c>
      <c r="Y377" s="359">
        <v>66003</v>
      </c>
      <c r="Z377" s="359">
        <v>64990</v>
      </c>
      <c r="AA377" s="359">
        <v>89907</v>
      </c>
      <c r="AB377" s="359">
        <f t="shared" si="225"/>
        <v>89907</v>
      </c>
      <c r="AC377" s="289"/>
      <c r="AD377" s="289"/>
      <c r="AE377" s="289"/>
      <c r="AF377" s="289"/>
      <c r="AG377" s="289"/>
      <c r="AH377" s="289"/>
      <c r="AI377" s="289"/>
      <c r="AJ377" s="289"/>
      <c r="AK377" s="289"/>
      <c r="AL377" s="289"/>
      <c r="AM377" s="289"/>
      <c r="AN377" s="289"/>
      <c r="AO377" s="289"/>
      <c r="AP377" s="289"/>
      <c r="AQ377" s="289"/>
      <c r="AR377" s="289"/>
      <c r="AS377" s="289"/>
      <c r="AT377" s="289"/>
      <c r="AU377" s="289"/>
      <c r="AV377" s="289"/>
      <c r="AW377" s="289"/>
      <c r="AX377" s="289"/>
      <c r="AY377" s="289"/>
      <c r="AZ377" s="289"/>
      <c r="BA377" s="289"/>
      <c r="BB377" s="289"/>
      <c r="BC377" s="289"/>
      <c r="BD377" s="289"/>
      <c r="BE377" s="289"/>
      <c r="BF377" s="289"/>
      <c r="BG377" s="289"/>
    </row>
    <row r="378" spans="1:59" ht="15.75" customHeight="1" x14ac:dyDescent="0.2">
      <c r="A378" s="289"/>
      <c r="B378" s="268"/>
      <c r="C378" s="307" t="s">
        <v>301</v>
      </c>
      <c r="D378" s="359">
        <v>0</v>
      </c>
      <c r="E378" s="359">
        <v>0</v>
      </c>
      <c r="F378" s="359">
        <v>0</v>
      </c>
      <c r="G378" s="359">
        <v>0</v>
      </c>
      <c r="H378" s="359">
        <v>0</v>
      </c>
      <c r="I378" s="359">
        <v>0</v>
      </c>
      <c r="J378" s="359">
        <v>0</v>
      </c>
      <c r="K378" s="359">
        <v>0</v>
      </c>
      <c r="L378" s="359">
        <v>0</v>
      </c>
      <c r="M378" s="359">
        <f t="shared" si="222"/>
        <v>0</v>
      </c>
      <c r="N378" s="359">
        <v>0</v>
      </c>
      <c r="O378" s="359">
        <v>0</v>
      </c>
      <c r="P378" s="359">
        <v>0</v>
      </c>
      <c r="Q378" s="359">
        <v>0</v>
      </c>
      <c r="R378" s="359">
        <f t="shared" si="223"/>
        <v>0</v>
      </c>
      <c r="S378" s="359">
        <v>0</v>
      </c>
      <c r="T378" s="359">
        <v>0</v>
      </c>
      <c r="U378" s="359">
        <v>0</v>
      </c>
      <c r="V378" s="359">
        <v>0</v>
      </c>
      <c r="W378" s="359">
        <f t="shared" si="224"/>
        <v>0</v>
      </c>
      <c r="X378" s="359">
        <v>0</v>
      </c>
      <c r="Y378" s="359">
        <v>83433</v>
      </c>
      <c r="Z378" s="359">
        <v>87766</v>
      </c>
      <c r="AA378" s="359">
        <v>90181</v>
      </c>
      <c r="AB378" s="359">
        <f t="shared" si="225"/>
        <v>90181</v>
      </c>
      <c r="AC378" s="289"/>
      <c r="AD378" s="289"/>
      <c r="AE378" s="289"/>
      <c r="AF378" s="289"/>
      <c r="AG378" s="289"/>
      <c r="AH378" s="289"/>
      <c r="AI378" s="289"/>
      <c r="AJ378" s="289"/>
      <c r="AK378" s="289"/>
      <c r="AL378" s="289"/>
      <c r="AM378" s="289"/>
      <c r="AN378" s="289"/>
      <c r="AO378" s="289"/>
      <c r="AP378" s="289"/>
      <c r="AQ378" s="289"/>
      <c r="AR378" s="289"/>
      <c r="AS378" s="289"/>
      <c r="AT378" s="289"/>
      <c r="AU378" s="289"/>
      <c r="AV378" s="289"/>
      <c r="AW378" s="289"/>
      <c r="AX378" s="289"/>
      <c r="AY378" s="289"/>
      <c r="AZ378" s="289"/>
      <c r="BA378" s="289"/>
      <c r="BB378" s="289"/>
      <c r="BC378" s="289"/>
      <c r="BD378" s="289"/>
      <c r="BE378" s="289"/>
      <c r="BF378" s="289"/>
      <c r="BG378" s="289"/>
    </row>
    <row r="379" spans="1:59" ht="15.75" customHeight="1" x14ac:dyDescent="0.2">
      <c r="A379" s="289"/>
      <c r="B379" s="268"/>
      <c r="C379" s="307" t="s">
        <v>259</v>
      </c>
      <c r="D379" s="359">
        <v>188064</v>
      </c>
      <c r="E379" s="359">
        <v>195570</v>
      </c>
      <c r="F379" s="359">
        <v>261166</v>
      </c>
      <c r="G379" s="359">
        <v>223291</v>
      </c>
      <c r="H379" s="359">
        <f t="shared" ref="H379:H380" si="226">G379</f>
        <v>223291</v>
      </c>
      <c r="I379" s="359">
        <v>211123</v>
      </c>
      <c r="J379" s="359">
        <v>204594</v>
      </c>
      <c r="K379" s="359">
        <v>261166</v>
      </c>
      <c r="L379" s="359">
        <v>190064</v>
      </c>
      <c r="M379" s="359">
        <f t="shared" si="222"/>
        <v>190064</v>
      </c>
      <c r="N379" s="359">
        <v>194829</v>
      </c>
      <c r="O379" s="359">
        <v>219334</v>
      </c>
      <c r="P379" s="359">
        <v>214204</v>
      </c>
      <c r="Q379" s="359">
        <v>201461</v>
      </c>
      <c r="R379" s="359">
        <f t="shared" si="223"/>
        <v>201461</v>
      </c>
      <c r="S379" s="359">
        <v>0</v>
      </c>
      <c r="T379" s="359">
        <v>0</v>
      </c>
      <c r="U379" s="359">
        <v>0</v>
      </c>
      <c r="V379" s="359">
        <v>0</v>
      </c>
      <c r="W379" s="359">
        <f t="shared" si="224"/>
        <v>0</v>
      </c>
      <c r="X379" s="359">
        <v>0</v>
      </c>
      <c r="Y379" s="359">
        <v>0</v>
      </c>
      <c r="Z379" s="359">
        <v>0</v>
      </c>
      <c r="AA379" s="359">
        <v>0</v>
      </c>
      <c r="AB379" s="359">
        <f t="shared" si="225"/>
        <v>0</v>
      </c>
      <c r="AC379" s="289"/>
      <c r="AD379" s="289"/>
      <c r="AE379" s="289"/>
      <c r="AF379" s="289"/>
      <c r="AG379" s="289"/>
      <c r="AH379" s="289"/>
      <c r="AI379" s="289"/>
      <c r="AJ379" s="289"/>
      <c r="AK379" s="289"/>
      <c r="AL379" s="289"/>
      <c r="AM379" s="289"/>
      <c r="AN379" s="289"/>
      <c r="AO379" s="289"/>
      <c r="AP379" s="289"/>
      <c r="AQ379" s="289"/>
      <c r="AR379" s="289"/>
      <c r="AS379" s="289"/>
      <c r="AT379" s="289"/>
      <c r="AU379" s="289"/>
      <c r="AV379" s="289"/>
      <c r="AW379" s="289"/>
      <c r="AX379" s="289"/>
      <c r="AY379" s="289"/>
      <c r="AZ379" s="289"/>
      <c r="BA379" s="289"/>
      <c r="BB379" s="289"/>
      <c r="BC379" s="289"/>
      <c r="BD379" s="289"/>
      <c r="BE379" s="289"/>
      <c r="BF379" s="289"/>
      <c r="BG379" s="289"/>
    </row>
    <row r="380" spans="1:59" ht="15.75" customHeight="1" x14ac:dyDescent="0.2">
      <c r="A380" s="289"/>
      <c r="B380" s="268"/>
      <c r="C380" s="307" t="s">
        <v>302</v>
      </c>
      <c r="D380" s="359">
        <v>0</v>
      </c>
      <c r="E380" s="359">
        <v>0</v>
      </c>
      <c r="F380" s="359">
        <v>0</v>
      </c>
      <c r="G380" s="359">
        <v>0</v>
      </c>
      <c r="H380" s="359">
        <f t="shared" si="226"/>
        <v>0</v>
      </c>
      <c r="I380" s="359">
        <v>0</v>
      </c>
      <c r="J380" s="359">
        <v>0</v>
      </c>
      <c r="K380" s="359">
        <v>0</v>
      </c>
      <c r="L380" s="359">
        <v>0</v>
      </c>
      <c r="M380" s="359">
        <f t="shared" si="222"/>
        <v>0</v>
      </c>
      <c r="N380" s="359">
        <v>0</v>
      </c>
      <c r="O380" s="359">
        <v>0</v>
      </c>
      <c r="P380" s="359">
        <v>0</v>
      </c>
      <c r="Q380" s="359">
        <v>0</v>
      </c>
      <c r="R380" s="359">
        <f t="shared" si="223"/>
        <v>0</v>
      </c>
      <c r="S380" s="359">
        <v>57098</v>
      </c>
      <c r="T380" s="359">
        <v>46245</v>
      </c>
      <c r="U380" s="359">
        <v>60512</v>
      </c>
      <c r="V380" s="359">
        <v>57098</v>
      </c>
      <c r="W380" s="359">
        <f t="shared" si="224"/>
        <v>57098</v>
      </c>
      <c r="X380" s="359">
        <v>62559</v>
      </c>
      <c r="Y380" s="359">
        <v>79646</v>
      </c>
      <c r="Z380" s="359">
        <v>58272</v>
      </c>
      <c r="AA380" s="359">
        <v>54324</v>
      </c>
      <c r="AB380" s="359">
        <f t="shared" si="225"/>
        <v>54324</v>
      </c>
      <c r="AC380" s="289"/>
      <c r="AD380" s="289"/>
      <c r="AE380" s="289"/>
      <c r="AF380" s="289"/>
      <c r="AG380" s="289"/>
      <c r="AH380" s="289"/>
      <c r="AI380" s="289"/>
      <c r="AJ380" s="289"/>
      <c r="AK380" s="289"/>
      <c r="AL380" s="289"/>
      <c r="AM380" s="289"/>
      <c r="AN380" s="289"/>
      <c r="AO380" s="289"/>
      <c r="AP380" s="289"/>
      <c r="AQ380" s="289"/>
      <c r="AR380" s="289"/>
      <c r="AS380" s="289"/>
      <c r="AT380" s="289"/>
      <c r="AU380" s="289"/>
      <c r="AV380" s="289"/>
      <c r="AW380" s="289"/>
      <c r="AX380" s="289"/>
      <c r="AY380" s="289"/>
      <c r="AZ380" s="289"/>
      <c r="BA380" s="289"/>
      <c r="BB380" s="289"/>
      <c r="BC380" s="289"/>
      <c r="BD380" s="289"/>
      <c r="BE380" s="289"/>
      <c r="BF380" s="289"/>
      <c r="BG380" s="289"/>
    </row>
    <row r="381" spans="1:59" ht="15.75" customHeight="1" x14ac:dyDescent="0.2">
      <c r="A381" s="289"/>
      <c r="B381" s="268"/>
      <c r="C381" s="268"/>
      <c r="D381" s="360"/>
      <c r="E381" s="360"/>
      <c r="F381" s="360"/>
      <c r="G381" s="360"/>
      <c r="H381" s="360"/>
      <c r="I381" s="360"/>
      <c r="J381" s="360"/>
      <c r="K381" s="360"/>
      <c r="L381" s="360"/>
      <c r="M381" s="360"/>
      <c r="N381" s="360"/>
      <c r="O381" s="360"/>
      <c r="P381" s="360"/>
      <c r="Q381" s="360"/>
      <c r="R381" s="360"/>
      <c r="S381" s="360"/>
      <c r="T381" s="360"/>
      <c r="U381" s="360"/>
      <c r="V381" s="360"/>
      <c r="W381" s="360"/>
      <c r="X381" s="360"/>
      <c r="Y381" s="360"/>
      <c r="Z381" s="360"/>
      <c r="AA381" s="360"/>
      <c r="AB381" s="360"/>
      <c r="AC381" s="289"/>
      <c r="AD381" s="289"/>
      <c r="AE381" s="289"/>
      <c r="AF381" s="289"/>
      <c r="AG381" s="289"/>
      <c r="AH381" s="289"/>
      <c r="AI381" s="289"/>
      <c r="AJ381" s="289"/>
      <c r="AK381" s="289"/>
      <c r="AL381" s="289"/>
      <c r="AM381" s="289"/>
      <c r="AN381" s="289"/>
      <c r="AO381" s="289"/>
      <c r="AP381" s="289"/>
      <c r="AQ381" s="289"/>
      <c r="AR381" s="289"/>
      <c r="AS381" s="289"/>
      <c r="AT381" s="289"/>
      <c r="AU381" s="289"/>
      <c r="AV381" s="289"/>
      <c r="AW381" s="289"/>
      <c r="AX381" s="289"/>
      <c r="AY381" s="289"/>
      <c r="AZ381" s="289"/>
      <c r="BA381" s="289"/>
      <c r="BB381" s="289"/>
      <c r="BC381" s="289"/>
      <c r="BD381" s="289"/>
      <c r="BE381" s="289"/>
      <c r="BF381" s="289"/>
      <c r="BG381" s="289"/>
    </row>
    <row r="382" spans="1:59" ht="15.75" customHeight="1" x14ac:dyDescent="0.2">
      <c r="A382" s="289"/>
      <c r="B382" s="289"/>
      <c r="C382" s="357" t="s">
        <v>303</v>
      </c>
      <c r="D382" s="358">
        <f t="shared" ref="D382:G382" si="227">SUM(D392:D393)</f>
        <v>100472</v>
      </c>
      <c r="E382" s="358">
        <f t="shared" si="227"/>
        <v>106401</v>
      </c>
      <c r="F382" s="358">
        <f t="shared" si="227"/>
        <v>227056</v>
      </c>
      <c r="G382" s="358">
        <f t="shared" si="227"/>
        <v>222100</v>
      </c>
      <c r="H382" s="358">
        <f t="shared" ref="H382:AB382" si="228">SUM(H383:H394)</f>
        <v>2997240</v>
      </c>
      <c r="I382" s="358">
        <f t="shared" si="228"/>
        <v>3750705</v>
      </c>
      <c r="J382" s="358">
        <f t="shared" si="228"/>
        <v>3767703</v>
      </c>
      <c r="K382" s="358">
        <f t="shared" si="228"/>
        <v>3033027</v>
      </c>
      <c r="L382" s="358">
        <f t="shared" si="228"/>
        <v>3954374</v>
      </c>
      <c r="M382" s="358">
        <f t="shared" si="228"/>
        <v>3954374</v>
      </c>
      <c r="N382" s="358">
        <f t="shared" si="228"/>
        <v>4496766</v>
      </c>
      <c r="O382" s="358">
        <f t="shared" si="228"/>
        <v>4687728</v>
      </c>
      <c r="P382" s="358">
        <f t="shared" si="228"/>
        <v>4689979</v>
      </c>
      <c r="Q382" s="358">
        <f t="shared" si="228"/>
        <v>4475575</v>
      </c>
      <c r="R382" s="358">
        <f t="shared" si="228"/>
        <v>4475575</v>
      </c>
      <c r="S382" s="358">
        <f t="shared" si="228"/>
        <v>4809417</v>
      </c>
      <c r="T382" s="358">
        <f t="shared" si="228"/>
        <v>4394943</v>
      </c>
      <c r="U382" s="358">
        <f t="shared" si="228"/>
        <v>4552916</v>
      </c>
      <c r="V382" s="358">
        <f t="shared" si="228"/>
        <v>4809417</v>
      </c>
      <c r="W382" s="358">
        <f t="shared" si="228"/>
        <v>4809417</v>
      </c>
      <c r="X382" s="358">
        <f t="shared" si="228"/>
        <v>4453683</v>
      </c>
      <c r="Y382" s="358">
        <f t="shared" si="228"/>
        <v>4797768</v>
      </c>
      <c r="Z382" s="358">
        <f t="shared" si="228"/>
        <v>4911320</v>
      </c>
      <c r="AA382" s="358">
        <f t="shared" si="228"/>
        <v>4859021</v>
      </c>
      <c r="AB382" s="358">
        <f t="shared" si="228"/>
        <v>4859021</v>
      </c>
      <c r="AC382" s="289"/>
      <c r="AD382" s="289"/>
      <c r="AE382" s="289"/>
      <c r="AF382" s="289"/>
      <c r="AG382" s="289"/>
      <c r="AH382" s="289"/>
      <c r="AI382" s="289"/>
      <c r="AJ382" s="289"/>
      <c r="AK382" s="289"/>
      <c r="AL382" s="289"/>
      <c r="AM382" s="289"/>
      <c r="AN382" s="289"/>
      <c r="AO382" s="289"/>
      <c r="AP382" s="289"/>
      <c r="AQ382" s="289"/>
      <c r="AR382" s="289"/>
      <c r="AS382" s="289"/>
      <c r="AT382" s="289"/>
      <c r="AU382" s="289"/>
      <c r="AV382" s="289"/>
      <c r="AW382" s="289"/>
      <c r="AX382" s="289"/>
      <c r="AY382" s="289"/>
      <c r="AZ382" s="289"/>
      <c r="BA382" s="289"/>
      <c r="BB382" s="289"/>
      <c r="BC382" s="289"/>
      <c r="BD382" s="289"/>
      <c r="BE382" s="289"/>
      <c r="BF382" s="289"/>
      <c r="BG382" s="289"/>
    </row>
    <row r="383" spans="1:59" ht="15.75" customHeight="1" x14ac:dyDescent="0.2">
      <c r="A383" s="289"/>
      <c r="B383" s="268"/>
      <c r="C383" s="307" t="s">
        <v>304</v>
      </c>
      <c r="D383" s="359">
        <v>0</v>
      </c>
      <c r="E383" s="359">
        <v>0</v>
      </c>
      <c r="F383" s="359">
        <v>31024</v>
      </c>
      <c r="G383" s="359">
        <v>28852</v>
      </c>
      <c r="H383" s="359">
        <f t="shared" ref="H383:H394" si="229">G383</f>
        <v>28852</v>
      </c>
      <c r="I383" s="359">
        <v>29906</v>
      </c>
      <c r="J383" s="359">
        <v>29090</v>
      </c>
      <c r="K383" s="359">
        <v>31024</v>
      </c>
      <c r="L383" s="359">
        <v>37917</v>
      </c>
      <c r="M383" s="359">
        <f t="shared" ref="M383:M394" si="230">L383</f>
        <v>37917</v>
      </c>
      <c r="N383" s="359">
        <v>35091</v>
      </c>
      <c r="O383" s="359">
        <v>31311</v>
      </c>
      <c r="P383" s="359">
        <v>26934</v>
      </c>
      <c r="Q383" s="359">
        <v>25489</v>
      </c>
      <c r="R383" s="359">
        <f t="shared" ref="R383:R394" si="231">Q383</f>
        <v>25489</v>
      </c>
      <c r="S383" s="359">
        <v>19990</v>
      </c>
      <c r="T383" s="359">
        <v>23755</v>
      </c>
      <c r="U383" s="359">
        <v>24509</v>
      </c>
      <c r="V383" s="359">
        <v>19990</v>
      </c>
      <c r="W383" s="359">
        <f t="shared" ref="W383:W394" si="232">V383</f>
        <v>19990</v>
      </c>
      <c r="X383" s="359">
        <v>20116</v>
      </c>
      <c r="Y383" s="359">
        <v>20139</v>
      </c>
      <c r="Z383" s="359">
        <v>18629</v>
      </c>
      <c r="AA383" s="359">
        <v>18293</v>
      </c>
      <c r="AB383" s="359">
        <f t="shared" ref="AB383:AB394" si="233">AA383</f>
        <v>18293</v>
      </c>
      <c r="AC383" s="289"/>
      <c r="AD383" s="289"/>
      <c r="AE383" s="289"/>
      <c r="AF383" s="289"/>
      <c r="AG383" s="289"/>
      <c r="AH383" s="289"/>
      <c r="AI383" s="289"/>
      <c r="AJ383" s="289"/>
      <c r="AK383" s="289"/>
      <c r="AL383" s="289"/>
      <c r="AM383" s="289"/>
      <c r="AN383" s="289"/>
      <c r="AO383" s="289"/>
      <c r="AP383" s="289"/>
      <c r="AQ383" s="289"/>
      <c r="AR383" s="289"/>
      <c r="AS383" s="289"/>
      <c r="AT383" s="289"/>
      <c r="AU383" s="289"/>
      <c r="AV383" s="289"/>
      <c r="AW383" s="289"/>
      <c r="AX383" s="289"/>
      <c r="AY383" s="289"/>
      <c r="AZ383" s="289"/>
      <c r="BA383" s="289"/>
      <c r="BB383" s="289"/>
      <c r="BC383" s="289"/>
      <c r="BD383" s="289"/>
      <c r="BE383" s="289"/>
      <c r="BF383" s="289"/>
      <c r="BG383" s="289"/>
    </row>
    <row r="384" spans="1:59" ht="15.75" customHeight="1" x14ac:dyDescent="0.2">
      <c r="A384" s="289"/>
      <c r="B384" s="268"/>
      <c r="C384" s="307" t="s">
        <v>305</v>
      </c>
      <c r="D384" s="359">
        <v>0</v>
      </c>
      <c r="E384" s="359">
        <v>0</v>
      </c>
      <c r="F384" s="359">
        <v>0</v>
      </c>
      <c r="G384" s="359">
        <v>0</v>
      </c>
      <c r="H384" s="359">
        <f t="shared" si="229"/>
        <v>0</v>
      </c>
      <c r="I384" s="359">
        <v>0</v>
      </c>
      <c r="J384" s="359">
        <v>0</v>
      </c>
      <c r="K384" s="359">
        <v>0</v>
      </c>
      <c r="L384" s="359">
        <v>0</v>
      </c>
      <c r="M384" s="359">
        <f t="shared" si="230"/>
        <v>0</v>
      </c>
      <c r="N384" s="359">
        <v>0</v>
      </c>
      <c r="O384" s="359">
        <v>0</v>
      </c>
      <c r="P384" s="359">
        <v>0</v>
      </c>
      <c r="Q384" s="359">
        <v>0</v>
      </c>
      <c r="R384" s="359">
        <f t="shared" si="231"/>
        <v>0</v>
      </c>
      <c r="S384" s="359">
        <v>60188</v>
      </c>
      <c r="T384" s="359">
        <v>105007</v>
      </c>
      <c r="U384" s="359">
        <v>136594</v>
      </c>
      <c r="V384" s="359">
        <v>60188</v>
      </c>
      <c r="W384" s="359">
        <f t="shared" si="232"/>
        <v>60188</v>
      </c>
      <c r="X384" s="359">
        <v>51991</v>
      </c>
      <c r="Y384" s="359">
        <v>70399</v>
      </c>
      <c r="Z384" s="359">
        <v>72679</v>
      </c>
      <c r="AA384" s="359">
        <v>58339</v>
      </c>
      <c r="AB384" s="359">
        <f t="shared" si="233"/>
        <v>58339</v>
      </c>
      <c r="AC384" s="289"/>
      <c r="AD384" s="289"/>
      <c r="AE384" s="289"/>
      <c r="AF384" s="289"/>
      <c r="AG384" s="289"/>
      <c r="AH384" s="289"/>
      <c r="AI384" s="289"/>
      <c r="AJ384" s="289"/>
      <c r="AK384" s="289"/>
      <c r="AL384" s="289"/>
      <c r="AM384" s="289"/>
      <c r="AN384" s="289"/>
      <c r="AO384" s="289"/>
      <c r="AP384" s="289"/>
      <c r="AQ384" s="289"/>
      <c r="AR384" s="289"/>
      <c r="AS384" s="289"/>
      <c r="AT384" s="289"/>
      <c r="AU384" s="289"/>
      <c r="AV384" s="289"/>
      <c r="AW384" s="289"/>
      <c r="AX384" s="289"/>
      <c r="AY384" s="289"/>
      <c r="AZ384" s="289"/>
      <c r="BA384" s="289"/>
      <c r="BB384" s="289"/>
      <c r="BC384" s="289"/>
      <c r="BD384" s="289"/>
      <c r="BE384" s="289"/>
      <c r="BF384" s="289"/>
      <c r="BG384" s="289"/>
    </row>
    <row r="385" spans="1:59" ht="15.75" customHeight="1" x14ac:dyDescent="0.2">
      <c r="A385" s="289"/>
      <c r="B385" s="268"/>
      <c r="C385" s="307" t="s">
        <v>306</v>
      </c>
      <c r="D385" s="359">
        <v>0</v>
      </c>
      <c r="E385" s="359">
        <v>0</v>
      </c>
      <c r="F385" s="359">
        <v>96003</v>
      </c>
      <c r="G385" s="359">
        <v>99207</v>
      </c>
      <c r="H385" s="359">
        <f t="shared" si="229"/>
        <v>99207</v>
      </c>
      <c r="I385" s="359">
        <v>110348</v>
      </c>
      <c r="J385" s="359">
        <v>110434</v>
      </c>
      <c r="K385" s="359">
        <v>96003</v>
      </c>
      <c r="L385" s="359">
        <v>106817</v>
      </c>
      <c r="M385" s="359">
        <f t="shared" si="230"/>
        <v>106817</v>
      </c>
      <c r="N385" s="359">
        <v>105970</v>
      </c>
      <c r="O385" s="359">
        <v>106569</v>
      </c>
      <c r="P385" s="359">
        <v>88885</v>
      </c>
      <c r="Q385" s="359">
        <v>57195</v>
      </c>
      <c r="R385" s="359">
        <f t="shared" si="231"/>
        <v>57195</v>
      </c>
      <c r="S385" s="359">
        <v>71521</v>
      </c>
      <c r="T385" s="359">
        <v>30862</v>
      </c>
      <c r="U385" s="359">
        <v>33657</v>
      </c>
      <c r="V385" s="359">
        <v>71521</v>
      </c>
      <c r="W385" s="359">
        <f t="shared" si="232"/>
        <v>71521</v>
      </c>
      <c r="X385" s="359">
        <v>70937</v>
      </c>
      <c r="Y385" s="359">
        <v>73507</v>
      </c>
      <c r="Z385" s="359">
        <v>73634</v>
      </c>
      <c r="AA385" s="359">
        <v>79012</v>
      </c>
      <c r="AB385" s="359">
        <f t="shared" si="233"/>
        <v>79012</v>
      </c>
      <c r="AC385" s="289"/>
      <c r="AD385" s="289"/>
      <c r="AE385" s="289"/>
      <c r="AF385" s="289"/>
      <c r="AG385" s="289"/>
      <c r="AH385" s="289"/>
      <c r="AI385" s="289"/>
      <c r="AJ385" s="289"/>
      <c r="AK385" s="289"/>
      <c r="AL385" s="289"/>
      <c r="AM385" s="289"/>
      <c r="AN385" s="289"/>
      <c r="AO385" s="289"/>
      <c r="AP385" s="289"/>
      <c r="AQ385" s="289"/>
      <c r="AR385" s="289"/>
      <c r="AS385" s="289"/>
      <c r="AT385" s="289"/>
      <c r="AU385" s="289"/>
      <c r="AV385" s="289"/>
      <c r="AW385" s="289"/>
      <c r="AX385" s="289"/>
      <c r="AY385" s="289"/>
      <c r="AZ385" s="289"/>
      <c r="BA385" s="289"/>
      <c r="BB385" s="289"/>
      <c r="BC385" s="289"/>
      <c r="BD385" s="289"/>
      <c r="BE385" s="289"/>
      <c r="BF385" s="289"/>
      <c r="BG385" s="289"/>
    </row>
    <row r="386" spans="1:59" ht="15.75" customHeight="1" x14ac:dyDescent="0.2">
      <c r="A386" s="289"/>
      <c r="B386" s="268"/>
      <c r="C386" s="307" t="s">
        <v>307</v>
      </c>
      <c r="D386" s="359">
        <v>89995</v>
      </c>
      <c r="E386" s="359">
        <v>116179</v>
      </c>
      <c r="F386" s="359">
        <v>114367</v>
      </c>
      <c r="G386" s="359">
        <v>109358</v>
      </c>
      <c r="H386" s="359">
        <f t="shared" si="229"/>
        <v>109358</v>
      </c>
      <c r="I386" s="359">
        <v>110027</v>
      </c>
      <c r="J386" s="359">
        <v>105474</v>
      </c>
      <c r="K386" s="359">
        <v>114367</v>
      </c>
      <c r="L386" s="359">
        <v>128473</v>
      </c>
      <c r="M386" s="359">
        <f t="shared" si="230"/>
        <v>128473</v>
      </c>
      <c r="N386" s="359">
        <v>148379</v>
      </c>
      <c r="O386" s="359">
        <v>152868</v>
      </c>
      <c r="P386" s="359">
        <v>155790</v>
      </c>
      <c r="Q386" s="359">
        <v>154425</v>
      </c>
      <c r="R386" s="359">
        <f t="shared" si="231"/>
        <v>154425</v>
      </c>
      <c r="S386" s="359">
        <v>124623</v>
      </c>
      <c r="T386" s="359">
        <v>116881</v>
      </c>
      <c r="U386" s="359">
        <v>121964</v>
      </c>
      <c r="V386" s="359">
        <v>124623</v>
      </c>
      <c r="W386" s="359">
        <f t="shared" si="232"/>
        <v>124623</v>
      </c>
      <c r="X386" s="359">
        <v>118913</v>
      </c>
      <c r="Y386" s="359">
        <v>125636</v>
      </c>
      <c r="Z386" s="359">
        <v>121032</v>
      </c>
      <c r="AA386" s="359">
        <v>114626</v>
      </c>
      <c r="AB386" s="359">
        <f t="shared" si="233"/>
        <v>114626</v>
      </c>
      <c r="AC386" s="289"/>
      <c r="AD386" s="289"/>
      <c r="AE386" s="289"/>
      <c r="AF386" s="289"/>
      <c r="AG386" s="289"/>
      <c r="AH386" s="289"/>
      <c r="AI386" s="289"/>
      <c r="AJ386" s="289"/>
      <c r="AK386" s="289"/>
      <c r="AL386" s="289"/>
      <c r="AM386" s="289"/>
      <c r="AN386" s="289"/>
      <c r="AO386" s="289"/>
      <c r="AP386" s="289"/>
      <c r="AQ386" s="289"/>
      <c r="AR386" s="289"/>
      <c r="AS386" s="289"/>
      <c r="AT386" s="289"/>
      <c r="AU386" s="289"/>
      <c r="AV386" s="289"/>
      <c r="AW386" s="289"/>
      <c r="AX386" s="289"/>
      <c r="AY386" s="289"/>
      <c r="AZ386" s="289"/>
      <c r="BA386" s="289"/>
      <c r="BB386" s="289"/>
      <c r="BC386" s="289"/>
      <c r="BD386" s="289"/>
      <c r="BE386" s="289"/>
      <c r="BF386" s="289"/>
      <c r="BG386" s="289"/>
    </row>
    <row r="387" spans="1:59" ht="15.75" customHeight="1" x14ac:dyDescent="0.2">
      <c r="A387" s="289"/>
      <c r="B387" s="268"/>
      <c r="C387" s="307" t="s">
        <v>308</v>
      </c>
      <c r="D387" s="359">
        <v>87396</v>
      </c>
      <c r="E387" s="359">
        <v>113943</v>
      </c>
      <c r="F387" s="359">
        <v>116249</v>
      </c>
      <c r="G387" s="359">
        <v>102791</v>
      </c>
      <c r="H387" s="359">
        <f t="shared" si="229"/>
        <v>102791</v>
      </c>
      <c r="I387" s="359">
        <v>97908</v>
      </c>
      <c r="J387" s="359">
        <v>112050</v>
      </c>
      <c r="K387" s="359">
        <v>116249</v>
      </c>
      <c r="L387" s="359">
        <v>122267</v>
      </c>
      <c r="M387" s="359">
        <f t="shared" si="230"/>
        <v>122267</v>
      </c>
      <c r="N387" s="359">
        <v>135265</v>
      </c>
      <c r="O387" s="359">
        <v>136429</v>
      </c>
      <c r="P387" s="359">
        <v>140905</v>
      </c>
      <c r="Q387" s="359">
        <v>136076</v>
      </c>
      <c r="R387" s="359">
        <f t="shared" si="231"/>
        <v>136076</v>
      </c>
      <c r="S387" s="359">
        <v>343494</v>
      </c>
      <c r="T387" s="359">
        <v>103022</v>
      </c>
      <c r="U387" s="359">
        <v>127621</v>
      </c>
      <c r="V387" s="359">
        <v>343494</v>
      </c>
      <c r="W387" s="359">
        <f t="shared" si="232"/>
        <v>343494</v>
      </c>
      <c r="X387" s="359">
        <v>336671</v>
      </c>
      <c r="Y387" s="359">
        <v>351922</v>
      </c>
      <c r="Z387" s="359">
        <v>375882</v>
      </c>
      <c r="AA387" s="359">
        <v>427135</v>
      </c>
      <c r="AB387" s="359">
        <f t="shared" si="233"/>
        <v>427135</v>
      </c>
      <c r="AC387" s="289"/>
      <c r="AD387" s="289"/>
      <c r="AE387" s="289"/>
      <c r="AF387" s="289"/>
      <c r="AG387" s="289"/>
      <c r="AH387" s="289"/>
      <c r="AI387" s="289"/>
      <c r="AJ387" s="289"/>
      <c r="AK387" s="289"/>
      <c r="AL387" s="289"/>
      <c r="AM387" s="289"/>
      <c r="AN387" s="289"/>
      <c r="AO387" s="289"/>
      <c r="AP387" s="289"/>
      <c r="AQ387" s="289"/>
      <c r="AR387" s="289"/>
      <c r="AS387" s="289"/>
      <c r="AT387" s="289"/>
      <c r="AU387" s="289"/>
      <c r="AV387" s="289"/>
      <c r="AW387" s="289"/>
      <c r="AX387" s="289"/>
      <c r="AY387" s="289"/>
      <c r="AZ387" s="289"/>
      <c r="BA387" s="289"/>
      <c r="BB387" s="289"/>
      <c r="BC387" s="289"/>
      <c r="BD387" s="289"/>
      <c r="BE387" s="289"/>
      <c r="BF387" s="289"/>
      <c r="BG387" s="289"/>
    </row>
    <row r="388" spans="1:59" ht="15.75" customHeight="1" x14ac:dyDescent="0.2">
      <c r="A388" s="289"/>
      <c r="B388" s="268"/>
      <c r="C388" s="307" t="s">
        <v>309</v>
      </c>
      <c r="D388" s="359">
        <v>2110281</v>
      </c>
      <c r="E388" s="359">
        <v>2289019</v>
      </c>
      <c r="F388" s="359">
        <v>2346426</v>
      </c>
      <c r="G388" s="359">
        <v>2334377</v>
      </c>
      <c r="H388" s="359">
        <f t="shared" si="229"/>
        <v>2334377</v>
      </c>
      <c r="I388" s="359">
        <v>2368909</v>
      </c>
      <c r="J388" s="359">
        <v>2386426</v>
      </c>
      <c r="K388" s="359">
        <v>2346426</v>
      </c>
      <c r="L388" s="359">
        <v>2527446</v>
      </c>
      <c r="M388" s="359">
        <f t="shared" si="230"/>
        <v>2527446</v>
      </c>
      <c r="N388" s="359">
        <v>2959625</v>
      </c>
      <c r="O388" s="359">
        <v>3139292</v>
      </c>
      <c r="P388" s="359">
        <v>3163147</v>
      </c>
      <c r="Q388" s="359">
        <v>3009606</v>
      </c>
      <c r="R388" s="359">
        <f t="shared" si="231"/>
        <v>3009606</v>
      </c>
      <c r="S388" s="359">
        <v>3142129</v>
      </c>
      <c r="T388" s="359">
        <v>2897419</v>
      </c>
      <c r="U388" s="359">
        <v>3056360</v>
      </c>
      <c r="V388" s="359">
        <v>3142129</v>
      </c>
      <c r="W388" s="359">
        <f t="shared" si="232"/>
        <v>3142129</v>
      </c>
      <c r="X388" s="359">
        <v>2826138</v>
      </c>
      <c r="Y388" s="359">
        <v>3030031</v>
      </c>
      <c r="Z388" s="359">
        <v>3134233</v>
      </c>
      <c r="AA388" s="359">
        <v>3076505</v>
      </c>
      <c r="AB388" s="359">
        <f t="shared" si="233"/>
        <v>3076505</v>
      </c>
      <c r="AC388" s="289"/>
      <c r="AD388" s="289"/>
      <c r="AE388" s="289"/>
      <c r="AF388" s="289"/>
      <c r="AG388" s="289"/>
      <c r="AH388" s="289"/>
      <c r="AI388" s="289"/>
      <c r="AJ388" s="289"/>
      <c r="AK388" s="289"/>
      <c r="AL388" s="289"/>
      <c r="AM388" s="289"/>
      <c r="AN388" s="289"/>
      <c r="AO388" s="289"/>
      <c r="AP388" s="289"/>
      <c r="AQ388" s="289"/>
      <c r="AR388" s="289"/>
      <c r="AS388" s="289"/>
      <c r="AT388" s="289"/>
      <c r="AU388" s="289"/>
      <c r="AV388" s="289"/>
      <c r="AW388" s="289"/>
      <c r="AX388" s="289"/>
      <c r="AY388" s="289"/>
      <c r="AZ388" s="289"/>
      <c r="BA388" s="289"/>
      <c r="BB388" s="289"/>
      <c r="BC388" s="289"/>
      <c r="BD388" s="289"/>
      <c r="BE388" s="289"/>
      <c r="BF388" s="289"/>
      <c r="BG388" s="289"/>
    </row>
    <row r="389" spans="1:59" ht="15.75" customHeight="1" x14ac:dyDescent="0.2">
      <c r="A389" s="289"/>
      <c r="B389" s="268"/>
      <c r="C389" s="307" t="s">
        <v>310</v>
      </c>
      <c r="D389" s="359">
        <v>0</v>
      </c>
      <c r="E389" s="359">
        <v>0</v>
      </c>
      <c r="F389" s="359">
        <v>0</v>
      </c>
      <c r="G389" s="359">
        <v>0</v>
      </c>
      <c r="H389" s="359">
        <f t="shared" si="229"/>
        <v>0</v>
      </c>
      <c r="I389" s="359">
        <v>700066</v>
      </c>
      <c r="J389" s="359">
        <v>708880</v>
      </c>
      <c r="K389" s="359">
        <v>0</v>
      </c>
      <c r="L389" s="359">
        <v>761847</v>
      </c>
      <c r="M389" s="359">
        <f t="shared" si="230"/>
        <v>761847</v>
      </c>
      <c r="N389" s="359">
        <v>791694</v>
      </c>
      <c r="O389" s="359">
        <v>789710</v>
      </c>
      <c r="P389" s="359">
        <v>778355</v>
      </c>
      <c r="Q389" s="359">
        <v>775753</v>
      </c>
      <c r="R389" s="359">
        <f t="shared" si="231"/>
        <v>775753</v>
      </c>
      <c r="S389" s="359">
        <v>880990</v>
      </c>
      <c r="T389" s="359">
        <v>965034</v>
      </c>
      <c r="U389" s="359">
        <v>886963</v>
      </c>
      <c r="V389" s="359">
        <v>880990</v>
      </c>
      <c r="W389" s="359">
        <f t="shared" si="232"/>
        <v>880990</v>
      </c>
      <c r="X389" s="359">
        <v>882409</v>
      </c>
      <c r="Y389" s="359">
        <v>970521</v>
      </c>
      <c r="Z389" s="359">
        <v>958485</v>
      </c>
      <c r="AA389" s="359">
        <v>932396</v>
      </c>
      <c r="AB389" s="359">
        <f t="shared" si="233"/>
        <v>932396</v>
      </c>
      <c r="AC389" s="289"/>
      <c r="AD389" s="289"/>
      <c r="AE389" s="289"/>
      <c r="AF389" s="289"/>
      <c r="AG389" s="289"/>
      <c r="AH389" s="289"/>
      <c r="AI389" s="289"/>
      <c r="AJ389" s="289"/>
      <c r="AK389" s="289"/>
      <c r="AL389" s="289"/>
      <c r="AM389" s="289"/>
      <c r="AN389" s="289"/>
      <c r="AO389" s="289"/>
      <c r="AP389" s="289"/>
      <c r="AQ389" s="289"/>
      <c r="AR389" s="289"/>
      <c r="AS389" s="289"/>
      <c r="AT389" s="289"/>
      <c r="AU389" s="289"/>
      <c r="AV389" s="289"/>
      <c r="AW389" s="289"/>
      <c r="AX389" s="289"/>
      <c r="AY389" s="289"/>
      <c r="AZ389" s="289"/>
      <c r="BA389" s="289"/>
      <c r="BB389" s="289"/>
      <c r="BC389" s="289"/>
      <c r="BD389" s="289"/>
      <c r="BE389" s="289"/>
      <c r="BF389" s="289"/>
      <c r="BG389" s="289"/>
    </row>
    <row r="390" spans="1:59" ht="15.75" customHeight="1" x14ac:dyDescent="0.2">
      <c r="A390" s="289"/>
      <c r="B390" s="268"/>
      <c r="C390" s="307" t="s">
        <v>311</v>
      </c>
      <c r="D390" s="359">
        <v>100173</v>
      </c>
      <c r="E390" s="359">
        <v>100833</v>
      </c>
      <c r="F390" s="359">
        <v>99948</v>
      </c>
      <c r="G390" s="359">
        <v>98683</v>
      </c>
      <c r="H390" s="359">
        <f t="shared" si="229"/>
        <v>98683</v>
      </c>
      <c r="I390" s="359">
        <v>94924</v>
      </c>
      <c r="J390" s="359">
        <v>92448</v>
      </c>
      <c r="K390" s="359">
        <v>99948</v>
      </c>
      <c r="L390" s="359">
        <v>89935</v>
      </c>
      <c r="M390" s="359">
        <f t="shared" si="230"/>
        <v>89935</v>
      </c>
      <c r="N390" s="359">
        <v>92487</v>
      </c>
      <c r="O390" s="359">
        <v>91345</v>
      </c>
      <c r="P390" s="359">
        <v>89777</v>
      </c>
      <c r="Q390" s="359">
        <v>88172</v>
      </c>
      <c r="R390" s="359">
        <f t="shared" si="231"/>
        <v>88172</v>
      </c>
      <c r="S390" s="359">
        <v>157666</v>
      </c>
      <c r="T390" s="359">
        <v>148606</v>
      </c>
      <c r="U390" s="359">
        <v>156375</v>
      </c>
      <c r="V390" s="359">
        <v>157666</v>
      </c>
      <c r="W390" s="359">
        <f t="shared" si="232"/>
        <v>157666</v>
      </c>
      <c r="X390" s="359">
        <v>138372</v>
      </c>
      <c r="Y390" s="359">
        <v>147557</v>
      </c>
      <c r="Z390" s="359">
        <v>148782</v>
      </c>
      <c r="AA390" s="359">
        <v>145116</v>
      </c>
      <c r="AB390" s="359">
        <f t="shared" si="233"/>
        <v>145116</v>
      </c>
      <c r="AC390" s="289"/>
      <c r="AD390" s="289"/>
      <c r="AE390" s="289"/>
      <c r="AF390" s="289"/>
      <c r="AG390" s="289"/>
      <c r="AH390" s="289"/>
      <c r="AI390" s="289"/>
      <c r="AJ390" s="289"/>
      <c r="AK390" s="289"/>
      <c r="AL390" s="289"/>
      <c r="AM390" s="289"/>
      <c r="AN390" s="289"/>
      <c r="AO390" s="289"/>
      <c r="AP390" s="289"/>
      <c r="AQ390" s="289"/>
      <c r="AR390" s="289"/>
      <c r="AS390" s="289"/>
      <c r="AT390" s="289"/>
      <c r="AU390" s="289"/>
      <c r="AV390" s="289"/>
      <c r="AW390" s="289"/>
      <c r="AX390" s="289"/>
      <c r="AY390" s="289"/>
      <c r="AZ390" s="289"/>
      <c r="BA390" s="289"/>
      <c r="BB390" s="289"/>
      <c r="BC390" s="289"/>
      <c r="BD390" s="289"/>
      <c r="BE390" s="289"/>
      <c r="BF390" s="289"/>
      <c r="BG390" s="289"/>
    </row>
    <row r="391" spans="1:59" ht="15.75" customHeight="1" x14ac:dyDescent="0.2">
      <c r="A391" s="289"/>
      <c r="B391" s="268"/>
      <c r="C391" s="307" t="s">
        <v>312</v>
      </c>
      <c r="D391" s="359">
        <v>228140</v>
      </c>
      <c r="E391" s="359">
        <v>246525</v>
      </c>
      <c r="F391" s="359">
        <v>1954</v>
      </c>
      <c r="G391" s="359">
        <v>1872</v>
      </c>
      <c r="H391" s="359">
        <f t="shared" si="229"/>
        <v>1872</v>
      </c>
      <c r="I391" s="359">
        <v>1873</v>
      </c>
      <c r="J391" s="359">
        <v>1874</v>
      </c>
      <c r="K391" s="359">
        <v>1954</v>
      </c>
      <c r="L391" s="359">
        <v>1427</v>
      </c>
      <c r="M391" s="359">
        <f t="shared" si="230"/>
        <v>1427</v>
      </c>
      <c r="N391" s="359">
        <v>1348</v>
      </c>
      <c r="O391" s="359">
        <v>1355</v>
      </c>
      <c r="P391" s="359">
        <v>11</v>
      </c>
      <c r="Q391" s="359">
        <v>784</v>
      </c>
      <c r="R391" s="359">
        <f t="shared" si="231"/>
        <v>784</v>
      </c>
      <c r="S391" s="359">
        <v>8816</v>
      </c>
      <c r="T391" s="359">
        <v>4357</v>
      </c>
      <c r="U391" s="359">
        <v>8873</v>
      </c>
      <c r="V391" s="359">
        <v>8816</v>
      </c>
      <c r="W391" s="359">
        <f t="shared" si="232"/>
        <v>8816</v>
      </c>
      <c r="X391" s="359">
        <v>8136</v>
      </c>
      <c r="Y391" s="359">
        <v>8056</v>
      </c>
      <c r="Z391" s="359">
        <v>7964</v>
      </c>
      <c r="AA391" s="359">
        <v>7599</v>
      </c>
      <c r="AB391" s="359">
        <f t="shared" si="233"/>
        <v>7599</v>
      </c>
      <c r="AC391" s="289"/>
      <c r="AD391" s="289"/>
      <c r="AE391" s="289"/>
      <c r="AF391" s="289"/>
      <c r="AG391" s="289"/>
      <c r="AH391" s="289"/>
      <c r="AI391" s="289"/>
      <c r="AJ391" s="289"/>
      <c r="AK391" s="289"/>
      <c r="AL391" s="289"/>
      <c r="AM391" s="289"/>
      <c r="AN391" s="289"/>
      <c r="AO391" s="289"/>
      <c r="AP391" s="289"/>
      <c r="AQ391" s="289"/>
      <c r="AR391" s="289"/>
      <c r="AS391" s="289"/>
      <c r="AT391" s="289"/>
      <c r="AU391" s="289"/>
      <c r="AV391" s="289"/>
      <c r="AW391" s="289"/>
      <c r="AX391" s="289"/>
      <c r="AY391" s="289"/>
      <c r="AZ391" s="289"/>
      <c r="BA391" s="289"/>
      <c r="BB391" s="289"/>
      <c r="BC391" s="289"/>
      <c r="BD391" s="289"/>
      <c r="BE391" s="289"/>
      <c r="BF391" s="289"/>
      <c r="BG391" s="289"/>
    </row>
    <row r="392" spans="1:59" ht="15.75" customHeight="1" x14ac:dyDescent="0.2">
      <c r="A392" s="289"/>
      <c r="B392" s="268"/>
      <c r="C392" s="307" t="s">
        <v>313</v>
      </c>
      <c r="D392" s="359">
        <v>100472</v>
      </c>
      <c r="E392" s="359">
        <v>106401</v>
      </c>
      <c r="F392" s="359">
        <v>108053</v>
      </c>
      <c r="G392" s="359">
        <v>106615</v>
      </c>
      <c r="H392" s="359">
        <f t="shared" si="229"/>
        <v>106615</v>
      </c>
      <c r="I392" s="359">
        <v>106859</v>
      </c>
      <c r="J392" s="359">
        <v>106140</v>
      </c>
      <c r="K392" s="359">
        <v>108053</v>
      </c>
      <c r="L392" s="359">
        <v>56792</v>
      </c>
      <c r="M392" s="359">
        <f t="shared" si="230"/>
        <v>56792</v>
      </c>
      <c r="N392" s="359">
        <v>69811</v>
      </c>
      <c r="O392" s="359">
        <v>72902</v>
      </c>
      <c r="P392" s="359">
        <v>74739</v>
      </c>
      <c r="Q392" s="359">
        <v>69786</v>
      </c>
      <c r="R392" s="359">
        <f t="shared" si="231"/>
        <v>69786</v>
      </c>
      <c r="S392" s="359">
        <v>0</v>
      </c>
      <c r="T392" s="359">
        <v>0</v>
      </c>
      <c r="U392" s="359">
        <v>0</v>
      </c>
      <c r="V392" s="359">
        <v>0</v>
      </c>
      <c r="W392" s="359">
        <f t="shared" si="232"/>
        <v>0</v>
      </c>
      <c r="X392" s="359">
        <v>0</v>
      </c>
      <c r="Y392" s="359">
        <v>0</v>
      </c>
      <c r="Z392" s="359">
        <v>0</v>
      </c>
      <c r="AA392" s="359">
        <v>0</v>
      </c>
      <c r="AB392" s="359">
        <f t="shared" si="233"/>
        <v>0</v>
      </c>
      <c r="AC392" s="289"/>
      <c r="AD392" s="289"/>
      <c r="AE392" s="289"/>
      <c r="AF392" s="289"/>
      <c r="AG392" s="289"/>
      <c r="AH392" s="289"/>
      <c r="AI392" s="289"/>
      <c r="AJ392" s="289"/>
      <c r="AK392" s="289"/>
      <c r="AL392" s="289"/>
      <c r="AM392" s="289"/>
      <c r="AN392" s="289"/>
      <c r="AO392" s="289"/>
      <c r="AP392" s="289"/>
      <c r="AQ392" s="289"/>
      <c r="AR392" s="289"/>
      <c r="AS392" s="289"/>
      <c r="AT392" s="289"/>
      <c r="AU392" s="289"/>
      <c r="AV392" s="289"/>
      <c r="AW392" s="289"/>
      <c r="AX392" s="289"/>
      <c r="AY392" s="289"/>
      <c r="AZ392" s="289"/>
      <c r="BA392" s="289"/>
      <c r="BB392" s="289"/>
      <c r="BC392" s="289"/>
      <c r="BD392" s="289"/>
      <c r="BE392" s="289"/>
      <c r="BF392" s="289"/>
      <c r="BG392" s="289"/>
    </row>
    <row r="393" spans="1:59" ht="15.75" customHeight="1" x14ac:dyDescent="0.2">
      <c r="A393" s="289"/>
      <c r="B393" s="268"/>
      <c r="C393" s="307" t="s">
        <v>314</v>
      </c>
      <c r="D393" s="359">
        <v>0</v>
      </c>
      <c r="E393" s="359">
        <v>0</v>
      </c>
      <c r="F393" s="359">
        <v>119003</v>
      </c>
      <c r="G393" s="359">
        <v>115485</v>
      </c>
      <c r="H393" s="359">
        <f t="shared" si="229"/>
        <v>115485</v>
      </c>
      <c r="I393" s="359">
        <v>129885</v>
      </c>
      <c r="J393" s="359">
        <v>114887</v>
      </c>
      <c r="K393" s="359">
        <v>119003</v>
      </c>
      <c r="L393" s="359">
        <v>121453</v>
      </c>
      <c r="M393" s="359">
        <f t="shared" si="230"/>
        <v>121453</v>
      </c>
      <c r="N393" s="359">
        <v>157096</v>
      </c>
      <c r="O393" s="359">
        <v>165947</v>
      </c>
      <c r="P393" s="359">
        <v>171436</v>
      </c>
      <c r="Q393" s="359">
        <v>158289</v>
      </c>
      <c r="R393" s="359">
        <f t="shared" si="231"/>
        <v>158289</v>
      </c>
      <c r="S393" s="359">
        <v>0</v>
      </c>
      <c r="T393" s="359">
        <v>0</v>
      </c>
      <c r="U393" s="359">
        <v>0</v>
      </c>
      <c r="V393" s="359">
        <v>0</v>
      </c>
      <c r="W393" s="359">
        <f t="shared" si="232"/>
        <v>0</v>
      </c>
      <c r="X393" s="359">
        <v>0</v>
      </c>
      <c r="Y393" s="359">
        <v>0</v>
      </c>
      <c r="Z393" s="359">
        <v>0</v>
      </c>
      <c r="AA393" s="359">
        <v>0</v>
      </c>
      <c r="AB393" s="359">
        <f t="shared" si="233"/>
        <v>0</v>
      </c>
      <c r="AC393" s="289"/>
      <c r="AD393" s="289"/>
      <c r="AE393" s="289"/>
      <c r="AF393" s="289"/>
      <c r="AG393" s="289"/>
      <c r="AH393" s="289"/>
      <c r="AI393" s="289"/>
      <c r="AJ393" s="289"/>
      <c r="AK393" s="289"/>
      <c r="AL393" s="289"/>
      <c r="AM393" s="289"/>
      <c r="AN393" s="289"/>
      <c r="AO393" s="289"/>
      <c r="AP393" s="289"/>
      <c r="AQ393" s="289"/>
      <c r="AR393" s="289"/>
      <c r="AS393" s="289"/>
      <c r="AT393" s="289"/>
      <c r="AU393" s="289"/>
      <c r="AV393" s="289"/>
      <c r="AW393" s="289"/>
      <c r="AX393" s="289"/>
      <c r="AY393" s="289"/>
      <c r="AZ393" s="289"/>
      <c r="BA393" s="289"/>
      <c r="BB393" s="289"/>
      <c r="BC393" s="289"/>
      <c r="BD393" s="289"/>
      <c r="BE393" s="289"/>
      <c r="BF393" s="289"/>
      <c r="BG393" s="289"/>
    </row>
    <row r="394" spans="1:59" ht="15.75" customHeight="1" x14ac:dyDescent="0.2">
      <c r="A394" s="289"/>
      <c r="B394" s="268"/>
      <c r="C394" s="307" t="s">
        <v>305</v>
      </c>
      <c r="D394" s="359">
        <v>0</v>
      </c>
      <c r="E394" s="359">
        <v>0</v>
      </c>
      <c r="F394" s="359">
        <v>0</v>
      </c>
      <c r="G394" s="359">
        <v>0</v>
      </c>
      <c r="H394" s="359">
        <f t="shared" si="229"/>
        <v>0</v>
      </c>
      <c r="I394" s="359">
        <v>0</v>
      </c>
      <c r="J394" s="359">
        <v>0</v>
      </c>
      <c r="K394" s="359">
        <v>0</v>
      </c>
      <c r="L394" s="359">
        <v>0</v>
      </c>
      <c r="M394" s="359">
        <f t="shared" si="230"/>
        <v>0</v>
      </c>
      <c r="N394" s="359">
        <v>0</v>
      </c>
      <c r="O394" s="359">
        <v>0</v>
      </c>
      <c r="P394" s="359">
        <v>0</v>
      </c>
      <c r="Q394" s="359">
        <v>0</v>
      </c>
      <c r="R394" s="359">
        <f t="shared" si="231"/>
        <v>0</v>
      </c>
      <c r="S394" s="359">
        <v>0</v>
      </c>
      <c r="T394" s="359">
        <v>0</v>
      </c>
      <c r="U394" s="359">
        <v>0</v>
      </c>
      <c r="V394" s="359">
        <v>0</v>
      </c>
      <c r="W394" s="359">
        <f t="shared" si="232"/>
        <v>0</v>
      </c>
      <c r="X394" s="359">
        <v>0</v>
      </c>
      <c r="Y394" s="359">
        <v>0</v>
      </c>
      <c r="Z394" s="359">
        <v>0</v>
      </c>
      <c r="AA394" s="359">
        <v>0</v>
      </c>
      <c r="AB394" s="359">
        <f t="shared" si="233"/>
        <v>0</v>
      </c>
      <c r="AC394" s="289"/>
      <c r="AD394" s="289"/>
      <c r="AE394" s="289"/>
      <c r="AF394" s="289"/>
      <c r="AG394" s="289"/>
      <c r="AH394" s="289"/>
      <c r="AI394" s="289"/>
      <c r="AJ394" s="289"/>
      <c r="AK394" s="289"/>
      <c r="AL394" s="289"/>
      <c r="AM394" s="289"/>
      <c r="AN394" s="289"/>
      <c r="AO394" s="289"/>
      <c r="AP394" s="289"/>
      <c r="AQ394" s="289"/>
      <c r="AR394" s="289"/>
      <c r="AS394" s="289"/>
      <c r="AT394" s="289"/>
      <c r="AU394" s="289"/>
      <c r="AV394" s="289"/>
      <c r="AW394" s="289"/>
      <c r="AX394" s="289"/>
      <c r="AY394" s="289"/>
      <c r="AZ394" s="289"/>
      <c r="BA394" s="289"/>
      <c r="BB394" s="289"/>
      <c r="BC394" s="289"/>
      <c r="BD394" s="289"/>
      <c r="BE394" s="289"/>
      <c r="BF394" s="289"/>
      <c r="BG394" s="289"/>
    </row>
    <row r="395" spans="1:59" ht="15.75" customHeight="1" x14ac:dyDescent="0.2">
      <c r="A395" s="289"/>
      <c r="B395" s="268"/>
      <c r="C395" s="268"/>
      <c r="D395" s="360"/>
      <c r="E395" s="360"/>
      <c r="F395" s="360"/>
      <c r="G395" s="360"/>
      <c r="H395" s="360"/>
      <c r="I395" s="360"/>
      <c r="J395" s="360"/>
      <c r="K395" s="360"/>
      <c r="L395" s="360"/>
      <c r="M395" s="360"/>
      <c r="N395" s="360"/>
      <c r="O395" s="360"/>
      <c r="P395" s="360"/>
      <c r="Q395" s="360"/>
      <c r="R395" s="360"/>
      <c r="S395" s="360"/>
      <c r="T395" s="360"/>
      <c r="U395" s="360"/>
      <c r="V395" s="360"/>
      <c r="W395" s="360"/>
      <c r="X395" s="360"/>
      <c r="Y395" s="360"/>
      <c r="Z395" s="360"/>
      <c r="AA395" s="360"/>
      <c r="AB395" s="360"/>
      <c r="AC395" s="289"/>
      <c r="AD395" s="289"/>
      <c r="AE395" s="289"/>
      <c r="AF395" s="289"/>
      <c r="AG395" s="289"/>
      <c r="AH395" s="289"/>
      <c r="AI395" s="289"/>
      <c r="AJ395" s="289"/>
      <c r="AK395" s="289"/>
      <c r="AL395" s="289"/>
      <c r="AM395" s="289"/>
      <c r="AN395" s="289"/>
      <c r="AO395" s="289"/>
      <c r="AP395" s="289"/>
      <c r="AQ395" s="289"/>
      <c r="AR395" s="289"/>
      <c r="AS395" s="289"/>
      <c r="AT395" s="289"/>
      <c r="AU395" s="289"/>
      <c r="AV395" s="289"/>
      <c r="AW395" s="289"/>
      <c r="AX395" s="289"/>
      <c r="AY395" s="289"/>
      <c r="AZ395" s="289"/>
      <c r="BA395" s="289"/>
      <c r="BB395" s="289"/>
      <c r="BC395" s="289"/>
      <c r="BD395" s="289"/>
      <c r="BE395" s="289"/>
      <c r="BF395" s="289"/>
      <c r="BG395" s="289"/>
    </row>
    <row r="396" spans="1:59" ht="15.75" customHeight="1" x14ac:dyDescent="0.2">
      <c r="A396" s="289"/>
      <c r="B396" s="289"/>
      <c r="C396" s="357" t="s">
        <v>315</v>
      </c>
      <c r="D396" s="358">
        <f t="shared" ref="D396:AB396" si="234">D372+D382</f>
        <v>845665</v>
      </c>
      <c r="E396" s="358">
        <f t="shared" si="234"/>
        <v>730230</v>
      </c>
      <c r="F396" s="358">
        <f t="shared" si="234"/>
        <v>938815</v>
      </c>
      <c r="G396" s="358">
        <f t="shared" si="234"/>
        <v>906947</v>
      </c>
      <c r="H396" s="358">
        <f t="shared" si="234"/>
        <v>3682087</v>
      </c>
      <c r="I396" s="358">
        <f t="shared" si="234"/>
        <v>4415493</v>
      </c>
      <c r="J396" s="358">
        <f t="shared" si="234"/>
        <v>4356556</v>
      </c>
      <c r="K396" s="358">
        <f t="shared" si="234"/>
        <v>3744786</v>
      </c>
      <c r="L396" s="358">
        <f t="shared" si="234"/>
        <v>4639629</v>
      </c>
      <c r="M396" s="358">
        <f t="shared" si="234"/>
        <v>4639629</v>
      </c>
      <c r="N396" s="358">
        <f t="shared" si="234"/>
        <v>5378231</v>
      </c>
      <c r="O396" s="358">
        <f t="shared" si="234"/>
        <v>5628625</v>
      </c>
      <c r="P396" s="358">
        <f t="shared" si="234"/>
        <v>5754961</v>
      </c>
      <c r="Q396" s="358">
        <f t="shared" si="234"/>
        <v>5401310</v>
      </c>
      <c r="R396" s="358">
        <f t="shared" si="234"/>
        <v>5401310</v>
      </c>
      <c r="S396" s="358">
        <f t="shared" si="234"/>
        <v>5724443</v>
      </c>
      <c r="T396" s="358">
        <f t="shared" si="234"/>
        <v>5089770</v>
      </c>
      <c r="U396" s="358">
        <f t="shared" si="234"/>
        <v>5311532</v>
      </c>
      <c r="V396" s="358">
        <f t="shared" si="234"/>
        <v>5724443</v>
      </c>
      <c r="W396" s="358">
        <f t="shared" si="234"/>
        <v>5724443</v>
      </c>
      <c r="X396" s="358">
        <f t="shared" si="234"/>
        <v>5309115</v>
      </c>
      <c r="Y396" s="358">
        <f t="shared" si="234"/>
        <v>5514598</v>
      </c>
      <c r="Z396" s="358">
        <f t="shared" si="234"/>
        <v>5838865</v>
      </c>
      <c r="AA396" s="358">
        <f t="shared" si="234"/>
        <v>5731104</v>
      </c>
      <c r="AB396" s="358">
        <f t="shared" si="234"/>
        <v>5731104</v>
      </c>
      <c r="AC396" s="289"/>
      <c r="AD396" s="289"/>
      <c r="AE396" s="289"/>
      <c r="AF396" s="289"/>
      <c r="AG396" s="289"/>
      <c r="AH396" s="289"/>
      <c r="AI396" s="289"/>
      <c r="AJ396" s="289"/>
      <c r="AK396" s="289"/>
      <c r="AL396" s="289"/>
      <c r="AM396" s="289"/>
      <c r="AN396" s="289"/>
      <c r="AO396" s="289"/>
      <c r="AP396" s="289"/>
      <c r="AQ396" s="289"/>
      <c r="AR396" s="289"/>
      <c r="AS396" s="289"/>
      <c r="AT396" s="289"/>
      <c r="AU396" s="289"/>
      <c r="AV396" s="289"/>
      <c r="AW396" s="289"/>
      <c r="AX396" s="289"/>
      <c r="AY396" s="289"/>
      <c r="AZ396" s="289"/>
      <c r="BA396" s="289"/>
      <c r="BB396" s="289"/>
      <c r="BC396" s="289"/>
      <c r="BD396" s="289"/>
      <c r="BE396" s="289"/>
      <c r="BF396" s="289"/>
      <c r="BG396" s="289"/>
    </row>
    <row r="397" spans="1:59" ht="15.75" customHeight="1" x14ac:dyDescent="0.2">
      <c r="A397" s="289"/>
      <c r="B397" s="289"/>
      <c r="C397" s="289"/>
      <c r="D397" s="361"/>
      <c r="E397" s="361"/>
      <c r="F397" s="361"/>
      <c r="G397" s="361"/>
      <c r="H397" s="361"/>
      <c r="I397" s="361"/>
      <c r="J397" s="361"/>
      <c r="K397" s="361"/>
      <c r="L397" s="361"/>
      <c r="M397" s="361"/>
      <c r="N397" s="361"/>
      <c r="O397" s="361"/>
      <c r="P397" s="361"/>
      <c r="Q397" s="361"/>
      <c r="R397" s="361"/>
      <c r="S397" s="361"/>
      <c r="T397" s="361"/>
      <c r="U397" s="361"/>
      <c r="V397" s="361"/>
      <c r="W397" s="361"/>
      <c r="X397" s="361"/>
      <c r="Y397" s="361"/>
      <c r="Z397" s="361"/>
      <c r="AA397" s="361"/>
      <c r="AB397" s="361"/>
      <c r="AC397" s="289"/>
      <c r="AD397" s="289"/>
      <c r="AE397" s="289"/>
      <c r="AF397" s="289"/>
      <c r="AG397" s="289"/>
      <c r="AH397" s="289"/>
      <c r="AI397" s="289"/>
      <c r="AJ397" s="289"/>
      <c r="AK397" s="289"/>
      <c r="AL397" s="289"/>
      <c r="AM397" s="289"/>
      <c r="AN397" s="289"/>
      <c r="AO397" s="289"/>
      <c r="AP397" s="289"/>
      <c r="AQ397" s="289"/>
      <c r="AR397" s="289"/>
      <c r="AS397" s="289"/>
      <c r="AT397" s="289"/>
      <c r="AU397" s="289"/>
      <c r="AV397" s="289"/>
      <c r="AW397" s="289"/>
      <c r="AX397" s="289"/>
      <c r="AY397" s="289"/>
      <c r="AZ397" s="289"/>
      <c r="BA397" s="289"/>
      <c r="BB397" s="289"/>
      <c r="BC397" s="289"/>
      <c r="BD397" s="289"/>
      <c r="BE397" s="289"/>
      <c r="BF397" s="289"/>
      <c r="BG397" s="289"/>
    </row>
    <row r="398" spans="1:59" ht="15.75" customHeight="1" x14ac:dyDescent="0.2">
      <c r="A398" s="289"/>
      <c r="B398" s="289"/>
      <c r="C398" s="357" t="s">
        <v>316</v>
      </c>
      <c r="D398" s="358">
        <f t="shared" ref="D398:G398" si="235">SUM(D399:D407)</f>
        <v>395955</v>
      </c>
      <c r="E398" s="358">
        <f t="shared" si="235"/>
        <v>408370</v>
      </c>
      <c r="F398" s="358">
        <f t="shared" si="235"/>
        <v>444056</v>
      </c>
      <c r="G398" s="358">
        <f t="shared" si="235"/>
        <v>458957</v>
      </c>
      <c r="H398" s="358">
        <f t="shared" ref="H398:H407" si="236">G398</f>
        <v>458957</v>
      </c>
      <c r="I398" s="358">
        <f t="shared" ref="I398:R398" si="237">SUM(I399:I407)</f>
        <v>506740</v>
      </c>
      <c r="J398" s="358">
        <f t="shared" si="237"/>
        <v>466467</v>
      </c>
      <c r="K398" s="358">
        <f t="shared" si="237"/>
        <v>444056</v>
      </c>
      <c r="L398" s="358">
        <f t="shared" si="237"/>
        <v>459383</v>
      </c>
      <c r="M398" s="358">
        <f t="shared" si="237"/>
        <v>459383</v>
      </c>
      <c r="N398" s="358">
        <f t="shared" si="237"/>
        <v>570523</v>
      </c>
      <c r="O398" s="358">
        <f t="shared" si="237"/>
        <v>668490</v>
      </c>
      <c r="P398" s="358">
        <f t="shared" si="237"/>
        <v>661316</v>
      </c>
      <c r="Q398" s="358">
        <f t="shared" si="237"/>
        <v>640366</v>
      </c>
      <c r="R398" s="358">
        <f t="shared" si="237"/>
        <v>640366</v>
      </c>
      <c r="S398" s="358">
        <v>772165</v>
      </c>
      <c r="T398" s="358">
        <v>596413</v>
      </c>
      <c r="U398" s="358">
        <v>639197</v>
      </c>
      <c r="V398" s="358">
        <f t="shared" ref="V398:AB398" si="238">SUM(V399:V407)</f>
        <v>772165</v>
      </c>
      <c r="W398" s="358">
        <f t="shared" si="238"/>
        <v>772165</v>
      </c>
      <c r="X398" s="358">
        <f t="shared" si="238"/>
        <v>710210</v>
      </c>
      <c r="Y398" s="358">
        <f t="shared" si="238"/>
        <v>716563</v>
      </c>
      <c r="Z398" s="358">
        <f t="shared" si="238"/>
        <v>778864</v>
      </c>
      <c r="AA398" s="358">
        <f t="shared" si="238"/>
        <v>805409</v>
      </c>
      <c r="AB398" s="358">
        <f t="shared" si="238"/>
        <v>805409</v>
      </c>
      <c r="AC398" s="289"/>
      <c r="AD398" s="289"/>
      <c r="AE398" s="289"/>
      <c r="AF398" s="289"/>
      <c r="AG398" s="289"/>
      <c r="AH398" s="289"/>
      <c r="AI398" s="289"/>
      <c r="AJ398" s="289"/>
      <c r="AK398" s="289"/>
      <c r="AL398" s="289"/>
      <c r="AM398" s="289"/>
      <c r="AN398" s="289"/>
      <c r="AO398" s="289"/>
      <c r="AP398" s="289"/>
      <c r="AQ398" s="289"/>
      <c r="AR398" s="289"/>
      <c r="AS398" s="289"/>
      <c r="AT398" s="289"/>
      <c r="AU398" s="289"/>
      <c r="AV398" s="289"/>
      <c r="AW398" s="289"/>
      <c r="AX398" s="289"/>
      <c r="AY398" s="289"/>
      <c r="AZ398" s="289"/>
      <c r="BA398" s="289"/>
      <c r="BB398" s="289"/>
      <c r="BC398" s="289"/>
      <c r="BD398" s="289"/>
      <c r="BE398" s="289"/>
      <c r="BF398" s="289"/>
      <c r="BG398" s="289"/>
    </row>
    <row r="399" spans="1:59" ht="15.75" customHeight="1" x14ac:dyDescent="0.2">
      <c r="A399" s="289"/>
      <c r="B399" s="268"/>
      <c r="C399" s="307" t="s">
        <v>263</v>
      </c>
      <c r="D399" s="359">
        <v>152547</v>
      </c>
      <c r="E399" s="359">
        <v>134647</v>
      </c>
      <c r="F399" s="359">
        <v>81875</v>
      </c>
      <c r="G399" s="359">
        <v>82485</v>
      </c>
      <c r="H399" s="359">
        <f t="shared" si="236"/>
        <v>82485</v>
      </c>
      <c r="I399" s="359">
        <v>77775</v>
      </c>
      <c r="J399" s="359">
        <v>74893</v>
      </c>
      <c r="K399" s="359">
        <v>81875</v>
      </c>
      <c r="L399" s="359">
        <v>78506</v>
      </c>
      <c r="M399" s="359">
        <f t="shared" ref="M399:M407" si="239">L399</f>
        <v>78506</v>
      </c>
      <c r="N399" s="359">
        <v>77226</v>
      </c>
      <c r="O399" s="359">
        <v>142757</v>
      </c>
      <c r="P399" s="359">
        <v>106406</v>
      </c>
      <c r="Q399" s="359">
        <v>87460</v>
      </c>
      <c r="R399" s="359">
        <f t="shared" ref="R399:R407" si="240">Q399</f>
        <v>87460</v>
      </c>
      <c r="S399" s="359">
        <v>159846</v>
      </c>
      <c r="T399" s="359">
        <v>97128</v>
      </c>
      <c r="U399" s="359">
        <v>97608</v>
      </c>
      <c r="V399" s="359">
        <v>159846</v>
      </c>
      <c r="W399" s="359">
        <f t="shared" ref="W399:W407" si="241">V399</f>
        <v>159846</v>
      </c>
      <c r="X399" s="359">
        <v>99334</v>
      </c>
      <c r="Y399" s="359">
        <v>104719</v>
      </c>
      <c r="Z399" s="359">
        <v>117565</v>
      </c>
      <c r="AA399" s="359">
        <v>143142</v>
      </c>
      <c r="AB399" s="359">
        <f t="shared" ref="AB399:AB407" si="242">AA399</f>
        <v>143142</v>
      </c>
      <c r="AC399" s="289"/>
      <c r="AD399" s="289"/>
      <c r="AE399" s="289"/>
      <c r="AF399" s="289"/>
      <c r="AG399" s="289"/>
      <c r="AH399" s="289"/>
      <c r="AI399" s="289"/>
      <c r="AJ399" s="289"/>
      <c r="AK399" s="289"/>
      <c r="AL399" s="289"/>
      <c r="AM399" s="289"/>
      <c r="AN399" s="289"/>
      <c r="AO399" s="289"/>
      <c r="AP399" s="289"/>
      <c r="AQ399" s="289"/>
      <c r="AR399" s="289"/>
      <c r="AS399" s="289"/>
      <c r="AT399" s="289"/>
      <c r="AU399" s="289"/>
      <c r="AV399" s="289"/>
      <c r="AW399" s="289"/>
      <c r="AX399" s="289"/>
      <c r="AY399" s="289"/>
      <c r="AZ399" s="289"/>
      <c r="BA399" s="289"/>
      <c r="BB399" s="289"/>
      <c r="BC399" s="289"/>
      <c r="BD399" s="289"/>
      <c r="BE399" s="289"/>
      <c r="BF399" s="289"/>
      <c r="BG399" s="289"/>
    </row>
    <row r="400" spans="1:59" ht="15.75" customHeight="1" x14ac:dyDescent="0.2">
      <c r="A400" s="289"/>
      <c r="B400" s="268"/>
      <c r="C400" s="307" t="s">
        <v>317</v>
      </c>
      <c r="D400" s="359">
        <v>179090</v>
      </c>
      <c r="E400" s="359">
        <v>204828</v>
      </c>
      <c r="F400" s="359">
        <v>210994</v>
      </c>
      <c r="G400" s="359">
        <v>233298</v>
      </c>
      <c r="H400" s="359">
        <f t="shared" si="236"/>
        <v>233298</v>
      </c>
      <c r="I400" s="359">
        <v>194523</v>
      </c>
      <c r="J400" s="359">
        <v>169514</v>
      </c>
      <c r="K400" s="359">
        <v>210994</v>
      </c>
      <c r="L400" s="359">
        <v>147669</v>
      </c>
      <c r="M400" s="359">
        <f t="shared" si="239"/>
        <v>147669</v>
      </c>
      <c r="N400" s="359">
        <v>250775</v>
      </c>
      <c r="O400" s="359">
        <v>268247</v>
      </c>
      <c r="P400" s="359">
        <v>283767</v>
      </c>
      <c r="Q400" s="359">
        <v>304901</v>
      </c>
      <c r="R400" s="359">
        <f t="shared" si="240"/>
        <v>304901</v>
      </c>
      <c r="S400" s="359">
        <v>252723</v>
      </c>
      <c r="T400" s="359">
        <v>222668</v>
      </c>
      <c r="U400" s="359">
        <v>237183</v>
      </c>
      <c r="V400" s="359">
        <v>252723</v>
      </c>
      <c r="W400" s="359">
        <f t="shared" si="241"/>
        <v>252723</v>
      </c>
      <c r="X400" s="359">
        <v>237104</v>
      </c>
      <c r="Y400" s="359">
        <v>303068</v>
      </c>
      <c r="Z400" s="359">
        <v>327956</v>
      </c>
      <c r="AA400" s="359">
        <v>312439</v>
      </c>
      <c r="AB400" s="359">
        <f t="shared" si="242"/>
        <v>312439</v>
      </c>
      <c r="AC400" s="289"/>
      <c r="AD400" s="289"/>
      <c r="AE400" s="289"/>
      <c r="AF400" s="289"/>
      <c r="AG400" s="289"/>
      <c r="AH400" s="289"/>
      <c r="AI400" s="289"/>
      <c r="AJ400" s="289"/>
      <c r="AK400" s="289"/>
      <c r="AL400" s="289"/>
      <c r="AM400" s="289"/>
      <c r="AN400" s="289"/>
      <c r="AO400" s="289"/>
      <c r="AP400" s="289"/>
      <c r="AQ400" s="289"/>
      <c r="AR400" s="289"/>
      <c r="AS400" s="289"/>
      <c r="AT400" s="289"/>
      <c r="AU400" s="289"/>
      <c r="AV400" s="289"/>
      <c r="AW400" s="289"/>
      <c r="AX400" s="289"/>
      <c r="AY400" s="289"/>
      <c r="AZ400" s="289"/>
      <c r="BA400" s="289"/>
      <c r="BB400" s="289"/>
      <c r="BC400" s="289"/>
      <c r="BD400" s="289"/>
      <c r="BE400" s="289"/>
      <c r="BF400" s="289"/>
      <c r="BG400" s="289"/>
    </row>
    <row r="401" spans="1:59" ht="15.75" customHeight="1" x14ac:dyDescent="0.2">
      <c r="A401" s="289"/>
      <c r="B401" s="268"/>
      <c r="C401" s="307" t="s">
        <v>318</v>
      </c>
      <c r="D401" s="359">
        <v>1373</v>
      </c>
      <c r="E401" s="359">
        <v>355</v>
      </c>
      <c r="F401" s="359">
        <v>172</v>
      </c>
      <c r="G401" s="359">
        <v>178</v>
      </c>
      <c r="H401" s="359">
        <f t="shared" si="236"/>
        <v>178</v>
      </c>
      <c r="I401" s="359">
        <v>79797</v>
      </c>
      <c r="J401" s="359">
        <v>80066</v>
      </c>
      <c r="K401" s="359">
        <v>172</v>
      </c>
      <c r="L401" s="359">
        <v>88426</v>
      </c>
      <c r="M401" s="359">
        <f t="shared" si="239"/>
        <v>88426</v>
      </c>
      <c r="N401" s="359">
        <v>89132</v>
      </c>
      <c r="O401" s="359">
        <v>92813</v>
      </c>
      <c r="P401" s="359">
        <v>92248</v>
      </c>
      <c r="Q401" s="359">
        <v>94538</v>
      </c>
      <c r="R401" s="359">
        <f t="shared" si="240"/>
        <v>94538</v>
      </c>
      <c r="S401" s="359">
        <v>108538</v>
      </c>
      <c r="T401" s="359">
        <v>118677</v>
      </c>
      <c r="U401" s="359">
        <v>110497</v>
      </c>
      <c r="V401" s="359">
        <v>108538</v>
      </c>
      <c r="W401" s="359">
        <f t="shared" si="241"/>
        <v>108538</v>
      </c>
      <c r="X401" s="359">
        <v>108821</v>
      </c>
      <c r="Y401" s="359">
        <v>128005</v>
      </c>
      <c r="Z401" s="359">
        <v>129852</v>
      </c>
      <c r="AA401" s="359">
        <v>129021</v>
      </c>
      <c r="AB401" s="359">
        <f t="shared" si="242"/>
        <v>129021</v>
      </c>
      <c r="AC401" s="289"/>
      <c r="AD401" s="289"/>
      <c r="AE401" s="289"/>
      <c r="AF401" s="289"/>
      <c r="AG401" s="289"/>
      <c r="AH401" s="289"/>
      <c r="AI401" s="289"/>
      <c r="AJ401" s="289"/>
      <c r="AK401" s="289"/>
      <c r="AL401" s="289"/>
      <c r="AM401" s="289"/>
      <c r="AN401" s="289"/>
      <c r="AO401" s="289"/>
      <c r="AP401" s="289"/>
      <c r="AQ401" s="289"/>
      <c r="AR401" s="289"/>
      <c r="AS401" s="289"/>
      <c r="AT401" s="289"/>
      <c r="AU401" s="289"/>
      <c r="AV401" s="289"/>
      <c r="AW401" s="289"/>
      <c r="AX401" s="289"/>
      <c r="AY401" s="289"/>
      <c r="AZ401" s="289"/>
      <c r="BA401" s="289"/>
      <c r="BB401" s="289"/>
      <c r="BC401" s="289"/>
      <c r="BD401" s="289"/>
      <c r="BE401" s="289"/>
      <c r="BF401" s="289"/>
      <c r="BG401" s="289"/>
    </row>
    <row r="402" spans="1:59" ht="15.75" customHeight="1" x14ac:dyDescent="0.2">
      <c r="A402" s="289"/>
      <c r="B402" s="268"/>
      <c r="C402" s="307" t="s">
        <v>319</v>
      </c>
      <c r="D402" s="359">
        <v>0</v>
      </c>
      <c r="E402" s="359">
        <v>0</v>
      </c>
      <c r="F402" s="359">
        <v>76579</v>
      </c>
      <c r="G402" s="359">
        <v>64262</v>
      </c>
      <c r="H402" s="359">
        <f t="shared" si="236"/>
        <v>64262</v>
      </c>
      <c r="I402" s="359">
        <v>77864</v>
      </c>
      <c r="J402" s="359">
        <v>68624</v>
      </c>
      <c r="K402" s="359">
        <v>76579</v>
      </c>
      <c r="L402" s="359">
        <v>74744</v>
      </c>
      <c r="M402" s="359">
        <f t="shared" si="239"/>
        <v>74744</v>
      </c>
      <c r="N402" s="359">
        <v>88248</v>
      </c>
      <c r="O402" s="359">
        <v>76732</v>
      </c>
      <c r="P402" s="359">
        <v>98394</v>
      </c>
      <c r="Q402" s="359">
        <v>85829</v>
      </c>
      <c r="R402" s="359">
        <f t="shared" si="240"/>
        <v>85829</v>
      </c>
      <c r="S402" s="359">
        <v>109083</v>
      </c>
      <c r="T402" s="359">
        <v>78164</v>
      </c>
      <c r="U402" s="359">
        <v>98244</v>
      </c>
      <c r="V402" s="359">
        <v>109083</v>
      </c>
      <c r="W402" s="359">
        <f t="shared" si="241"/>
        <v>109083</v>
      </c>
      <c r="X402" s="359">
        <v>129559</v>
      </c>
      <c r="Y402" s="359">
        <v>93901</v>
      </c>
      <c r="Z402" s="359">
        <v>113413</v>
      </c>
      <c r="AA402" s="359">
        <v>110505</v>
      </c>
      <c r="AB402" s="359">
        <f t="shared" si="242"/>
        <v>110505</v>
      </c>
      <c r="AC402" s="289"/>
      <c r="AD402" s="289"/>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AZ402" s="289"/>
      <c r="BA402" s="289"/>
      <c r="BB402" s="289"/>
      <c r="BC402" s="289"/>
      <c r="BD402" s="289"/>
      <c r="BE402" s="289"/>
      <c r="BF402" s="289"/>
      <c r="BG402" s="289"/>
    </row>
    <row r="403" spans="1:59" ht="15.75" customHeight="1" x14ac:dyDescent="0.2">
      <c r="A403" s="289"/>
      <c r="B403" s="268"/>
      <c r="C403" s="307" t="s">
        <v>320</v>
      </c>
      <c r="D403" s="359">
        <v>0</v>
      </c>
      <c r="E403" s="359">
        <v>0</v>
      </c>
      <c r="F403" s="359">
        <v>36136</v>
      </c>
      <c r="G403" s="359">
        <v>43455</v>
      </c>
      <c r="H403" s="359">
        <f t="shared" si="236"/>
        <v>43455</v>
      </c>
      <c r="I403" s="359">
        <v>42009</v>
      </c>
      <c r="J403" s="359">
        <v>34869</v>
      </c>
      <c r="K403" s="359">
        <v>36136</v>
      </c>
      <c r="L403" s="359">
        <v>39693</v>
      </c>
      <c r="M403" s="359">
        <f t="shared" si="239"/>
        <v>39693</v>
      </c>
      <c r="N403" s="359">
        <v>33680</v>
      </c>
      <c r="O403" s="359">
        <v>57380</v>
      </c>
      <c r="P403" s="359">
        <v>46758</v>
      </c>
      <c r="Q403" s="359">
        <v>32386</v>
      </c>
      <c r="R403" s="359">
        <f t="shared" si="240"/>
        <v>32386</v>
      </c>
      <c r="S403" s="359">
        <v>44961</v>
      </c>
      <c r="T403" s="359">
        <v>38344</v>
      </c>
      <c r="U403" s="359">
        <v>37721</v>
      </c>
      <c r="V403" s="359">
        <v>44961</v>
      </c>
      <c r="W403" s="359">
        <f t="shared" si="241"/>
        <v>44961</v>
      </c>
      <c r="X403" s="359">
        <v>42734</v>
      </c>
      <c r="Y403" s="359">
        <v>40304</v>
      </c>
      <c r="Z403" s="359">
        <v>44906</v>
      </c>
      <c r="AA403" s="359">
        <v>53689</v>
      </c>
      <c r="AB403" s="359">
        <f t="shared" si="242"/>
        <v>53689</v>
      </c>
      <c r="AC403" s="289"/>
      <c r="AD403" s="289"/>
      <c r="AE403" s="289"/>
      <c r="AF403" s="289"/>
      <c r="AG403" s="289"/>
      <c r="AH403" s="289"/>
      <c r="AI403" s="289"/>
      <c r="AJ403" s="289"/>
      <c r="AK403" s="289"/>
      <c r="AL403" s="289"/>
      <c r="AM403" s="289"/>
      <c r="AN403" s="289"/>
      <c r="AO403" s="289"/>
      <c r="AP403" s="289"/>
      <c r="AQ403" s="289"/>
      <c r="AR403" s="289"/>
      <c r="AS403" s="289"/>
      <c r="AT403" s="289"/>
      <c r="AU403" s="289"/>
      <c r="AV403" s="289"/>
      <c r="AW403" s="289"/>
      <c r="AX403" s="289"/>
      <c r="AY403" s="289"/>
      <c r="AZ403" s="289"/>
      <c r="BA403" s="289"/>
      <c r="BB403" s="289"/>
      <c r="BC403" s="289"/>
      <c r="BD403" s="289"/>
      <c r="BE403" s="289"/>
      <c r="BF403" s="289"/>
      <c r="BG403" s="289"/>
    </row>
    <row r="404" spans="1:59" ht="15.75" customHeight="1" x14ac:dyDescent="0.2">
      <c r="A404" s="289"/>
      <c r="B404" s="268"/>
      <c r="C404" s="307" t="s">
        <v>321</v>
      </c>
      <c r="D404" s="359">
        <v>0</v>
      </c>
      <c r="E404" s="359">
        <v>0</v>
      </c>
      <c r="F404" s="359">
        <v>0</v>
      </c>
      <c r="G404" s="359">
        <v>0</v>
      </c>
      <c r="H404" s="359">
        <f t="shared" si="236"/>
        <v>0</v>
      </c>
      <c r="I404" s="359">
        <v>0</v>
      </c>
      <c r="J404" s="359">
        <v>0</v>
      </c>
      <c r="K404" s="359">
        <v>0</v>
      </c>
      <c r="L404" s="359">
        <v>0</v>
      </c>
      <c r="M404" s="359">
        <f t="shared" si="239"/>
        <v>0</v>
      </c>
      <c r="N404" s="359">
        <v>0</v>
      </c>
      <c r="O404" s="359">
        <v>0</v>
      </c>
      <c r="P404" s="359">
        <v>0</v>
      </c>
      <c r="Q404" s="359">
        <v>0</v>
      </c>
      <c r="R404" s="359">
        <f t="shared" si="240"/>
        <v>0</v>
      </c>
      <c r="S404" s="359">
        <v>53104</v>
      </c>
      <c r="T404" s="359">
        <v>0</v>
      </c>
      <c r="U404" s="359">
        <v>0</v>
      </c>
      <c r="V404" s="359">
        <v>53104</v>
      </c>
      <c r="W404" s="359">
        <f t="shared" si="241"/>
        <v>53104</v>
      </c>
      <c r="X404" s="359">
        <v>53104</v>
      </c>
      <c r="Y404" s="359" t="s">
        <v>146</v>
      </c>
      <c r="Z404" s="359" t="s">
        <v>146</v>
      </c>
      <c r="AA404" s="359">
        <v>10160</v>
      </c>
      <c r="AB404" s="359">
        <f t="shared" si="242"/>
        <v>10160</v>
      </c>
      <c r="AC404" s="289"/>
      <c r="AD404" s="289"/>
      <c r="AE404" s="289"/>
      <c r="AF404" s="289"/>
      <c r="AG404" s="289"/>
      <c r="AH404" s="289"/>
      <c r="AI404" s="289"/>
      <c r="AJ404" s="289"/>
      <c r="AK404" s="289"/>
      <c r="AL404" s="289"/>
      <c r="AM404" s="289"/>
      <c r="AN404" s="289"/>
      <c r="AO404" s="289"/>
      <c r="AP404" s="289"/>
      <c r="AQ404" s="289"/>
      <c r="AR404" s="289"/>
      <c r="AS404" s="289"/>
      <c r="AT404" s="289"/>
      <c r="AU404" s="289"/>
      <c r="AV404" s="289"/>
      <c r="AW404" s="289"/>
      <c r="AX404" s="289"/>
      <c r="AY404" s="289"/>
      <c r="AZ404" s="289"/>
      <c r="BA404" s="289"/>
      <c r="BB404" s="289"/>
      <c r="BC404" s="289"/>
      <c r="BD404" s="289"/>
      <c r="BE404" s="289"/>
      <c r="BF404" s="289"/>
      <c r="BG404" s="289"/>
    </row>
    <row r="405" spans="1:59" ht="15.75" customHeight="1" x14ac:dyDescent="0.2">
      <c r="A405" s="289"/>
      <c r="B405" s="268"/>
      <c r="C405" s="307" t="s">
        <v>322</v>
      </c>
      <c r="D405" s="359">
        <v>56152</v>
      </c>
      <c r="E405" s="359">
        <v>62388</v>
      </c>
      <c r="F405" s="359">
        <v>32792</v>
      </c>
      <c r="G405" s="359">
        <v>30859</v>
      </c>
      <c r="H405" s="359">
        <f t="shared" si="236"/>
        <v>30859</v>
      </c>
      <c r="I405" s="359">
        <v>33588</v>
      </c>
      <c r="J405" s="359">
        <v>35912</v>
      </c>
      <c r="K405" s="359">
        <v>32792</v>
      </c>
      <c r="L405" s="359">
        <v>28174</v>
      </c>
      <c r="M405" s="359">
        <f t="shared" si="239"/>
        <v>28174</v>
      </c>
      <c r="N405" s="359">
        <v>27864</v>
      </c>
      <c r="O405" s="359">
        <v>27208</v>
      </c>
      <c r="P405" s="359">
        <v>30127</v>
      </c>
      <c r="Q405" s="359">
        <v>34658</v>
      </c>
      <c r="R405" s="359">
        <f t="shared" si="240"/>
        <v>34658</v>
      </c>
      <c r="S405" s="359">
        <v>43910</v>
      </c>
      <c r="T405" s="359">
        <v>41432</v>
      </c>
      <c r="U405" s="359">
        <v>57944</v>
      </c>
      <c r="V405" s="359">
        <v>43910</v>
      </c>
      <c r="W405" s="359">
        <f t="shared" si="241"/>
        <v>43910</v>
      </c>
      <c r="X405" s="359">
        <v>39554</v>
      </c>
      <c r="Y405" s="359">
        <v>46566</v>
      </c>
      <c r="Z405" s="359">
        <v>45172</v>
      </c>
      <c r="AA405" s="359">
        <v>46453</v>
      </c>
      <c r="AB405" s="359">
        <f t="shared" si="242"/>
        <v>46453</v>
      </c>
      <c r="AC405" s="289"/>
      <c r="AD405" s="289"/>
      <c r="AE405" s="289"/>
      <c r="AF405" s="289"/>
      <c r="AG405" s="289"/>
      <c r="AH405" s="289"/>
      <c r="AI405" s="289"/>
      <c r="AJ405" s="289"/>
      <c r="AK405" s="289"/>
      <c r="AL405" s="289"/>
      <c r="AM405" s="289"/>
      <c r="AN405" s="289"/>
      <c r="AO405" s="289"/>
      <c r="AP405" s="289"/>
      <c r="AQ405" s="289"/>
      <c r="AR405" s="289"/>
      <c r="AS405" s="289"/>
      <c r="AT405" s="289"/>
      <c r="AU405" s="289"/>
      <c r="AV405" s="289"/>
      <c r="AW405" s="289"/>
      <c r="AX405" s="289"/>
      <c r="AY405" s="289"/>
      <c r="AZ405" s="289"/>
      <c r="BA405" s="289"/>
      <c r="BB405" s="289"/>
      <c r="BC405" s="289"/>
      <c r="BD405" s="289"/>
      <c r="BE405" s="289"/>
      <c r="BF405" s="289"/>
      <c r="BG405" s="289"/>
    </row>
    <row r="406" spans="1:59" ht="15.75" customHeight="1" x14ac:dyDescent="0.2">
      <c r="A406" s="289"/>
      <c r="B406" s="268"/>
      <c r="C406" s="307" t="s">
        <v>323</v>
      </c>
      <c r="D406" s="359">
        <v>985</v>
      </c>
      <c r="E406" s="359">
        <v>2325</v>
      </c>
      <c r="F406" s="359">
        <v>1080</v>
      </c>
      <c r="G406" s="359">
        <v>1635</v>
      </c>
      <c r="H406" s="359">
        <f t="shared" si="236"/>
        <v>1635</v>
      </c>
      <c r="I406" s="359">
        <v>0</v>
      </c>
      <c r="J406" s="359">
        <v>0</v>
      </c>
      <c r="K406" s="359">
        <v>1080</v>
      </c>
      <c r="L406" s="359">
        <v>0</v>
      </c>
      <c r="M406" s="359">
        <f t="shared" si="239"/>
        <v>0</v>
      </c>
      <c r="N406" s="359">
        <v>0</v>
      </c>
      <c r="O406" s="359">
        <v>0</v>
      </c>
      <c r="P406" s="359">
        <v>0</v>
      </c>
      <c r="Q406" s="359">
        <v>0</v>
      </c>
      <c r="R406" s="359">
        <f t="shared" si="240"/>
        <v>0</v>
      </c>
      <c r="S406" s="359">
        <v>0</v>
      </c>
      <c r="T406" s="359">
        <v>0</v>
      </c>
      <c r="U406" s="359">
        <v>0</v>
      </c>
      <c r="V406" s="359">
        <v>0</v>
      </c>
      <c r="W406" s="359">
        <f t="shared" si="241"/>
        <v>0</v>
      </c>
      <c r="X406" s="359">
        <v>0</v>
      </c>
      <c r="Y406" s="359">
        <v>0</v>
      </c>
      <c r="Z406" s="359">
        <v>0</v>
      </c>
      <c r="AA406" s="359">
        <v>0</v>
      </c>
      <c r="AB406" s="359">
        <f t="shared" si="242"/>
        <v>0</v>
      </c>
      <c r="AC406" s="289"/>
      <c r="AD406" s="289"/>
      <c r="AE406" s="289"/>
      <c r="AF406" s="289"/>
      <c r="AG406" s="289"/>
      <c r="AH406" s="289"/>
      <c r="AI406" s="289"/>
      <c r="AJ406" s="289"/>
      <c r="AK406" s="289"/>
      <c r="AL406" s="289"/>
      <c r="AM406" s="289"/>
      <c r="AN406" s="289"/>
      <c r="AO406" s="289"/>
      <c r="AP406" s="289"/>
      <c r="AQ406" s="289"/>
      <c r="AR406" s="289"/>
      <c r="AS406" s="289"/>
      <c r="AT406" s="289"/>
      <c r="AU406" s="289"/>
      <c r="AV406" s="289"/>
      <c r="AW406" s="289"/>
      <c r="AX406" s="289"/>
      <c r="AY406" s="289"/>
      <c r="AZ406" s="289"/>
      <c r="BA406" s="289"/>
      <c r="BB406" s="289"/>
      <c r="BC406" s="289"/>
      <c r="BD406" s="289"/>
      <c r="BE406" s="289"/>
      <c r="BF406" s="289"/>
      <c r="BG406" s="289"/>
    </row>
    <row r="407" spans="1:59" ht="15.75" customHeight="1" x14ac:dyDescent="0.2">
      <c r="A407" s="289"/>
      <c r="B407" s="268"/>
      <c r="C407" s="307" t="s">
        <v>324</v>
      </c>
      <c r="D407" s="359">
        <v>5808</v>
      </c>
      <c r="E407" s="359">
        <v>3827</v>
      </c>
      <c r="F407" s="359">
        <v>4428</v>
      </c>
      <c r="G407" s="359">
        <v>2785</v>
      </c>
      <c r="H407" s="359">
        <f t="shared" si="236"/>
        <v>2785</v>
      </c>
      <c r="I407" s="359">
        <v>1184</v>
      </c>
      <c r="J407" s="359">
        <v>2589</v>
      </c>
      <c r="K407" s="359">
        <v>4428</v>
      </c>
      <c r="L407" s="359">
        <v>2171</v>
      </c>
      <c r="M407" s="359">
        <f t="shared" si="239"/>
        <v>2171</v>
      </c>
      <c r="N407" s="359">
        <v>3598</v>
      </c>
      <c r="O407" s="359">
        <v>3353</v>
      </c>
      <c r="P407" s="359">
        <v>3616</v>
      </c>
      <c r="Q407" s="359">
        <v>594</v>
      </c>
      <c r="R407" s="359">
        <f t="shared" si="240"/>
        <v>594</v>
      </c>
      <c r="S407" s="359">
        <v>0</v>
      </c>
      <c r="T407" s="359">
        <v>0</v>
      </c>
      <c r="U407" s="359">
        <v>0</v>
      </c>
      <c r="V407" s="359">
        <v>0</v>
      </c>
      <c r="W407" s="359">
        <f t="shared" si="241"/>
        <v>0</v>
      </c>
      <c r="X407" s="359">
        <v>0</v>
      </c>
      <c r="Y407" s="359">
        <v>0</v>
      </c>
      <c r="Z407" s="359">
        <v>0</v>
      </c>
      <c r="AA407" s="359">
        <v>0</v>
      </c>
      <c r="AB407" s="359">
        <f t="shared" si="242"/>
        <v>0</v>
      </c>
      <c r="AC407" s="289"/>
      <c r="AD407" s="289"/>
      <c r="AE407" s="289"/>
      <c r="AF407" s="289"/>
      <c r="AG407" s="289"/>
      <c r="AH407" s="289"/>
      <c r="AI407" s="289"/>
      <c r="AJ407" s="289"/>
      <c r="AK407" s="289"/>
      <c r="AL407" s="289"/>
      <c r="AM407" s="289"/>
      <c r="AN407" s="289"/>
      <c r="AO407" s="289"/>
      <c r="AP407" s="289"/>
      <c r="AQ407" s="289"/>
      <c r="AR407" s="289"/>
      <c r="AS407" s="289"/>
      <c r="AT407" s="289"/>
      <c r="AU407" s="289"/>
      <c r="AV407" s="289"/>
      <c r="AW407" s="289"/>
      <c r="AX407" s="289"/>
      <c r="AY407" s="289"/>
      <c r="AZ407" s="289"/>
      <c r="BA407" s="289"/>
      <c r="BB407" s="289"/>
      <c r="BC407" s="289"/>
      <c r="BD407" s="289"/>
      <c r="BE407" s="289"/>
      <c r="BF407" s="289"/>
      <c r="BG407" s="289"/>
    </row>
    <row r="408" spans="1:59" ht="15.75" customHeight="1" x14ac:dyDescent="0.2">
      <c r="A408" s="289"/>
      <c r="B408" s="268"/>
      <c r="C408" s="268"/>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289"/>
      <c r="AD408" s="289"/>
      <c r="AE408" s="289"/>
      <c r="AF408" s="289"/>
      <c r="AG408" s="289"/>
      <c r="AH408" s="289"/>
      <c r="AI408" s="289"/>
      <c r="AJ408" s="289"/>
      <c r="AK408" s="289"/>
      <c r="AL408" s="289"/>
      <c r="AM408" s="289"/>
      <c r="AN408" s="289"/>
      <c r="AO408" s="289"/>
      <c r="AP408" s="289"/>
      <c r="AQ408" s="289"/>
      <c r="AR408" s="289"/>
      <c r="AS408" s="289"/>
      <c r="AT408" s="289"/>
      <c r="AU408" s="289"/>
      <c r="AV408" s="289"/>
      <c r="AW408" s="289"/>
      <c r="AX408" s="289"/>
      <c r="AY408" s="289"/>
      <c r="AZ408" s="289"/>
      <c r="BA408" s="289"/>
      <c r="BB408" s="289"/>
      <c r="BC408" s="289"/>
      <c r="BD408" s="289"/>
      <c r="BE408" s="289"/>
      <c r="BF408" s="289"/>
      <c r="BG408" s="289"/>
    </row>
    <row r="409" spans="1:59" ht="15.75" customHeight="1" x14ac:dyDescent="0.2">
      <c r="A409" s="289"/>
      <c r="B409" s="289"/>
      <c r="C409" s="357" t="s">
        <v>325</v>
      </c>
      <c r="D409" s="358">
        <f t="shared" ref="D409:G409" si="243">SUM(D410:D416)</f>
        <v>1195922</v>
      </c>
      <c r="E409" s="358">
        <f t="shared" si="243"/>
        <v>1313176</v>
      </c>
      <c r="F409" s="358">
        <f t="shared" si="243"/>
        <v>1326280</v>
      </c>
      <c r="G409" s="358">
        <f t="shared" si="243"/>
        <v>1223289</v>
      </c>
      <c r="H409" s="358">
        <f t="shared" ref="H409:H416" si="244">G409</f>
        <v>1223289</v>
      </c>
      <c r="I409" s="358">
        <f t="shared" ref="I409:R409" si="245">SUM(I410:I416)</f>
        <v>1876623</v>
      </c>
      <c r="J409" s="358">
        <f t="shared" si="245"/>
        <v>1999120</v>
      </c>
      <c r="K409" s="358">
        <f t="shared" si="245"/>
        <v>1326280</v>
      </c>
      <c r="L409" s="358">
        <f t="shared" si="245"/>
        <v>2174964</v>
      </c>
      <c r="M409" s="358">
        <f t="shared" si="245"/>
        <v>2174964</v>
      </c>
      <c r="N409" s="358">
        <f t="shared" si="245"/>
        <v>2514165</v>
      </c>
      <c r="O409" s="358">
        <f t="shared" si="245"/>
        <v>2643177</v>
      </c>
      <c r="P409" s="358">
        <f t="shared" si="245"/>
        <v>2677967</v>
      </c>
      <c r="Q409" s="358">
        <f t="shared" si="245"/>
        <v>2524965</v>
      </c>
      <c r="R409" s="358">
        <f t="shared" si="245"/>
        <v>2524965</v>
      </c>
      <c r="S409" s="358">
        <v>2597002</v>
      </c>
      <c r="T409" s="358">
        <v>2534877</v>
      </c>
      <c r="U409" s="358">
        <v>2559388</v>
      </c>
      <c r="V409" s="358">
        <f t="shared" ref="V409:AB409" si="246">SUM(V410:V416)</f>
        <v>2597002</v>
      </c>
      <c r="W409" s="358">
        <f t="shared" si="246"/>
        <v>2597002</v>
      </c>
      <c r="X409" s="358">
        <f t="shared" si="246"/>
        <v>2369328</v>
      </c>
      <c r="Y409" s="358">
        <f t="shared" si="246"/>
        <v>2533554</v>
      </c>
      <c r="Z409" s="358">
        <f t="shared" si="246"/>
        <v>2680017</v>
      </c>
      <c r="AA409" s="358">
        <f t="shared" si="246"/>
        <v>2577183</v>
      </c>
      <c r="AB409" s="358">
        <f t="shared" si="246"/>
        <v>2577183</v>
      </c>
      <c r="AC409" s="289"/>
      <c r="AD409" s="289"/>
      <c r="AE409" s="289"/>
      <c r="AF409" s="289"/>
      <c r="AG409" s="289"/>
      <c r="AH409" s="289"/>
      <c r="AI409" s="289"/>
      <c r="AJ409" s="289"/>
      <c r="AK409" s="289"/>
      <c r="AL409" s="289"/>
      <c r="AM409" s="289"/>
      <c r="AN409" s="289"/>
      <c r="AO409" s="289"/>
      <c r="AP409" s="289"/>
      <c r="AQ409" s="289"/>
      <c r="AR409" s="289"/>
      <c r="AS409" s="289"/>
      <c r="AT409" s="289"/>
      <c r="AU409" s="289"/>
      <c r="AV409" s="289"/>
      <c r="AW409" s="289"/>
      <c r="AX409" s="289"/>
      <c r="AY409" s="289"/>
      <c r="AZ409" s="289"/>
      <c r="BA409" s="289"/>
      <c r="BB409" s="289"/>
      <c r="BC409" s="289"/>
      <c r="BD409" s="289"/>
      <c r="BE409" s="289"/>
      <c r="BF409" s="289"/>
      <c r="BG409" s="289"/>
    </row>
    <row r="410" spans="1:59" ht="15.75" customHeight="1" x14ac:dyDescent="0.2">
      <c r="A410" s="289"/>
      <c r="B410" s="268"/>
      <c r="C410" s="307" t="s">
        <v>326</v>
      </c>
      <c r="D410" s="359">
        <v>0</v>
      </c>
      <c r="E410" s="359">
        <v>0</v>
      </c>
      <c r="F410" s="359">
        <v>0</v>
      </c>
      <c r="G410" s="359">
        <v>0</v>
      </c>
      <c r="H410" s="359">
        <f t="shared" si="244"/>
        <v>0</v>
      </c>
      <c r="I410" s="359">
        <v>0</v>
      </c>
      <c r="J410" s="359">
        <v>0</v>
      </c>
      <c r="K410" s="359">
        <v>0</v>
      </c>
      <c r="L410" s="359">
        <v>0</v>
      </c>
      <c r="M410" s="359">
        <f t="shared" ref="M410:M416" si="247">L410</f>
        <v>0</v>
      </c>
      <c r="N410" s="359">
        <v>0</v>
      </c>
      <c r="O410" s="359">
        <v>0</v>
      </c>
      <c r="P410" s="359">
        <v>0</v>
      </c>
      <c r="Q410" s="359">
        <v>0</v>
      </c>
      <c r="R410" s="359">
        <f t="shared" ref="R410:R416" si="248">Q410</f>
        <v>0</v>
      </c>
      <c r="S410" s="359">
        <v>13</v>
      </c>
      <c r="T410" s="359">
        <v>1688</v>
      </c>
      <c r="U410" s="359">
        <v>252</v>
      </c>
      <c r="V410" s="359">
        <v>13</v>
      </c>
      <c r="W410" s="359">
        <f t="shared" ref="W410:W416" si="249">V410</f>
        <v>13</v>
      </c>
      <c r="X410" s="359">
        <v>11</v>
      </c>
      <c r="Y410" s="359">
        <v>11</v>
      </c>
      <c r="Z410" s="359">
        <v>11</v>
      </c>
      <c r="AA410" s="359">
        <v>25</v>
      </c>
      <c r="AB410" s="359">
        <f t="shared" ref="AB410:AB416" si="250">AA410</f>
        <v>25</v>
      </c>
      <c r="AC410" s="289"/>
      <c r="AD410" s="289"/>
      <c r="AE410" s="289"/>
      <c r="AF410" s="289"/>
      <c r="AG410" s="289"/>
      <c r="AH410" s="289"/>
      <c r="AI410" s="289"/>
      <c r="AJ410" s="289"/>
      <c r="AK410" s="289"/>
      <c r="AL410" s="289"/>
      <c r="AM410" s="289"/>
      <c r="AN410" s="289"/>
      <c r="AO410" s="289"/>
      <c r="AP410" s="289"/>
      <c r="AQ410" s="289"/>
      <c r="AR410" s="289"/>
      <c r="AS410" s="289"/>
      <c r="AT410" s="289"/>
      <c r="AU410" s="289"/>
      <c r="AV410" s="289"/>
      <c r="AW410" s="289"/>
      <c r="AX410" s="289"/>
      <c r="AY410" s="289"/>
      <c r="AZ410" s="289"/>
      <c r="BA410" s="289"/>
      <c r="BB410" s="289"/>
      <c r="BC410" s="289"/>
      <c r="BD410" s="289"/>
      <c r="BE410" s="289"/>
      <c r="BF410" s="289"/>
      <c r="BG410" s="289"/>
    </row>
    <row r="411" spans="1:59" ht="15.75" customHeight="1" x14ac:dyDescent="0.2">
      <c r="A411" s="289"/>
      <c r="B411" s="268"/>
      <c r="C411" s="307" t="s">
        <v>317</v>
      </c>
      <c r="D411" s="359">
        <v>955347</v>
      </c>
      <c r="E411" s="359">
        <v>1041089</v>
      </c>
      <c r="F411" s="359">
        <v>1044782</v>
      </c>
      <c r="G411" s="359">
        <v>957451</v>
      </c>
      <c r="H411" s="359">
        <f t="shared" si="244"/>
        <v>957451</v>
      </c>
      <c r="I411" s="359">
        <v>984719</v>
      </c>
      <c r="J411" s="359">
        <v>1095059</v>
      </c>
      <c r="K411" s="359">
        <v>1044782</v>
      </c>
      <c r="L411" s="359">
        <v>1202527</v>
      </c>
      <c r="M411" s="359">
        <f t="shared" si="247"/>
        <v>1202527</v>
      </c>
      <c r="N411" s="359">
        <v>1435262</v>
      </c>
      <c r="O411" s="359">
        <v>1550343</v>
      </c>
      <c r="P411" s="359">
        <v>1586814</v>
      </c>
      <c r="Q411" s="359">
        <v>1475806</v>
      </c>
      <c r="R411" s="359">
        <f t="shared" si="248"/>
        <v>1475806</v>
      </c>
      <c r="S411" s="359">
        <v>1430347</v>
      </c>
      <c r="T411" s="359">
        <v>1347528</v>
      </c>
      <c r="U411" s="359">
        <v>1393189</v>
      </c>
      <c r="V411" s="359">
        <v>1430347</v>
      </c>
      <c r="W411" s="359">
        <f t="shared" si="249"/>
        <v>1430347</v>
      </c>
      <c r="X411" s="359">
        <v>1261762</v>
      </c>
      <c r="Y411" s="359">
        <v>1302708</v>
      </c>
      <c r="Z411" s="359">
        <v>1436242</v>
      </c>
      <c r="AA411" s="359">
        <v>1367092</v>
      </c>
      <c r="AB411" s="359">
        <f t="shared" si="250"/>
        <v>1367092</v>
      </c>
      <c r="AC411" s="289"/>
      <c r="AD411" s="289"/>
      <c r="AE411" s="289"/>
      <c r="AF411" s="289"/>
      <c r="AG411" s="289"/>
      <c r="AH411" s="289"/>
      <c r="AI411" s="289"/>
      <c r="AJ411" s="289"/>
      <c r="AK411" s="289"/>
      <c r="AL411" s="289"/>
      <c r="AM411" s="289"/>
      <c r="AN411" s="289"/>
      <c r="AO411" s="289"/>
      <c r="AP411" s="289"/>
      <c r="AQ411" s="289"/>
      <c r="AR411" s="289"/>
      <c r="AS411" s="289"/>
      <c r="AT411" s="289"/>
      <c r="AU411" s="289"/>
      <c r="AV411" s="289"/>
      <c r="AW411" s="289"/>
      <c r="AX411" s="289"/>
      <c r="AY411" s="289"/>
      <c r="AZ411" s="289"/>
      <c r="BA411" s="289"/>
      <c r="BB411" s="289"/>
      <c r="BC411" s="289"/>
      <c r="BD411" s="289"/>
      <c r="BE411" s="289"/>
      <c r="BF411" s="289"/>
      <c r="BG411" s="289"/>
    </row>
    <row r="412" spans="1:59" ht="15.75" customHeight="1" x14ac:dyDescent="0.2">
      <c r="A412" s="289"/>
      <c r="B412" s="268"/>
      <c r="C412" s="307" t="s">
        <v>318</v>
      </c>
      <c r="D412" s="359">
        <v>442</v>
      </c>
      <c r="E412" s="359">
        <v>389</v>
      </c>
      <c r="F412" s="359">
        <v>272</v>
      </c>
      <c r="G412" s="359">
        <v>229</v>
      </c>
      <c r="H412" s="359">
        <f t="shared" si="244"/>
        <v>229</v>
      </c>
      <c r="I412" s="359">
        <v>619665</v>
      </c>
      <c r="J412" s="359">
        <v>635743</v>
      </c>
      <c r="K412" s="359">
        <v>272</v>
      </c>
      <c r="L412" s="359">
        <v>694126</v>
      </c>
      <c r="M412" s="359">
        <f t="shared" si="247"/>
        <v>694126</v>
      </c>
      <c r="N412" s="359">
        <v>722073</v>
      </c>
      <c r="O412" s="359">
        <v>724420</v>
      </c>
      <c r="P412" s="359">
        <v>720425</v>
      </c>
      <c r="Q412" s="359">
        <v>725989</v>
      </c>
      <c r="R412" s="359">
        <f t="shared" si="248"/>
        <v>725989</v>
      </c>
      <c r="S412" s="359">
        <v>828110</v>
      </c>
      <c r="T412" s="359">
        <v>906149</v>
      </c>
      <c r="U412" s="359">
        <v>831030</v>
      </c>
      <c r="V412" s="359">
        <v>828110</v>
      </c>
      <c r="W412" s="359">
        <f t="shared" si="249"/>
        <v>828110</v>
      </c>
      <c r="X412" s="359">
        <v>846372</v>
      </c>
      <c r="Y412" s="359">
        <v>914401</v>
      </c>
      <c r="Z412" s="359">
        <v>906332</v>
      </c>
      <c r="AA412" s="359">
        <v>894565</v>
      </c>
      <c r="AB412" s="359">
        <f t="shared" si="250"/>
        <v>894565</v>
      </c>
      <c r="AC412" s="289"/>
      <c r="AD412" s="289"/>
      <c r="AE412" s="289"/>
      <c r="AF412" s="289"/>
      <c r="AG412" s="289"/>
      <c r="AH412" s="289"/>
      <c r="AI412" s="289"/>
      <c r="AJ412" s="289"/>
      <c r="AK412" s="289"/>
      <c r="AL412" s="289"/>
      <c r="AM412" s="289"/>
      <c r="AN412" s="289"/>
      <c r="AO412" s="289"/>
      <c r="AP412" s="289"/>
      <c r="AQ412" s="289"/>
      <c r="AR412" s="289"/>
      <c r="AS412" s="289"/>
      <c r="AT412" s="289"/>
      <c r="AU412" s="289"/>
      <c r="AV412" s="289"/>
      <c r="AW412" s="289"/>
      <c r="AX412" s="289"/>
      <c r="AY412" s="289"/>
      <c r="AZ412" s="289"/>
      <c r="BA412" s="289"/>
      <c r="BB412" s="289"/>
      <c r="BC412" s="289"/>
      <c r="BD412" s="289"/>
      <c r="BE412" s="289"/>
      <c r="BF412" s="289"/>
      <c r="BG412" s="289"/>
    </row>
    <row r="413" spans="1:59" ht="15.75" customHeight="1" x14ac:dyDescent="0.2">
      <c r="A413" s="289"/>
      <c r="B413" s="268"/>
      <c r="C413" s="307" t="s">
        <v>327</v>
      </c>
      <c r="D413" s="359">
        <v>172552</v>
      </c>
      <c r="E413" s="359">
        <v>203262</v>
      </c>
      <c r="F413" s="359">
        <v>210301</v>
      </c>
      <c r="G413" s="359">
        <v>193829</v>
      </c>
      <c r="H413" s="359">
        <f t="shared" si="244"/>
        <v>193829</v>
      </c>
      <c r="I413" s="359">
        <v>200594</v>
      </c>
      <c r="J413" s="359">
        <v>201838</v>
      </c>
      <c r="K413" s="359">
        <v>210301</v>
      </c>
      <c r="L413" s="359">
        <v>209742</v>
      </c>
      <c r="M413" s="359">
        <f t="shared" si="247"/>
        <v>209742</v>
      </c>
      <c r="N413" s="359">
        <v>288606</v>
      </c>
      <c r="O413" s="359">
        <v>300851</v>
      </c>
      <c r="P413" s="359">
        <v>304660</v>
      </c>
      <c r="Q413" s="359">
        <v>264964</v>
      </c>
      <c r="R413" s="359">
        <f t="shared" si="248"/>
        <v>264964</v>
      </c>
      <c r="S413" s="359">
        <v>280108</v>
      </c>
      <c r="T413" s="359">
        <v>218901</v>
      </c>
      <c r="U413" s="359">
        <v>272937</v>
      </c>
      <c r="V413" s="359">
        <v>280108</v>
      </c>
      <c r="W413" s="359">
        <f t="shared" si="249"/>
        <v>280108</v>
      </c>
      <c r="X413" s="359">
        <v>205965</v>
      </c>
      <c r="Y413" s="359">
        <v>258047</v>
      </c>
      <c r="Z413" s="359">
        <v>278941</v>
      </c>
      <c r="AA413" s="359">
        <v>259494</v>
      </c>
      <c r="AB413" s="359">
        <f t="shared" si="250"/>
        <v>259494</v>
      </c>
      <c r="AC413" s="289"/>
      <c r="AD413" s="289"/>
      <c r="AE413" s="289"/>
      <c r="AF413" s="289"/>
      <c r="AG413" s="289"/>
      <c r="AH413" s="289"/>
      <c r="AI413" s="289"/>
      <c r="AJ413" s="289"/>
      <c r="AK413" s="289"/>
      <c r="AL413" s="289"/>
      <c r="AM413" s="289"/>
      <c r="AN413" s="289"/>
      <c r="AO413" s="289"/>
      <c r="AP413" s="289"/>
      <c r="AQ413" s="289"/>
      <c r="AR413" s="289"/>
      <c r="AS413" s="289"/>
      <c r="AT413" s="289"/>
      <c r="AU413" s="289"/>
      <c r="AV413" s="289"/>
      <c r="AW413" s="289"/>
      <c r="AX413" s="289"/>
      <c r="AY413" s="289"/>
      <c r="AZ413" s="289"/>
      <c r="BA413" s="289"/>
      <c r="BB413" s="289"/>
      <c r="BC413" s="289"/>
      <c r="BD413" s="289"/>
      <c r="BE413" s="289"/>
      <c r="BF413" s="289"/>
      <c r="BG413" s="289"/>
    </row>
    <row r="414" spans="1:59" ht="15.75" customHeight="1" x14ac:dyDescent="0.2">
      <c r="A414" s="289"/>
      <c r="B414" s="268"/>
      <c r="C414" s="307" t="s">
        <v>328</v>
      </c>
      <c r="D414" s="359">
        <v>62856</v>
      </c>
      <c r="E414" s="359">
        <v>64154</v>
      </c>
      <c r="F414" s="359">
        <v>66918</v>
      </c>
      <c r="G414" s="359">
        <v>67168</v>
      </c>
      <c r="H414" s="359">
        <f t="shared" si="244"/>
        <v>67168</v>
      </c>
      <c r="I414" s="359">
        <v>66930</v>
      </c>
      <c r="J414" s="359">
        <v>61652</v>
      </c>
      <c r="K414" s="359">
        <v>66918</v>
      </c>
      <c r="L414" s="359">
        <v>59022</v>
      </c>
      <c r="M414" s="359">
        <f t="shared" si="247"/>
        <v>59022</v>
      </c>
      <c r="N414" s="359">
        <v>58506</v>
      </c>
      <c r="O414" s="359">
        <v>57673</v>
      </c>
      <c r="P414" s="359">
        <v>56007</v>
      </c>
      <c r="Q414" s="359">
        <v>49680</v>
      </c>
      <c r="R414" s="359">
        <f t="shared" si="248"/>
        <v>49680</v>
      </c>
      <c r="S414" s="359">
        <v>49708</v>
      </c>
      <c r="T414" s="359">
        <v>51915</v>
      </c>
      <c r="U414" s="359">
        <v>53199</v>
      </c>
      <c r="V414" s="359">
        <v>49708</v>
      </c>
      <c r="W414" s="359">
        <f t="shared" si="249"/>
        <v>49708</v>
      </c>
      <c r="X414" s="359">
        <v>46301</v>
      </c>
      <c r="Y414" s="359">
        <v>49268</v>
      </c>
      <c r="Z414" s="359">
        <v>49171</v>
      </c>
      <c r="AA414" s="359">
        <v>46942</v>
      </c>
      <c r="AB414" s="359">
        <f t="shared" si="250"/>
        <v>46942</v>
      </c>
      <c r="AC414" s="289"/>
      <c r="AD414" s="289"/>
      <c r="AE414" s="289"/>
      <c r="AF414" s="289"/>
      <c r="AG414" s="289"/>
      <c r="AH414" s="289"/>
      <c r="AI414" s="289"/>
      <c r="AJ414" s="289"/>
      <c r="AK414" s="289"/>
      <c r="AL414" s="289"/>
      <c r="AM414" s="289"/>
      <c r="AN414" s="289"/>
      <c r="AO414" s="289"/>
      <c r="AP414" s="289"/>
      <c r="AQ414" s="289"/>
      <c r="AR414" s="289"/>
      <c r="AS414" s="289"/>
      <c r="AT414" s="289"/>
      <c r="AU414" s="289"/>
      <c r="AV414" s="289"/>
      <c r="AW414" s="289"/>
      <c r="AX414" s="289"/>
      <c r="AY414" s="289"/>
      <c r="AZ414" s="289"/>
      <c r="BA414" s="289"/>
      <c r="BB414" s="289"/>
      <c r="BC414" s="289"/>
      <c r="BD414" s="289"/>
      <c r="BE414" s="289"/>
      <c r="BF414" s="289"/>
      <c r="BG414" s="289"/>
    </row>
    <row r="415" spans="1:59" ht="15.75" customHeight="1" x14ac:dyDescent="0.2">
      <c r="A415" s="289"/>
      <c r="B415" s="268"/>
      <c r="C415" s="307" t="s">
        <v>329</v>
      </c>
      <c r="D415" s="359">
        <v>3678</v>
      </c>
      <c r="E415" s="359">
        <v>3770</v>
      </c>
      <c r="F415" s="359">
        <v>3861</v>
      </c>
      <c r="G415" s="359">
        <v>4612</v>
      </c>
      <c r="H415" s="359">
        <f t="shared" si="244"/>
        <v>4612</v>
      </c>
      <c r="I415" s="359">
        <v>4715</v>
      </c>
      <c r="J415" s="359">
        <v>4828</v>
      </c>
      <c r="K415" s="359">
        <v>3861</v>
      </c>
      <c r="L415" s="359">
        <v>9547</v>
      </c>
      <c r="M415" s="359">
        <f t="shared" si="247"/>
        <v>9547</v>
      </c>
      <c r="N415" s="359">
        <v>9718</v>
      </c>
      <c r="O415" s="359">
        <v>9890</v>
      </c>
      <c r="P415" s="359">
        <v>10061</v>
      </c>
      <c r="Q415" s="359">
        <v>8526</v>
      </c>
      <c r="R415" s="359">
        <f t="shared" si="248"/>
        <v>8526</v>
      </c>
      <c r="S415" s="359">
        <v>8716</v>
      </c>
      <c r="T415" s="359">
        <v>8696</v>
      </c>
      <c r="U415" s="359">
        <v>8781</v>
      </c>
      <c r="V415" s="359">
        <v>8716</v>
      </c>
      <c r="W415" s="359">
        <f t="shared" si="249"/>
        <v>8716</v>
      </c>
      <c r="X415" s="359">
        <v>8917</v>
      </c>
      <c r="Y415" s="359">
        <v>9119</v>
      </c>
      <c r="Z415" s="359">
        <v>9320</v>
      </c>
      <c r="AA415" s="359">
        <v>9065</v>
      </c>
      <c r="AB415" s="359">
        <f t="shared" si="250"/>
        <v>9065</v>
      </c>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c r="AX415" s="289"/>
      <c r="AY415" s="289"/>
      <c r="AZ415" s="289"/>
      <c r="BA415" s="289"/>
      <c r="BB415" s="289"/>
      <c r="BC415" s="289"/>
      <c r="BD415" s="289"/>
      <c r="BE415" s="289"/>
      <c r="BF415" s="289"/>
      <c r="BG415" s="289"/>
    </row>
    <row r="416" spans="1:59" ht="15.75" customHeight="1" x14ac:dyDescent="0.2">
      <c r="A416" s="289"/>
      <c r="B416" s="268"/>
      <c r="C416" s="307" t="s">
        <v>323</v>
      </c>
      <c r="D416" s="359">
        <v>1047</v>
      </c>
      <c r="E416" s="359">
        <v>512</v>
      </c>
      <c r="F416" s="359">
        <v>146</v>
      </c>
      <c r="G416" s="359">
        <v>0</v>
      </c>
      <c r="H416" s="359">
        <f t="shared" si="244"/>
        <v>0</v>
      </c>
      <c r="I416" s="359">
        <v>0</v>
      </c>
      <c r="J416" s="359">
        <v>0</v>
      </c>
      <c r="K416" s="359">
        <v>146</v>
      </c>
      <c r="L416" s="359">
        <v>0</v>
      </c>
      <c r="M416" s="359">
        <f t="shared" si="247"/>
        <v>0</v>
      </c>
      <c r="N416" s="359">
        <v>0</v>
      </c>
      <c r="O416" s="359">
        <v>0</v>
      </c>
      <c r="P416" s="359">
        <v>0</v>
      </c>
      <c r="Q416" s="359">
        <v>0</v>
      </c>
      <c r="R416" s="359">
        <f t="shared" si="248"/>
        <v>0</v>
      </c>
      <c r="S416" s="359">
        <v>0</v>
      </c>
      <c r="T416" s="359">
        <v>0</v>
      </c>
      <c r="U416" s="359">
        <v>0</v>
      </c>
      <c r="V416" s="359">
        <v>0</v>
      </c>
      <c r="W416" s="359">
        <f t="shared" si="249"/>
        <v>0</v>
      </c>
      <c r="X416" s="359">
        <v>0</v>
      </c>
      <c r="Y416" s="359">
        <v>0</v>
      </c>
      <c r="Z416" s="359">
        <v>0</v>
      </c>
      <c r="AA416" s="359">
        <v>0</v>
      </c>
      <c r="AB416" s="359">
        <f t="shared" si="250"/>
        <v>0</v>
      </c>
      <c r="AC416" s="289"/>
      <c r="AD416" s="289"/>
      <c r="AE416" s="289"/>
      <c r="AF416" s="289"/>
      <c r="AG416" s="289"/>
      <c r="AH416" s="289"/>
      <c r="AI416" s="289"/>
      <c r="AJ416" s="289"/>
      <c r="AK416" s="289"/>
      <c r="AL416" s="289"/>
      <c r="AM416" s="289"/>
      <c r="AN416" s="289"/>
      <c r="AO416" s="289"/>
      <c r="AP416" s="289"/>
      <c r="AQ416" s="289"/>
      <c r="AR416" s="289"/>
      <c r="AS416" s="289"/>
      <c r="AT416" s="289"/>
      <c r="AU416" s="289"/>
      <c r="AV416" s="289"/>
      <c r="AW416" s="289"/>
      <c r="AX416" s="289"/>
      <c r="AY416" s="289"/>
      <c r="AZ416" s="289"/>
      <c r="BA416" s="289"/>
      <c r="BB416" s="289"/>
      <c r="BC416" s="289"/>
      <c r="BD416" s="289"/>
      <c r="BE416" s="289"/>
      <c r="BF416" s="289"/>
      <c r="BG416" s="289"/>
    </row>
    <row r="417" spans="1:59" ht="15.75" customHeight="1" x14ac:dyDescent="0.2">
      <c r="A417" s="289"/>
      <c r="B417" s="268"/>
      <c r="C417" s="289"/>
      <c r="D417" s="361"/>
      <c r="E417" s="361"/>
      <c r="F417" s="361"/>
      <c r="G417" s="361"/>
      <c r="H417" s="361"/>
      <c r="I417" s="361"/>
      <c r="J417" s="361"/>
      <c r="K417" s="361"/>
      <c r="L417" s="361"/>
      <c r="M417" s="361"/>
      <c r="N417" s="361"/>
      <c r="O417" s="361"/>
      <c r="P417" s="361"/>
      <c r="Q417" s="361"/>
      <c r="R417" s="361"/>
      <c r="S417" s="361"/>
      <c r="T417" s="361"/>
      <c r="U417" s="361"/>
      <c r="V417" s="361"/>
      <c r="W417" s="361"/>
      <c r="X417" s="361"/>
      <c r="Y417" s="361"/>
      <c r="Z417" s="361"/>
      <c r="AA417" s="361"/>
      <c r="AB417" s="361"/>
      <c r="AC417" s="289"/>
      <c r="AD417" s="289"/>
      <c r="AE417" s="289"/>
      <c r="AF417" s="289"/>
      <c r="AG417" s="289"/>
      <c r="AH417" s="289"/>
      <c r="AI417" s="289"/>
      <c r="AJ417" s="289"/>
      <c r="AK417" s="289"/>
      <c r="AL417" s="289"/>
      <c r="AM417" s="289"/>
      <c r="AN417" s="289"/>
      <c r="AO417" s="289"/>
      <c r="AP417" s="289"/>
      <c r="AQ417" s="289"/>
      <c r="AR417" s="289"/>
      <c r="AS417" s="289"/>
      <c r="AT417" s="289"/>
      <c r="AU417" s="289"/>
      <c r="AV417" s="289"/>
      <c r="AW417" s="289"/>
      <c r="AX417" s="289"/>
      <c r="AY417" s="289"/>
      <c r="AZ417" s="289"/>
      <c r="BA417" s="289"/>
      <c r="BB417" s="289"/>
      <c r="BC417" s="289"/>
      <c r="BD417" s="289"/>
      <c r="BE417" s="289"/>
      <c r="BF417" s="289"/>
      <c r="BG417" s="289"/>
    </row>
    <row r="418" spans="1:59" ht="15.75" customHeight="1" x14ac:dyDescent="0.2">
      <c r="A418" s="289"/>
      <c r="B418" s="289"/>
      <c r="C418" s="362" t="s">
        <v>330</v>
      </c>
      <c r="D418" s="358">
        <f t="shared" ref="D418:G418" si="251">SUM(D409+D398)</f>
        <v>1591877</v>
      </c>
      <c r="E418" s="358">
        <f t="shared" si="251"/>
        <v>1721546</v>
      </c>
      <c r="F418" s="358">
        <f t="shared" si="251"/>
        <v>1770336</v>
      </c>
      <c r="G418" s="358">
        <f t="shared" si="251"/>
        <v>1682246</v>
      </c>
      <c r="H418" s="358">
        <f>G418</f>
        <v>1682246</v>
      </c>
      <c r="I418" s="358">
        <f t="shared" ref="I418:R418" si="252">SUM(I409+I398)</f>
        <v>2383363</v>
      </c>
      <c r="J418" s="358">
        <f t="shared" si="252"/>
        <v>2465587</v>
      </c>
      <c r="K418" s="358">
        <f t="shared" si="252"/>
        <v>1770336</v>
      </c>
      <c r="L418" s="358">
        <f t="shared" si="252"/>
        <v>2634347</v>
      </c>
      <c r="M418" s="358">
        <f t="shared" si="252"/>
        <v>2634347</v>
      </c>
      <c r="N418" s="358">
        <f t="shared" si="252"/>
        <v>3084688</v>
      </c>
      <c r="O418" s="358">
        <f t="shared" si="252"/>
        <v>3311667</v>
      </c>
      <c r="P418" s="358">
        <f t="shared" si="252"/>
        <v>3339283</v>
      </c>
      <c r="Q418" s="358">
        <f t="shared" si="252"/>
        <v>3165331</v>
      </c>
      <c r="R418" s="358">
        <f t="shared" si="252"/>
        <v>3165331</v>
      </c>
      <c r="S418" s="358">
        <v>3369167</v>
      </c>
      <c r="T418" s="358">
        <v>3131290</v>
      </c>
      <c r="U418" s="358">
        <v>3198585</v>
      </c>
      <c r="V418" s="358">
        <f t="shared" ref="V418:AB418" si="253">SUM(V409+V398)</f>
        <v>3369167</v>
      </c>
      <c r="W418" s="358">
        <f t="shared" si="253"/>
        <v>3369167</v>
      </c>
      <c r="X418" s="358">
        <f t="shared" si="253"/>
        <v>3079538</v>
      </c>
      <c r="Y418" s="358">
        <f t="shared" si="253"/>
        <v>3250117</v>
      </c>
      <c r="Z418" s="358">
        <f t="shared" si="253"/>
        <v>3458881</v>
      </c>
      <c r="AA418" s="358">
        <f t="shared" si="253"/>
        <v>3382592</v>
      </c>
      <c r="AB418" s="358">
        <f t="shared" si="253"/>
        <v>3382592</v>
      </c>
      <c r="AC418" s="289"/>
      <c r="AD418" s="289"/>
      <c r="AE418" s="289"/>
      <c r="AF418" s="289"/>
      <c r="AG418" s="289"/>
      <c r="AH418" s="289"/>
      <c r="AI418" s="289"/>
      <c r="AJ418" s="289"/>
      <c r="AK418" s="289"/>
      <c r="AL418" s="289"/>
      <c r="AM418" s="289"/>
      <c r="AN418" s="289"/>
      <c r="AO418" s="289"/>
      <c r="AP418" s="289"/>
      <c r="AQ418" s="289"/>
      <c r="AR418" s="289"/>
      <c r="AS418" s="289"/>
      <c r="AT418" s="289"/>
      <c r="AU418" s="289"/>
      <c r="AV418" s="289"/>
      <c r="AW418" s="289"/>
      <c r="AX418" s="289"/>
      <c r="AY418" s="289"/>
      <c r="AZ418" s="289"/>
      <c r="BA418" s="289"/>
      <c r="BB418" s="289"/>
      <c r="BC418" s="289"/>
      <c r="BD418" s="289"/>
      <c r="BE418" s="289"/>
      <c r="BF418" s="289"/>
      <c r="BG418" s="289"/>
    </row>
    <row r="419" spans="1:59" ht="15.75" customHeight="1" x14ac:dyDescent="0.2">
      <c r="A419" s="289"/>
      <c r="B419" s="268"/>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c r="AA419" s="268"/>
      <c r="AB419" s="268"/>
      <c r="AC419" s="289"/>
      <c r="AD419" s="289"/>
      <c r="AE419" s="289"/>
      <c r="AF419" s="289"/>
      <c r="AG419" s="289"/>
      <c r="AH419" s="289"/>
      <c r="AI419" s="289"/>
      <c r="AJ419" s="289"/>
      <c r="AK419" s="289"/>
      <c r="AL419" s="289"/>
      <c r="AM419" s="289"/>
      <c r="AN419" s="289"/>
      <c r="AO419" s="289"/>
      <c r="AP419" s="289"/>
      <c r="AQ419" s="289"/>
      <c r="AR419" s="289"/>
      <c r="AS419" s="289"/>
      <c r="AT419" s="289"/>
      <c r="AU419" s="289"/>
      <c r="AV419" s="289"/>
      <c r="AW419" s="289"/>
      <c r="AX419" s="289"/>
      <c r="AY419" s="289"/>
      <c r="AZ419" s="289"/>
      <c r="BA419" s="289"/>
      <c r="BB419" s="289"/>
      <c r="BC419" s="289"/>
      <c r="BD419" s="289"/>
      <c r="BE419" s="289"/>
      <c r="BF419" s="289"/>
      <c r="BG419" s="289"/>
    </row>
    <row r="420" spans="1:59" ht="15.75" customHeight="1" x14ac:dyDescent="0.2">
      <c r="A420" s="289"/>
      <c r="B420" s="289"/>
      <c r="C420" s="357" t="s">
        <v>331</v>
      </c>
      <c r="D420" s="358">
        <f t="shared" ref="D420:G420" si="254">SUM(D421:D430)</f>
        <v>1869773</v>
      </c>
      <c r="E420" s="358">
        <f t="shared" si="254"/>
        <v>1875183</v>
      </c>
      <c r="F420" s="358">
        <f t="shared" si="254"/>
        <v>1974450</v>
      </c>
      <c r="G420" s="358">
        <f t="shared" si="254"/>
        <v>1999841</v>
      </c>
      <c r="H420" s="358">
        <f t="shared" ref="H420:H424" si="255">G420</f>
        <v>1999841</v>
      </c>
      <c r="I420" s="358">
        <f t="shared" ref="I420:R420" si="256">SUM(I421:I430)</f>
        <v>2032130</v>
      </c>
      <c r="J420" s="358">
        <f t="shared" si="256"/>
        <v>1890969</v>
      </c>
      <c r="K420" s="358">
        <f t="shared" si="256"/>
        <v>1974450</v>
      </c>
      <c r="L420" s="358">
        <f t="shared" si="256"/>
        <v>2005282</v>
      </c>
      <c r="M420" s="358">
        <f t="shared" si="256"/>
        <v>2005282</v>
      </c>
      <c r="N420" s="358">
        <f t="shared" si="256"/>
        <v>2293543</v>
      </c>
      <c r="O420" s="358">
        <f t="shared" si="256"/>
        <v>2316958</v>
      </c>
      <c r="P420" s="358">
        <f t="shared" si="256"/>
        <v>2415678</v>
      </c>
      <c r="Q420" s="358">
        <f t="shared" si="256"/>
        <v>2235979</v>
      </c>
      <c r="R420" s="358">
        <f t="shared" si="256"/>
        <v>2235979</v>
      </c>
      <c r="S420" s="358">
        <v>2355276</v>
      </c>
      <c r="T420" s="358">
        <v>1958480</v>
      </c>
      <c r="U420" s="358">
        <v>2112947</v>
      </c>
      <c r="V420" s="358">
        <f t="shared" ref="V420:AB420" si="257">SUM(V421:V430)</f>
        <v>2355276</v>
      </c>
      <c r="W420" s="358">
        <f t="shared" si="257"/>
        <v>2355276</v>
      </c>
      <c r="X420" s="358">
        <f t="shared" si="257"/>
        <v>2229577</v>
      </c>
      <c r="Y420" s="358">
        <f t="shared" si="257"/>
        <v>2264481</v>
      </c>
      <c r="Z420" s="358">
        <f t="shared" si="257"/>
        <v>2379984</v>
      </c>
      <c r="AA420" s="358">
        <f t="shared" si="257"/>
        <v>2348512</v>
      </c>
      <c r="AB420" s="358">
        <f t="shared" si="257"/>
        <v>2348512</v>
      </c>
      <c r="AC420" s="289"/>
      <c r="AD420" s="289"/>
      <c r="AE420" s="289"/>
      <c r="AF420" s="289"/>
      <c r="AG420" s="289"/>
      <c r="AH420" s="289"/>
      <c r="AI420" s="289"/>
      <c r="AJ420" s="289"/>
      <c r="AK420" s="289"/>
      <c r="AL420" s="289"/>
      <c r="AM420" s="289"/>
      <c r="AN420" s="289"/>
      <c r="AO420" s="289"/>
      <c r="AP420" s="289"/>
      <c r="AQ420" s="289"/>
      <c r="AR420" s="289"/>
      <c r="AS420" s="289"/>
      <c r="AT420" s="289"/>
      <c r="AU420" s="289"/>
      <c r="AV420" s="289"/>
      <c r="AW420" s="289"/>
      <c r="AX420" s="289"/>
      <c r="AY420" s="289"/>
      <c r="AZ420" s="289"/>
      <c r="BA420" s="289"/>
      <c r="BB420" s="289"/>
      <c r="BC420" s="289"/>
      <c r="BD420" s="289"/>
      <c r="BE420" s="289"/>
      <c r="BF420" s="289"/>
      <c r="BG420" s="289"/>
    </row>
    <row r="421" spans="1:59" ht="15.75" customHeight="1" x14ac:dyDescent="0.2">
      <c r="A421" s="289"/>
      <c r="B421" s="268"/>
      <c r="C421" s="307" t="s">
        <v>332</v>
      </c>
      <c r="D421" s="359">
        <v>26842</v>
      </c>
      <c r="E421" s="359">
        <v>26842</v>
      </c>
      <c r="F421" s="359">
        <v>26852</v>
      </c>
      <c r="G421" s="359">
        <v>26852</v>
      </c>
      <c r="H421" s="359">
        <f t="shared" si="255"/>
        <v>26852</v>
      </c>
      <c r="I421" s="359">
        <v>26852</v>
      </c>
      <c r="J421" s="359">
        <v>26852</v>
      </c>
      <c r="K421" s="359">
        <v>26852</v>
      </c>
      <c r="L421" s="359">
        <v>26860</v>
      </c>
      <c r="M421" s="359">
        <f t="shared" ref="M421:M430" si="258">L421</f>
        <v>26860</v>
      </c>
      <c r="N421" s="359">
        <v>26993</v>
      </c>
      <c r="O421" s="359">
        <v>26993</v>
      </c>
      <c r="P421" s="359">
        <v>27015</v>
      </c>
      <c r="Q421" s="359">
        <v>27099</v>
      </c>
      <c r="R421" s="359">
        <f t="shared" ref="R421:R430" si="259">Q421</f>
        <v>27099</v>
      </c>
      <c r="S421" s="359">
        <v>336910</v>
      </c>
      <c r="T421" s="359">
        <v>129606</v>
      </c>
      <c r="U421" s="359">
        <v>129606</v>
      </c>
      <c r="V421" s="359">
        <v>336910</v>
      </c>
      <c r="W421" s="359">
        <f t="shared" ref="W421:W424" si="260">V421</f>
        <v>336910</v>
      </c>
      <c r="X421" s="359">
        <v>342008</v>
      </c>
      <c r="Y421" s="359">
        <v>351564</v>
      </c>
      <c r="Z421" s="359">
        <v>351564</v>
      </c>
      <c r="AA421" s="363">
        <v>351564</v>
      </c>
      <c r="AB421" s="359">
        <f t="shared" ref="AB421:AB430" si="261">AA421</f>
        <v>351564</v>
      </c>
      <c r="AC421" s="289"/>
      <c r="AD421" s="289"/>
      <c r="AE421" s="289"/>
      <c r="AF421" s="289"/>
      <c r="AG421" s="289"/>
      <c r="AH421" s="289"/>
      <c r="AI421" s="289"/>
      <c r="AJ421" s="289"/>
      <c r="AK421" s="289"/>
      <c r="AL421" s="289"/>
      <c r="AM421" s="289"/>
      <c r="AN421" s="289"/>
      <c r="AO421" s="289"/>
      <c r="AP421" s="289"/>
      <c r="AQ421" s="289"/>
      <c r="AR421" s="289"/>
      <c r="AS421" s="289"/>
      <c r="AT421" s="289"/>
      <c r="AU421" s="289"/>
      <c r="AV421" s="289"/>
      <c r="AW421" s="289"/>
      <c r="AX421" s="289"/>
      <c r="AY421" s="289"/>
      <c r="AZ421" s="289"/>
      <c r="BA421" s="289"/>
      <c r="BB421" s="289"/>
      <c r="BC421" s="289"/>
      <c r="BD421" s="289"/>
      <c r="BE421" s="289"/>
      <c r="BF421" s="289"/>
      <c r="BG421" s="289"/>
    </row>
    <row r="422" spans="1:59" ht="15.75" customHeight="1" x14ac:dyDescent="0.2">
      <c r="A422" s="289"/>
      <c r="B422" s="268"/>
      <c r="C422" s="307" t="s">
        <v>333</v>
      </c>
      <c r="D422" s="359">
        <v>0</v>
      </c>
      <c r="E422" s="359">
        <v>0</v>
      </c>
      <c r="F422" s="359">
        <v>0</v>
      </c>
      <c r="G422" s="359">
        <v>0</v>
      </c>
      <c r="H422" s="359">
        <f t="shared" si="255"/>
        <v>0</v>
      </c>
      <c r="I422" s="359">
        <v>0</v>
      </c>
      <c r="J422" s="359">
        <v>0</v>
      </c>
      <c r="K422" s="359">
        <v>0</v>
      </c>
      <c r="L422" s="359">
        <v>0</v>
      </c>
      <c r="M422" s="359">
        <f t="shared" si="258"/>
        <v>0</v>
      </c>
      <c r="N422" s="359">
        <v>0</v>
      </c>
      <c r="O422" s="359">
        <v>0</v>
      </c>
      <c r="P422" s="359">
        <v>0</v>
      </c>
      <c r="Q422" s="359">
        <v>0</v>
      </c>
      <c r="R422" s="359">
        <f t="shared" si="259"/>
        <v>0</v>
      </c>
      <c r="S422" s="359">
        <v>58627</v>
      </c>
      <c r="T422" s="359">
        <v>47447</v>
      </c>
      <c r="U422" s="359">
        <v>47447</v>
      </c>
      <c r="V422" s="359">
        <v>58627</v>
      </c>
      <c r="W422" s="359">
        <f t="shared" si="260"/>
        <v>58627</v>
      </c>
      <c r="X422" s="359">
        <v>58627</v>
      </c>
      <c r="Y422" s="359">
        <v>58627</v>
      </c>
      <c r="Z422" s="359">
        <v>58627</v>
      </c>
      <c r="AA422" s="363">
        <v>1162944</v>
      </c>
      <c r="AB422" s="359">
        <f t="shared" si="261"/>
        <v>1162944</v>
      </c>
      <c r="AC422" s="289"/>
      <c r="AD422" s="289"/>
      <c r="AE422" s="289"/>
      <c r="AF422" s="289"/>
      <c r="AG422" s="289"/>
      <c r="AH422" s="289"/>
      <c r="AI422" s="289"/>
      <c r="AJ422" s="289"/>
      <c r="AK422" s="289"/>
      <c r="AL422" s="289"/>
      <c r="AM422" s="289"/>
      <c r="AN422" s="289"/>
      <c r="AO422" s="289"/>
      <c r="AP422" s="289"/>
      <c r="AQ422" s="289"/>
      <c r="AR422" s="289"/>
      <c r="AS422" s="289"/>
      <c r="AT422" s="289"/>
      <c r="AU422" s="289"/>
      <c r="AV422" s="289"/>
      <c r="AW422" s="289"/>
      <c r="AX422" s="289"/>
      <c r="AY422" s="289"/>
      <c r="AZ422" s="289"/>
      <c r="BA422" s="289"/>
      <c r="BB422" s="289"/>
      <c r="BC422" s="289"/>
      <c r="BD422" s="289"/>
      <c r="BE422" s="289"/>
      <c r="BF422" s="289"/>
      <c r="BG422" s="289"/>
    </row>
    <row r="423" spans="1:59" ht="15.75" customHeight="1" x14ac:dyDescent="0.2">
      <c r="A423" s="289"/>
      <c r="B423" s="268"/>
      <c r="C423" s="307" t="s">
        <v>334</v>
      </c>
      <c r="D423" s="359">
        <v>190191</v>
      </c>
      <c r="E423" s="359">
        <v>190191</v>
      </c>
      <c r="F423" s="359">
        <v>190923</v>
      </c>
      <c r="G423" s="359">
        <v>190923</v>
      </c>
      <c r="H423" s="359">
        <f t="shared" si="255"/>
        <v>190923</v>
      </c>
      <c r="I423" s="359">
        <v>190923</v>
      </c>
      <c r="J423" s="359">
        <v>190923</v>
      </c>
      <c r="K423" s="359">
        <v>190923</v>
      </c>
      <c r="L423" s="359">
        <v>193055</v>
      </c>
      <c r="M423" s="359">
        <f t="shared" si="258"/>
        <v>193055</v>
      </c>
      <c r="N423" s="359">
        <v>202291</v>
      </c>
      <c r="O423" s="359">
        <v>202291</v>
      </c>
      <c r="P423" s="359">
        <v>203365</v>
      </c>
      <c r="Q423" s="359">
        <v>207681</v>
      </c>
      <c r="R423" s="359">
        <f t="shared" si="259"/>
        <v>207681</v>
      </c>
      <c r="S423" s="359">
        <v>24</v>
      </c>
      <c r="T423" s="359">
        <v>24</v>
      </c>
      <c r="U423" s="359">
        <v>24</v>
      </c>
      <c r="V423" s="359">
        <v>24</v>
      </c>
      <c r="W423" s="359">
        <f t="shared" si="260"/>
        <v>24</v>
      </c>
      <c r="X423" s="359">
        <v>24</v>
      </c>
      <c r="Y423" s="359">
        <v>24</v>
      </c>
      <c r="Z423" s="359">
        <v>24</v>
      </c>
      <c r="AA423" s="363">
        <v>24</v>
      </c>
      <c r="AB423" s="359">
        <f t="shared" si="261"/>
        <v>24</v>
      </c>
      <c r="AC423" s="289"/>
      <c r="AD423" s="289"/>
      <c r="AE423" s="289"/>
      <c r="AF423" s="289"/>
      <c r="AG423" s="289"/>
      <c r="AH423" s="289"/>
      <c r="AI423" s="289"/>
      <c r="AJ423" s="289"/>
      <c r="AK423" s="289"/>
      <c r="AL423" s="289"/>
      <c r="AM423" s="289"/>
      <c r="AN423" s="289"/>
      <c r="AO423" s="289"/>
      <c r="AP423" s="289"/>
      <c r="AQ423" s="289"/>
      <c r="AR423" s="289"/>
      <c r="AS423" s="289"/>
      <c r="AT423" s="289"/>
      <c r="AU423" s="289"/>
      <c r="AV423" s="289"/>
      <c r="AW423" s="289"/>
      <c r="AX423" s="289"/>
      <c r="AY423" s="289"/>
      <c r="AZ423" s="289"/>
      <c r="BA423" s="289"/>
      <c r="BB423" s="289"/>
      <c r="BC423" s="289"/>
      <c r="BD423" s="289"/>
      <c r="BE423" s="289"/>
      <c r="BF423" s="289"/>
      <c r="BG423" s="289"/>
    </row>
    <row r="424" spans="1:59" ht="15.75" customHeight="1" x14ac:dyDescent="0.2">
      <c r="A424" s="289"/>
      <c r="B424" s="268"/>
      <c r="C424" s="307" t="s">
        <v>335</v>
      </c>
      <c r="D424" s="359">
        <v>29875</v>
      </c>
      <c r="E424" s="359">
        <v>30633</v>
      </c>
      <c r="F424" s="359">
        <v>31396</v>
      </c>
      <c r="G424" s="359">
        <v>32159</v>
      </c>
      <c r="H424" s="359">
        <f t="shared" si="255"/>
        <v>32159</v>
      </c>
      <c r="I424" s="359">
        <v>32426</v>
      </c>
      <c r="J424" s="359">
        <v>32637</v>
      </c>
      <c r="K424" s="359">
        <v>31396</v>
      </c>
      <c r="L424" s="359">
        <v>33040</v>
      </c>
      <c r="M424" s="359">
        <f t="shared" si="258"/>
        <v>33040</v>
      </c>
      <c r="N424" s="359">
        <v>33165</v>
      </c>
      <c r="O424" s="359">
        <v>33290</v>
      </c>
      <c r="P424" s="359">
        <v>33414</v>
      </c>
      <c r="Q424" s="359">
        <v>34443</v>
      </c>
      <c r="R424" s="359">
        <f t="shared" si="259"/>
        <v>34443</v>
      </c>
      <c r="S424" s="359">
        <v>36193</v>
      </c>
      <c r="T424" s="359">
        <v>34899</v>
      </c>
      <c r="U424" s="359">
        <v>35351</v>
      </c>
      <c r="V424" s="359">
        <v>36193</v>
      </c>
      <c r="W424" s="359">
        <f t="shared" si="260"/>
        <v>36193</v>
      </c>
      <c r="X424" s="359">
        <v>36626</v>
      </c>
      <c r="Y424" s="359">
        <v>37056</v>
      </c>
      <c r="Z424" s="359">
        <v>37475</v>
      </c>
      <c r="AA424" s="363">
        <v>37881</v>
      </c>
      <c r="AB424" s="359">
        <f t="shared" si="261"/>
        <v>37881</v>
      </c>
      <c r="AC424" s="289"/>
      <c r="AD424" s="289"/>
      <c r="AE424" s="289"/>
      <c r="AF424" s="289"/>
      <c r="AG424" s="289"/>
      <c r="AH424" s="289"/>
      <c r="AI424" s="289"/>
      <c r="AJ424" s="289"/>
      <c r="AK424" s="289"/>
      <c r="AL424" s="289"/>
      <c r="AM424" s="289"/>
      <c r="AN424" s="289"/>
      <c r="AO424" s="289"/>
      <c r="AP424" s="289"/>
      <c r="AQ424" s="289"/>
      <c r="AR424" s="289"/>
      <c r="AS424" s="289"/>
      <c r="AT424" s="289"/>
      <c r="AU424" s="289"/>
      <c r="AV424" s="289"/>
      <c r="AW424" s="289"/>
      <c r="AX424" s="289"/>
      <c r="AY424" s="289"/>
      <c r="AZ424" s="289"/>
      <c r="BA424" s="289"/>
      <c r="BB424" s="289"/>
      <c r="BC424" s="289"/>
      <c r="BD424" s="289"/>
      <c r="BE424" s="289"/>
      <c r="BF424" s="289"/>
      <c r="BG424" s="289"/>
    </row>
    <row r="425" spans="1:59" ht="15.75" customHeight="1" x14ac:dyDescent="0.2">
      <c r="A425" s="289"/>
      <c r="B425" s="268"/>
      <c r="C425" s="307" t="s">
        <v>336</v>
      </c>
      <c r="D425" s="359">
        <v>0</v>
      </c>
      <c r="E425" s="359">
        <v>0</v>
      </c>
      <c r="F425" s="359">
        <v>0</v>
      </c>
      <c r="G425" s="359">
        <v>0</v>
      </c>
      <c r="H425" s="359">
        <v>0</v>
      </c>
      <c r="I425" s="359">
        <v>0</v>
      </c>
      <c r="J425" s="359">
        <v>0</v>
      </c>
      <c r="K425" s="359">
        <v>0</v>
      </c>
      <c r="L425" s="359">
        <v>0</v>
      </c>
      <c r="M425" s="359">
        <f t="shared" si="258"/>
        <v>0</v>
      </c>
      <c r="N425" s="359">
        <v>0</v>
      </c>
      <c r="O425" s="359">
        <v>0</v>
      </c>
      <c r="P425" s="359">
        <v>0</v>
      </c>
      <c r="Q425" s="359">
        <v>0</v>
      </c>
      <c r="R425" s="359">
        <f t="shared" si="259"/>
        <v>0</v>
      </c>
      <c r="S425" s="359">
        <v>0</v>
      </c>
      <c r="T425" s="359">
        <v>0</v>
      </c>
      <c r="U425" s="359">
        <v>0</v>
      </c>
      <c r="V425" s="359">
        <v>0</v>
      </c>
      <c r="W425" s="359">
        <v>0</v>
      </c>
      <c r="X425" s="359">
        <v>0</v>
      </c>
      <c r="Y425" s="359">
        <v>-5029</v>
      </c>
      <c r="Z425" s="359">
        <v>-5231</v>
      </c>
      <c r="AA425" s="363">
        <v>-5095</v>
      </c>
      <c r="AB425" s="359">
        <f t="shared" si="261"/>
        <v>-5095</v>
      </c>
      <c r="AC425" s="289"/>
      <c r="AD425" s="289"/>
      <c r="AE425" s="289"/>
      <c r="AF425" s="289"/>
      <c r="AG425" s="289"/>
      <c r="AH425" s="289"/>
      <c r="AI425" s="289"/>
      <c r="AJ425" s="289"/>
      <c r="AK425" s="289"/>
      <c r="AL425" s="289"/>
      <c r="AM425" s="289"/>
      <c r="AN425" s="289"/>
      <c r="AO425" s="289"/>
      <c r="AP425" s="289"/>
      <c r="AQ425" s="289"/>
      <c r="AR425" s="289"/>
      <c r="AS425" s="289"/>
      <c r="AT425" s="289"/>
      <c r="AU425" s="289"/>
      <c r="AV425" s="289"/>
      <c r="AW425" s="289"/>
      <c r="AX425" s="289"/>
      <c r="AY425" s="289"/>
      <c r="AZ425" s="289"/>
      <c r="BA425" s="289"/>
      <c r="BB425" s="289"/>
      <c r="BC425" s="289"/>
      <c r="BD425" s="289"/>
      <c r="BE425" s="289"/>
      <c r="BF425" s="289"/>
      <c r="BG425" s="289"/>
    </row>
    <row r="426" spans="1:59" ht="15.75" customHeight="1" x14ac:dyDescent="0.2">
      <c r="A426" s="289"/>
      <c r="B426" s="268"/>
      <c r="C426" s="307" t="s">
        <v>337</v>
      </c>
      <c r="D426" s="359">
        <v>2361</v>
      </c>
      <c r="E426" s="359">
        <v>2335</v>
      </c>
      <c r="F426" s="359">
        <v>3468</v>
      </c>
      <c r="G426" s="359">
        <v>2814</v>
      </c>
      <c r="H426" s="359">
        <f t="shared" ref="H426:H430" si="262">G426</f>
        <v>2814</v>
      </c>
      <c r="I426" s="359">
        <v>3709</v>
      </c>
      <c r="J426" s="359">
        <v>2699</v>
      </c>
      <c r="K426" s="359">
        <v>3468</v>
      </c>
      <c r="L426" s="359">
        <v>2608</v>
      </c>
      <c r="M426" s="359">
        <f t="shared" si="258"/>
        <v>2608</v>
      </c>
      <c r="N426" s="359">
        <v>1677</v>
      </c>
      <c r="O426" s="359">
        <v>130226</v>
      </c>
      <c r="P426" s="359">
        <v>130339</v>
      </c>
      <c r="Q426" s="359">
        <v>2976</v>
      </c>
      <c r="R426" s="359">
        <f t="shared" si="259"/>
        <v>2976</v>
      </c>
      <c r="S426" s="359">
        <v>1077647</v>
      </c>
      <c r="T426" s="359">
        <v>926867</v>
      </c>
      <c r="U426" s="359">
        <v>926867</v>
      </c>
      <c r="V426" s="359">
        <v>1077647</v>
      </c>
      <c r="W426" s="359">
        <f t="shared" ref="W426:W430" si="263">V426</f>
        <v>1077647</v>
      </c>
      <c r="X426" s="359">
        <v>1077647</v>
      </c>
      <c r="Y426" s="359">
        <v>934908</v>
      </c>
      <c r="Z426" s="359">
        <v>934908</v>
      </c>
      <c r="AA426" s="363">
        <v>75062</v>
      </c>
      <c r="AB426" s="359">
        <f t="shared" si="261"/>
        <v>75062</v>
      </c>
      <c r="AC426" s="289"/>
      <c r="AD426" s="289"/>
      <c r="AE426" s="289"/>
      <c r="AF426" s="289"/>
      <c r="AG426" s="289"/>
      <c r="AH426" s="289"/>
      <c r="AI426" s="289"/>
      <c r="AJ426" s="289"/>
      <c r="AK426" s="289"/>
      <c r="AL426" s="289"/>
      <c r="AM426" s="289"/>
      <c r="AN426" s="289"/>
      <c r="AO426" s="289"/>
      <c r="AP426" s="289"/>
      <c r="AQ426" s="289"/>
      <c r="AR426" s="289"/>
      <c r="AS426" s="289"/>
      <c r="AT426" s="289"/>
      <c r="AU426" s="289"/>
      <c r="AV426" s="289"/>
      <c r="AW426" s="289"/>
      <c r="AX426" s="289"/>
      <c r="AY426" s="289"/>
      <c r="AZ426" s="289"/>
      <c r="BA426" s="289"/>
      <c r="BB426" s="289"/>
      <c r="BC426" s="289"/>
      <c r="BD426" s="289"/>
      <c r="BE426" s="289"/>
      <c r="BF426" s="289"/>
      <c r="BG426" s="289"/>
    </row>
    <row r="427" spans="1:59" ht="15.75" customHeight="1" x14ac:dyDescent="0.2">
      <c r="A427" s="289"/>
      <c r="B427" s="268"/>
      <c r="C427" s="307" t="s">
        <v>338</v>
      </c>
      <c r="D427" s="359">
        <v>1221604</v>
      </c>
      <c r="E427" s="359">
        <v>1083139</v>
      </c>
      <c r="F427" s="359">
        <v>1140812</v>
      </c>
      <c r="G427" s="359">
        <v>1196861</v>
      </c>
      <c r="H427" s="359">
        <f t="shared" si="262"/>
        <v>1196861</v>
      </c>
      <c r="I427" s="359">
        <v>1218786</v>
      </c>
      <c r="J427" s="359">
        <v>1089643</v>
      </c>
      <c r="K427" s="359">
        <v>1140812</v>
      </c>
      <c r="L427" s="359">
        <v>1156140</v>
      </c>
      <c r="M427" s="359">
        <f t="shared" si="258"/>
        <v>1156140</v>
      </c>
      <c r="N427" s="359">
        <v>1120335</v>
      </c>
      <c r="O427" s="359">
        <v>940002</v>
      </c>
      <c r="P427" s="359">
        <v>993764</v>
      </c>
      <c r="Q427" s="359">
        <v>1058633</v>
      </c>
      <c r="R427" s="359">
        <f t="shared" si="259"/>
        <v>1058633</v>
      </c>
      <c r="S427" s="359">
        <v>0</v>
      </c>
      <c r="T427" s="359">
        <v>143133</v>
      </c>
      <c r="U427" s="359">
        <v>175506</v>
      </c>
      <c r="V427" s="359">
        <v>842085</v>
      </c>
      <c r="W427" s="359">
        <f t="shared" si="263"/>
        <v>842085</v>
      </c>
      <c r="X427" s="359">
        <v>139132</v>
      </c>
      <c r="Y427" s="359">
        <v>153332</v>
      </c>
      <c r="Z427" s="359">
        <v>216764</v>
      </c>
      <c r="AA427" s="363">
        <v>723446</v>
      </c>
      <c r="AB427" s="359">
        <f t="shared" si="261"/>
        <v>723446</v>
      </c>
      <c r="AC427" s="289"/>
      <c r="AD427" s="289"/>
      <c r="AE427" s="289"/>
      <c r="AF427" s="289"/>
      <c r="AG427" s="289"/>
      <c r="AH427" s="289"/>
      <c r="AI427" s="289"/>
      <c r="AJ427" s="289"/>
      <c r="AK427" s="289"/>
      <c r="AL427" s="289"/>
      <c r="AM427" s="289"/>
      <c r="AN427" s="289"/>
      <c r="AO427" s="289"/>
      <c r="AP427" s="289"/>
      <c r="AQ427" s="289"/>
      <c r="AR427" s="289"/>
      <c r="AS427" s="289"/>
      <c r="AT427" s="289"/>
      <c r="AU427" s="289"/>
      <c r="AV427" s="289"/>
      <c r="AW427" s="289"/>
      <c r="AX427" s="289"/>
      <c r="AY427" s="289"/>
      <c r="AZ427" s="289"/>
      <c r="BA427" s="289"/>
      <c r="BB427" s="289"/>
      <c r="BC427" s="289"/>
      <c r="BD427" s="289"/>
      <c r="BE427" s="289"/>
      <c r="BF427" s="289"/>
      <c r="BG427" s="289"/>
    </row>
    <row r="428" spans="1:59" ht="15.75" customHeight="1" x14ac:dyDescent="0.2">
      <c r="A428" s="289"/>
      <c r="B428" s="268"/>
      <c r="C428" s="307" t="s">
        <v>339</v>
      </c>
      <c r="D428" s="359">
        <v>0</v>
      </c>
      <c r="E428" s="359">
        <v>0</v>
      </c>
      <c r="F428" s="359">
        <v>0</v>
      </c>
      <c r="G428" s="359">
        <v>0</v>
      </c>
      <c r="H428" s="359">
        <f t="shared" si="262"/>
        <v>0</v>
      </c>
      <c r="I428" s="359">
        <v>0</v>
      </c>
      <c r="J428" s="359">
        <v>0</v>
      </c>
      <c r="K428" s="359">
        <v>0</v>
      </c>
      <c r="L428" s="359">
        <v>0</v>
      </c>
      <c r="M428" s="359">
        <f t="shared" si="258"/>
        <v>0</v>
      </c>
      <c r="N428" s="359">
        <v>0</v>
      </c>
      <c r="O428" s="359">
        <v>0</v>
      </c>
      <c r="P428" s="359">
        <v>0</v>
      </c>
      <c r="Q428" s="359">
        <v>0</v>
      </c>
      <c r="R428" s="359">
        <f t="shared" si="259"/>
        <v>0</v>
      </c>
      <c r="S428" s="359">
        <v>842085</v>
      </c>
      <c r="T428" s="359">
        <v>675374</v>
      </c>
      <c r="U428" s="359">
        <v>796673</v>
      </c>
      <c r="V428" s="359">
        <v>0</v>
      </c>
      <c r="W428" s="359">
        <f t="shared" si="263"/>
        <v>0</v>
      </c>
      <c r="X428" s="359">
        <v>570969</v>
      </c>
      <c r="Y428" s="359">
        <v>731218</v>
      </c>
      <c r="Z428" s="359">
        <v>785449</v>
      </c>
      <c r="AA428" s="364">
        <v>0</v>
      </c>
      <c r="AB428" s="359">
        <f t="shared" si="261"/>
        <v>0</v>
      </c>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289"/>
      <c r="AY428" s="289"/>
      <c r="AZ428" s="289"/>
      <c r="BA428" s="289"/>
      <c r="BB428" s="289"/>
      <c r="BC428" s="289"/>
      <c r="BD428" s="289"/>
      <c r="BE428" s="289"/>
      <c r="BF428" s="289"/>
      <c r="BG428" s="289"/>
    </row>
    <row r="429" spans="1:59" ht="15.75" customHeight="1" x14ac:dyDescent="0.2">
      <c r="A429" s="289"/>
      <c r="B429" s="268"/>
      <c r="C429" s="307" t="s">
        <v>340</v>
      </c>
      <c r="D429" s="359">
        <v>395970</v>
      </c>
      <c r="E429" s="359">
        <v>536937</v>
      </c>
      <c r="F429" s="359">
        <v>576067</v>
      </c>
      <c r="G429" s="359">
        <v>548204</v>
      </c>
      <c r="H429" s="359">
        <f t="shared" si="262"/>
        <v>548204</v>
      </c>
      <c r="I429" s="359">
        <v>555587</v>
      </c>
      <c r="J429" s="359">
        <v>544905</v>
      </c>
      <c r="K429" s="359">
        <v>576067</v>
      </c>
      <c r="L429" s="359">
        <v>591100</v>
      </c>
      <c r="M429" s="359">
        <f t="shared" si="258"/>
        <v>591100</v>
      </c>
      <c r="N429" s="359">
        <v>905689</v>
      </c>
      <c r="O429" s="359">
        <v>979712</v>
      </c>
      <c r="P429" s="359">
        <v>1024157</v>
      </c>
      <c r="Q429" s="359">
        <v>903432</v>
      </c>
      <c r="R429" s="359">
        <f t="shared" si="259"/>
        <v>903432</v>
      </c>
      <c r="S429" s="359">
        <v>0</v>
      </c>
      <c r="T429" s="359">
        <v>0</v>
      </c>
      <c r="U429" s="359">
        <v>0</v>
      </c>
      <c r="V429" s="359">
        <v>0</v>
      </c>
      <c r="W429" s="359">
        <f t="shared" si="263"/>
        <v>0</v>
      </c>
      <c r="X429" s="359">
        <v>0</v>
      </c>
      <c r="Y429" s="359">
        <v>0</v>
      </c>
      <c r="Z429" s="359">
        <v>0</v>
      </c>
      <c r="AA429" s="364">
        <v>0</v>
      </c>
      <c r="AB429" s="359">
        <f t="shared" si="261"/>
        <v>0</v>
      </c>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289"/>
      <c r="AY429" s="289"/>
      <c r="AZ429" s="289"/>
      <c r="BA429" s="289"/>
      <c r="BB429" s="289"/>
      <c r="BC429" s="289"/>
      <c r="BD429" s="289"/>
      <c r="BE429" s="289"/>
      <c r="BF429" s="289"/>
      <c r="BG429" s="289"/>
    </row>
    <row r="430" spans="1:59" ht="15.75" customHeight="1" x14ac:dyDescent="0.2">
      <c r="A430" s="289"/>
      <c r="B430" s="268"/>
      <c r="C430" s="307" t="s">
        <v>341</v>
      </c>
      <c r="D430" s="359">
        <v>2930</v>
      </c>
      <c r="E430" s="359">
        <v>5106</v>
      </c>
      <c r="F430" s="359">
        <v>4932</v>
      </c>
      <c r="G430" s="359">
        <v>2028</v>
      </c>
      <c r="H430" s="359">
        <f t="shared" si="262"/>
        <v>2028</v>
      </c>
      <c r="I430" s="359">
        <v>3847</v>
      </c>
      <c r="J430" s="359">
        <v>3310</v>
      </c>
      <c r="K430" s="359">
        <v>4932</v>
      </c>
      <c r="L430" s="359">
        <v>2479</v>
      </c>
      <c r="M430" s="359">
        <f t="shared" si="258"/>
        <v>2479</v>
      </c>
      <c r="N430" s="359">
        <v>3393</v>
      </c>
      <c r="O430" s="359">
        <v>4444</v>
      </c>
      <c r="P430" s="359">
        <v>3624</v>
      </c>
      <c r="Q430" s="359">
        <v>1715</v>
      </c>
      <c r="R430" s="359">
        <f t="shared" si="259"/>
        <v>1715</v>
      </c>
      <c r="S430" s="359">
        <v>3790</v>
      </c>
      <c r="T430" s="359">
        <v>1130</v>
      </c>
      <c r="U430" s="359">
        <v>1473</v>
      </c>
      <c r="V430" s="359">
        <v>3790</v>
      </c>
      <c r="W430" s="359">
        <f t="shared" si="263"/>
        <v>3790</v>
      </c>
      <c r="X430" s="359">
        <v>4544</v>
      </c>
      <c r="Y430" s="359">
        <v>2781</v>
      </c>
      <c r="Z430" s="359">
        <v>404</v>
      </c>
      <c r="AA430" s="364">
        <v>2686</v>
      </c>
      <c r="AB430" s="359">
        <f t="shared" si="261"/>
        <v>2686</v>
      </c>
      <c r="AC430" s="289"/>
      <c r="AD430" s="289"/>
      <c r="AE430" s="289"/>
      <c r="AF430" s="289"/>
      <c r="AG430" s="289"/>
      <c r="AH430" s="289"/>
      <c r="AI430" s="289"/>
      <c r="AJ430" s="289"/>
      <c r="AK430" s="289"/>
      <c r="AL430" s="289"/>
      <c r="AM430" s="289"/>
      <c r="AN430" s="289"/>
      <c r="AO430" s="289"/>
      <c r="AP430" s="289"/>
      <c r="AQ430" s="289"/>
      <c r="AR430" s="289"/>
      <c r="AS430" s="289"/>
      <c r="AT430" s="289"/>
      <c r="AU430" s="289"/>
      <c r="AV430" s="289"/>
      <c r="AW430" s="289"/>
      <c r="AX430" s="289"/>
      <c r="AY430" s="289"/>
      <c r="AZ430" s="289"/>
      <c r="BA430" s="289"/>
      <c r="BB430" s="289"/>
      <c r="BC430" s="289"/>
      <c r="BD430" s="289"/>
      <c r="BE430" s="289"/>
      <c r="BF430" s="289"/>
      <c r="BG430" s="289"/>
    </row>
    <row r="431" spans="1:59" ht="15.75" customHeight="1" x14ac:dyDescent="0.2">
      <c r="A431" s="289"/>
      <c r="B431" s="268"/>
      <c r="C431" s="268"/>
      <c r="D431" s="360"/>
      <c r="E431" s="360"/>
      <c r="F431" s="360"/>
      <c r="G431" s="360"/>
      <c r="H431" s="360"/>
      <c r="I431" s="360"/>
      <c r="J431" s="360"/>
      <c r="K431" s="360"/>
      <c r="L431" s="360"/>
      <c r="M431" s="360"/>
      <c r="N431" s="360"/>
      <c r="O431" s="360"/>
      <c r="P431" s="360"/>
      <c r="Q431" s="360"/>
      <c r="R431" s="360"/>
      <c r="S431" s="360"/>
      <c r="T431" s="360"/>
      <c r="U431" s="360"/>
      <c r="V431" s="360"/>
      <c r="W431" s="360"/>
      <c r="X431" s="360"/>
      <c r="Y431" s="360"/>
      <c r="Z431" s="360"/>
      <c r="AA431" s="360"/>
      <c r="AB431" s="360"/>
      <c r="AC431" s="289"/>
      <c r="AD431" s="289"/>
      <c r="AE431" s="289"/>
      <c r="AF431" s="289"/>
      <c r="AG431" s="289"/>
      <c r="AH431" s="289"/>
      <c r="AI431" s="289"/>
      <c r="AJ431" s="289"/>
      <c r="AK431" s="289"/>
      <c r="AL431" s="289"/>
      <c r="AM431" s="289"/>
      <c r="AN431" s="289"/>
      <c r="AO431" s="289"/>
      <c r="AP431" s="289"/>
      <c r="AQ431" s="289"/>
      <c r="AR431" s="289"/>
      <c r="AS431" s="289"/>
      <c r="AT431" s="289"/>
      <c r="AU431" s="289"/>
      <c r="AV431" s="289"/>
      <c r="AW431" s="289"/>
      <c r="AX431" s="289"/>
      <c r="AY431" s="289"/>
      <c r="AZ431" s="289"/>
      <c r="BA431" s="289"/>
      <c r="BB431" s="289"/>
      <c r="BC431" s="289"/>
      <c r="BD431" s="289"/>
      <c r="BE431" s="289"/>
      <c r="BF431" s="289"/>
      <c r="BG431" s="289"/>
    </row>
    <row r="432" spans="1:59" ht="15.75" customHeight="1" x14ac:dyDescent="0.2">
      <c r="A432" s="289"/>
      <c r="B432" s="289"/>
      <c r="C432" s="357" t="s">
        <v>342</v>
      </c>
      <c r="D432" s="358">
        <f t="shared" ref="D432:G432" si="264">D434+D420</f>
        <v>3461650</v>
      </c>
      <c r="E432" s="358">
        <f t="shared" si="264"/>
        <v>3596729</v>
      </c>
      <c r="F432" s="358">
        <f t="shared" si="264"/>
        <v>3744786</v>
      </c>
      <c r="G432" s="358">
        <f t="shared" si="264"/>
        <v>3682087</v>
      </c>
      <c r="H432" s="358">
        <f>G432</f>
        <v>3682087</v>
      </c>
      <c r="I432" s="358">
        <f t="shared" ref="I432:AB432" si="265">I434+I420</f>
        <v>4415493</v>
      </c>
      <c r="J432" s="358">
        <f t="shared" si="265"/>
        <v>4356556</v>
      </c>
      <c r="K432" s="358">
        <f t="shared" si="265"/>
        <v>3744786</v>
      </c>
      <c r="L432" s="358">
        <f t="shared" si="265"/>
        <v>4639629</v>
      </c>
      <c r="M432" s="358">
        <f t="shared" si="265"/>
        <v>4639629</v>
      </c>
      <c r="N432" s="358">
        <f t="shared" si="265"/>
        <v>5378231</v>
      </c>
      <c r="O432" s="358">
        <f t="shared" si="265"/>
        <v>5628625</v>
      </c>
      <c r="P432" s="358">
        <f t="shared" si="265"/>
        <v>5754961</v>
      </c>
      <c r="Q432" s="358">
        <f t="shared" si="265"/>
        <v>5401310</v>
      </c>
      <c r="R432" s="358">
        <f t="shared" si="265"/>
        <v>5401310</v>
      </c>
      <c r="S432" s="358">
        <f t="shared" si="265"/>
        <v>5724443</v>
      </c>
      <c r="T432" s="358">
        <f t="shared" si="265"/>
        <v>5089770</v>
      </c>
      <c r="U432" s="358">
        <f t="shared" si="265"/>
        <v>5311532</v>
      </c>
      <c r="V432" s="358">
        <f t="shared" si="265"/>
        <v>5724443</v>
      </c>
      <c r="W432" s="358">
        <f t="shared" si="265"/>
        <v>5724443</v>
      </c>
      <c r="X432" s="358">
        <f t="shared" si="265"/>
        <v>5309115</v>
      </c>
      <c r="Y432" s="358">
        <f t="shared" si="265"/>
        <v>5514598</v>
      </c>
      <c r="Z432" s="358">
        <f t="shared" si="265"/>
        <v>5838865</v>
      </c>
      <c r="AA432" s="358">
        <f t="shared" si="265"/>
        <v>5731104</v>
      </c>
      <c r="AB432" s="358">
        <f t="shared" si="265"/>
        <v>5731104</v>
      </c>
      <c r="AC432" s="289"/>
      <c r="AD432" s="289"/>
      <c r="AE432" s="289"/>
      <c r="AF432" s="289"/>
      <c r="AG432" s="289"/>
      <c r="AH432" s="289"/>
      <c r="AI432" s="289"/>
      <c r="AJ432" s="289"/>
      <c r="AK432" s="289"/>
      <c r="AL432" s="289"/>
      <c r="AM432" s="289"/>
      <c r="AN432" s="289"/>
      <c r="AO432" s="289"/>
      <c r="AP432" s="289"/>
      <c r="AQ432" s="289"/>
      <c r="AR432" s="289"/>
      <c r="AS432" s="289"/>
      <c r="AT432" s="289"/>
      <c r="AU432" s="289"/>
      <c r="AV432" s="289"/>
      <c r="AW432" s="289"/>
      <c r="AX432" s="289"/>
      <c r="AY432" s="289"/>
      <c r="AZ432" s="289"/>
      <c r="BA432" s="289"/>
      <c r="BB432" s="289"/>
      <c r="BC432" s="289"/>
      <c r="BD432" s="289"/>
      <c r="BE432" s="289"/>
      <c r="BF432" s="289"/>
      <c r="BG432" s="289"/>
    </row>
    <row r="433" spans="1:59" ht="15.75" customHeight="1" x14ac:dyDescent="0.2">
      <c r="A433" s="289"/>
      <c r="B433" s="268"/>
      <c r="C433" s="268"/>
      <c r="D433" s="360"/>
      <c r="E433" s="360"/>
      <c r="F433" s="360"/>
      <c r="G433" s="360"/>
      <c r="H433" s="360"/>
      <c r="I433" s="360"/>
      <c r="J433" s="360"/>
      <c r="K433" s="360"/>
      <c r="L433" s="360"/>
      <c r="M433" s="360"/>
      <c r="N433" s="360"/>
      <c r="O433" s="360"/>
      <c r="P433" s="360"/>
      <c r="Q433" s="360"/>
      <c r="R433" s="360"/>
      <c r="S433" s="360"/>
      <c r="T433" s="360"/>
      <c r="U433" s="360"/>
      <c r="V433" s="360"/>
      <c r="W433" s="360"/>
      <c r="X433" s="360"/>
      <c r="Y433" s="360"/>
      <c r="Z433" s="360"/>
      <c r="AA433" s="360"/>
      <c r="AB433" s="360"/>
      <c r="AC433" s="289"/>
      <c r="AD433" s="289"/>
      <c r="AE433" s="289"/>
      <c r="AF433" s="289"/>
      <c r="AG433" s="289"/>
      <c r="AH433" s="289"/>
      <c r="AI433" s="289"/>
      <c r="AJ433" s="289"/>
      <c r="AK433" s="289"/>
      <c r="AL433" s="289"/>
      <c r="AM433" s="289"/>
      <c r="AN433" s="289"/>
      <c r="AO433" s="289"/>
      <c r="AP433" s="289"/>
      <c r="AQ433" s="289"/>
      <c r="AR433" s="289"/>
      <c r="AS433" s="289"/>
      <c r="AT433" s="289"/>
      <c r="AU433" s="289"/>
      <c r="AV433" s="289"/>
      <c r="AW433" s="289"/>
      <c r="AX433" s="289"/>
      <c r="AY433" s="289"/>
      <c r="AZ433" s="289"/>
      <c r="BA433" s="289"/>
      <c r="BB433" s="289"/>
      <c r="BC433" s="289"/>
      <c r="BD433" s="289"/>
      <c r="BE433" s="289"/>
      <c r="BF433" s="289"/>
      <c r="BG433" s="289"/>
    </row>
    <row r="434" spans="1:59" ht="15.75" customHeight="1" x14ac:dyDescent="0.2">
      <c r="A434" s="289"/>
      <c r="B434" s="289"/>
      <c r="C434" s="357" t="s">
        <v>330</v>
      </c>
      <c r="D434" s="358">
        <f t="shared" ref="D434:G434" si="266">D398+D409</f>
        <v>1591877</v>
      </c>
      <c r="E434" s="358">
        <f t="shared" si="266"/>
        <v>1721546</v>
      </c>
      <c r="F434" s="358">
        <f t="shared" si="266"/>
        <v>1770336</v>
      </c>
      <c r="G434" s="358">
        <f t="shared" si="266"/>
        <v>1682246</v>
      </c>
      <c r="H434" s="358">
        <f>G434</f>
        <v>1682246</v>
      </c>
      <c r="I434" s="358">
        <f t="shared" ref="I434:R434" si="267">I398+I409</f>
        <v>2383363</v>
      </c>
      <c r="J434" s="358">
        <f t="shared" si="267"/>
        <v>2465587</v>
      </c>
      <c r="K434" s="358">
        <f t="shared" si="267"/>
        <v>1770336</v>
      </c>
      <c r="L434" s="358">
        <f t="shared" si="267"/>
        <v>2634347</v>
      </c>
      <c r="M434" s="358">
        <f t="shared" si="267"/>
        <v>2634347</v>
      </c>
      <c r="N434" s="358">
        <f t="shared" si="267"/>
        <v>3084688</v>
      </c>
      <c r="O434" s="358">
        <f t="shared" si="267"/>
        <v>3311667</v>
      </c>
      <c r="P434" s="358">
        <f t="shared" si="267"/>
        <v>3339283</v>
      </c>
      <c r="Q434" s="358">
        <f t="shared" si="267"/>
        <v>3165331</v>
      </c>
      <c r="R434" s="358">
        <f t="shared" si="267"/>
        <v>3165331</v>
      </c>
      <c r="S434" s="358">
        <v>3369167</v>
      </c>
      <c r="T434" s="358">
        <v>3131290</v>
      </c>
      <c r="U434" s="358">
        <v>3198585</v>
      </c>
      <c r="V434" s="358">
        <f t="shared" ref="V434:AB434" si="268">V398+V409</f>
        <v>3369167</v>
      </c>
      <c r="W434" s="358">
        <f t="shared" si="268"/>
        <v>3369167</v>
      </c>
      <c r="X434" s="358">
        <f t="shared" si="268"/>
        <v>3079538</v>
      </c>
      <c r="Y434" s="358">
        <f t="shared" si="268"/>
        <v>3250117</v>
      </c>
      <c r="Z434" s="358">
        <f t="shared" si="268"/>
        <v>3458881</v>
      </c>
      <c r="AA434" s="358">
        <f t="shared" si="268"/>
        <v>3382592</v>
      </c>
      <c r="AB434" s="358">
        <f t="shared" si="268"/>
        <v>3382592</v>
      </c>
      <c r="AC434" s="289"/>
      <c r="AD434" s="289"/>
      <c r="AE434" s="289"/>
      <c r="AF434" s="289"/>
      <c r="AG434" s="289"/>
      <c r="AH434" s="289"/>
      <c r="AI434" s="289"/>
      <c r="AJ434" s="289"/>
      <c r="AK434" s="289"/>
      <c r="AL434" s="289"/>
      <c r="AM434" s="289"/>
      <c r="AN434" s="289"/>
      <c r="AO434" s="289"/>
      <c r="AP434" s="289"/>
      <c r="AQ434" s="289"/>
      <c r="AR434" s="289"/>
      <c r="AS434" s="289"/>
      <c r="AT434" s="289"/>
      <c r="AU434" s="289"/>
      <c r="AV434" s="289"/>
      <c r="AW434" s="289"/>
      <c r="AX434" s="289"/>
      <c r="AY434" s="289"/>
      <c r="AZ434" s="289"/>
      <c r="BA434" s="289"/>
      <c r="BB434" s="289"/>
      <c r="BC434" s="289"/>
      <c r="BD434" s="289"/>
      <c r="BE434" s="289"/>
      <c r="BF434" s="289"/>
      <c r="BG434" s="289"/>
    </row>
    <row r="435" spans="1:59" ht="15.75" customHeight="1" x14ac:dyDescent="0.2">
      <c r="A435" s="189"/>
      <c r="B435" s="189"/>
      <c r="C435" s="252"/>
      <c r="D435" s="365"/>
      <c r="E435" s="365"/>
      <c r="F435" s="365"/>
      <c r="G435" s="365"/>
      <c r="H435" s="366"/>
      <c r="I435" s="365"/>
      <c r="J435" s="365"/>
      <c r="K435" s="365"/>
      <c r="L435" s="365"/>
      <c r="M435" s="366"/>
      <c r="N435" s="365"/>
      <c r="O435" s="365"/>
      <c r="P435" s="365"/>
      <c r="Q435" s="365"/>
      <c r="R435" s="367"/>
      <c r="S435" s="365"/>
      <c r="T435" s="365"/>
      <c r="U435" s="365"/>
      <c r="V435" s="365"/>
      <c r="W435" s="366"/>
      <c r="X435" s="365"/>
      <c r="Y435" s="365"/>
      <c r="Z435" s="365"/>
      <c r="AA435" s="365"/>
      <c r="AB435" s="366"/>
      <c r="AC435" s="307"/>
      <c r="AD435" s="307"/>
      <c r="AE435" s="307"/>
      <c r="AF435" s="307"/>
      <c r="AG435" s="307"/>
      <c r="AH435" s="307"/>
      <c r="AI435" s="307"/>
      <c r="AJ435" s="307"/>
      <c r="AK435" s="307"/>
      <c r="AL435" s="307"/>
      <c r="AM435" s="307"/>
      <c r="AN435" s="307"/>
      <c r="AO435" s="307"/>
      <c r="AP435" s="307"/>
      <c r="AQ435" s="307"/>
      <c r="AR435" s="307"/>
      <c r="AS435" s="307"/>
      <c r="AT435" s="307"/>
      <c r="AU435" s="307"/>
      <c r="AV435" s="307"/>
      <c r="AW435" s="307"/>
      <c r="AX435" s="307"/>
      <c r="AY435" s="307"/>
      <c r="AZ435" s="307"/>
      <c r="BA435" s="307"/>
      <c r="BB435" s="307"/>
      <c r="BC435" s="307"/>
      <c r="BD435" s="307"/>
      <c r="BE435" s="307"/>
      <c r="BF435" s="307"/>
      <c r="BG435" s="307"/>
    </row>
    <row r="436" spans="1:59" ht="15.75" customHeight="1" x14ac:dyDescent="0.2">
      <c r="A436" s="368"/>
      <c r="B436" s="369" t="s">
        <v>343</v>
      </c>
      <c r="C436" s="369"/>
      <c r="D436" s="277" t="s">
        <v>98</v>
      </c>
      <c r="E436" s="277" t="s">
        <v>99</v>
      </c>
      <c r="F436" s="277" t="s">
        <v>100</v>
      </c>
      <c r="G436" s="277" t="s">
        <v>101</v>
      </c>
      <c r="H436" s="159">
        <v>2018</v>
      </c>
      <c r="I436" s="277" t="s">
        <v>102</v>
      </c>
      <c r="J436" s="277" t="s">
        <v>103</v>
      </c>
      <c r="K436" s="277" t="s">
        <v>104</v>
      </c>
      <c r="L436" s="277" t="s">
        <v>105</v>
      </c>
      <c r="M436" s="159">
        <v>2019</v>
      </c>
      <c r="N436" s="277" t="s">
        <v>158</v>
      </c>
      <c r="O436" s="277" t="s">
        <v>107</v>
      </c>
      <c r="P436" s="277" t="s">
        <v>108</v>
      </c>
      <c r="Q436" s="277" t="s">
        <v>109</v>
      </c>
      <c r="R436" s="159">
        <v>2020</v>
      </c>
      <c r="S436" s="277" t="s">
        <v>110</v>
      </c>
      <c r="T436" s="277" t="s">
        <v>111</v>
      </c>
      <c r="U436" s="277" t="s">
        <v>112</v>
      </c>
      <c r="V436" s="277" t="s">
        <v>113</v>
      </c>
      <c r="W436" s="159">
        <v>2021</v>
      </c>
      <c r="X436" s="277" t="s">
        <v>114</v>
      </c>
      <c r="Y436" s="277" t="s">
        <v>115</v>
      </c>
      <c r="Z436" s="277" t="str">
        <f>$Z$4</f>
        <v>3Q22</v>
      </c>
      <c r="AA436" s="277" t="str">
        <f>$AA$4</f>
        <v>4Q22</v>
      </c>
      <c r="AB436" s="160">
        <v>2022</v>
      </c>
      <c r="AC436" s="307"/>
      <c r="AD436" s="307"/>
      <c r="AE436" s="307"/>
      <c r="AF436" s="307"/>
      <c r="AG436" s="307"/>
      <c r="AH436" s="307"/>
      <c r="AI436" s="307"/>
      <c r="AJ436" s="307"/>
      <c r="AK436" s="307"/>
      <c r="AL436" s="307"/>
      <c r="AM436" s="307"/>
      <c r="AN436" s="307"/>
      <c r="AO436" s="307"/>
      <c r="AP436" s="307"/>
      <c r="AQ436" s="307"/>
      <c r="AR436" s="307"/>
      <c r="AS436" s="307"/>
      <c r="AT436" s="307"/>
      <c r="AU436" s="307"/>
      <c r="AV436" s="307"/>
      <c r="AW436" s="307"/>
      <c r="AX436" s="307"/>
      <c r="AY436" s="307"/>
      <c r="AZ436" s="307"/>
      <c r="BA436" s="307"/>
      <c r="BB436" s="307"/>
      <c r="BC436" s="307"/>
      <c r="BD436" s="307"/>
      <c r="BE436" s="307"/>
      <c r="BF436" s="307"/>
      <c r="BG436" s="307"/>
    </row>
    <row r="437" spans="1:59" ht="15.75" customHeight="1" x14ac:dyDescent="0.2">
      <c r="A437" s="307"/>
      <c r="B437" s="307"/>
      <c r="C437" s="308" t="s">
        <v>188</v>
      </c>
      <c r="D437" s="292">
        <f t="shared" ref="D437:AB437" si="269">SUM(D170,D188,D224,D260,D242,D206,D278)</f>
        <v>387.28230541999994</v>
      </c>
      <c r="E437" s="292">
        <f t="shared" si="269"/>
        <v>416.07024279499893</v>
      </c>
      <c r="F437" s="292">
        <f t="shared" si="269"/>
        <v>451.33237634500125</v>
      </c>
      <c r="G437" s="292">
        <f t="shared" si="269"/>
        <v>422.78488874000027</v>
      </c>
      <c r="H437" s="292">
        <f t="shared" si="269"/>
        <v>1677.4698133000004</v>
      </c>
      <c r="I437" s="292">
        <f t="shared" si="269"/>
        <v>378.84580550999999</v>
      </c>
      <c r="J437" s="292">
        <f t="shared" si="269"/>
        <v>386.96014074000004</v>
      </c>
      <c r="K437" s="292">
        <f t="shared" si="269"/>
        <v>421.34964608000001</v>
      </c>
      <c r="L437" s="292">
        <f t="shared" si="269"/>
        <v>415.07026023000003</v>
      </c>
      <c r="M437" s="292">
        <f t="shared" si="269"/>
        <v>1602.2258525599996</v>
      </c>
      <c r="N437" s="292">
        <f t="shared" si="269"/>
        <v>406.38826307000005</v>
      </c>
      <c r="O437" s="292">
        <f t="shared" si="269"/>
        <v>447.33499911999996</v>
      </c>
      <c r="P437" s="292">
        <f t="shared" si="269"/>
        <v>474.09824527000006</v>
      </c>
      <c r="Q437" s="292">
        <f t="shared" si="269"/>
        <v>487.74024132999995</v>
      </c>
      <c r="R437" s="292">
        <f t="shared" si="269"/>
        <v>1815.5617487899997</v>
      </c>
      <c r="S437" s="292">
        <f t="shared" si="269"/>
        <v>507.08572290999996</v>
      </c>
      <c r="T437" s="292">
        <f t="shared" si="269"/>
        <v>509.99797374000002</v>
      </c>
      <c r="U437" s="292">
        <f t="shared" si="269"/>
        <v>543.92654571000003</v>
      </c>
      <c r="V437" s="292">
        <f t="shared" si="269"/>
        <v>577.70454937</v>
      </c>
      <c r="W437" s="292">
        <f t="shared" si="269"/>
        <v>2138.7147917300003</v>
      </c>
      <c r="X437" s="292">
        <f t="shared" si="269"/>
        <v>529.2178690500001</v>
      </c>
      <c r="Y437" s="292">
        <f t="shared" si="269"/>
        <v>539.57049873999995</v>
      </c>
      <c r="Z437" s="292">
        <f t="shared" si="269"/>
        <v>619.07765617999996</v>
      </c>
      <c r="AA437" s="292">
        <f t="shared" si="269"/>
        <v>584.0259389900001</v>
      </c>
      <c r="AB437" s="292">
        <f t="shared" si="269"/>
        <v>2271.89196296</v>
      </c>
      <c r="AC437" s="307"/>
      <c r="AD437" s="307"/>
      <c r="AE437" s="307"/>
      <c r="AF437" s="307"/>
      <c r="AG437" s="307"/>
      <c r="AH437" s="307"/>
      <c r="AI437" s="307"/>
      <c r="AJ437" s="307"/>
      <c r="AK437" s="307"/>
      <c r="AL437" s="307"/>
      <c r="AM437" s="307"/>
      <c r="AN437" s="307"/>
      <c r="AO437" s="307"/>
      <c r="AP437" s="307"/>
      <c r="AQ437" s="307"/>
      <c r="AR437" s="307"/>
      <c r="AS437" s="307"/>
      <c r="AT437" s="307"/>
      <c r="AU437" s="307"/>
      <c r="AV437" s="307"/>
      <c r="AW437" s="307"/>
      <c r="AX437" s="307"/>
      <c r="AY437" s="307"/>
      <c r="AZ437" s="307"/>
      <c r="BA437" s="307"/>
      <c r="BB437" s="307"/>
      <c r="BC437" s="307"/>
      <c r="BD437" s="307"/>
      <c r="BE437" s="307"/>
      <c r="BF437" s="307"/>
      <c r="BG437" s="307"/>
    </row>
    <row r="438" spans="1:59" ht="15.75" customHeight="1" x14ac:dyDescent="0.2">
      <c r="A438" s="307"/>
      <c r="B438" s="307"/>
      <c r="C438" s="308" t="s">
        <v>189</v>
      </c>
      <c r="D438" s="292">
        <f t="shared" ref="D438:AB438" si="270">SUM(D174,D192,D228,D264,D246,D210,D280,D355)</f>
        <v>132.5561081244397</v>
      </c>
      <c r="E438" s="292">
        <f t="shared" si="270"/>
        <v>129.39849454007975</v>
      </c>
      <c r="F438" s="292">
        <f t="shared" si="270"/>
        <v>178.83802652627637</v>
      </c>
      <c r="G438" s="292">
        <f t="shared" si="270"/>
        <v>129.97369006688109</v>
      </c>
      <c r="H438" s="292">
        <f t="shared" si="270"/>
        <v>570.76631925767686</v>
      </c>
      <c r="I438" s="292">
        <f t="shared" si="270"/>
        <v>135.93844254999999</v>
      </c>
      <c r="J438" s="292">
        <f t="shared" si="270"/>
        <v>131.69894286000002</v>
      </c>
      <c r="K438" s="292">
        <f t="shared" si="270"/>
        <v>179.53010017</v>
      </c>
      <c r="L438" s="292">
        <f t="shared" si="270"/>
        <v>109.04990735999998</v>
      </c>
      <c r="M438" s="292">
        <f t="shared" si="270"/>
        <v>556.21739293999997</v>
      </c>
      <c r="N438" s="292">
        <f t="shared" si="270"/>
        <v>142.16454465000001</v>
      </c>
      <c r="O438" s="292">
        <f t="shared" si="270"/>
        <v>192.40864829999998</v>
      </c>
      <c r="P438" s="292">
        <f t="shared" si="270"/>
        <v>204.05101571000003</v>
      </c>
      <c r="Q438" s="292">
        <f t="shared" si="270"/>
        <v>172.54351460000004</v>
      </c>
      <c r="R438" s="292">
        <f t="shared" si="270"/>
        <v>711.16772325999989</v>
      </c>
      <c r="S438" s="292">
        <f t="shared" si="270"/>
        <v>229.44932015000001</v>
      </c>
      <c r="T438" s="292">
        <f t="shared" si="270"/>
        <v>220.52733571999997</v>
      </c>
      <c r="U438" s="292">
        <f t="shared" si="270"/>
        <v>219.05833127000002</v>
      </c>
      <c r="V438" s="292">
        <f t="shared" si="270"/>
        <v>189.56173654999998</v>
      </c>
      <c r="W438" s="292">
        <f t="shared" si="270"/>
        <v>858.59672369000009</v>
      </c>
      <c r="X438" s="292">
        <f t="shared" si="270"/>
        <v>239.02962717999998</v>
      </c>
      <c r="Y438" s="292">
        <f t="shared" si="270"/>
        <v>201.14504904999998</v>
      </c>
      <c r="Z438" s="292">
        <f t="shared" si="270"/>
        <v>248.00031036000001</v>
      </c>
      <c r="AA438" s="292">
        <f t="shared" si="270"/>
        <v>250.52225799999999</v>
      </c>
      <c r="AB438" s="292">
        <f t="shared" si="270"/>
        <v>938.69724459000008</v>
      </c>
      <c r="AC438" s="307"/>
      <c r="AD438" s="307"/>
      <c r="AE438" s="307"/>
      <c r="AF438" s="307"/>
      <c r="AG438" s="307"/>
      <c r="AH438" s="307"/>
      <c r="AI438" s="307"/>
      <c r="AJ438" s="307"/>
      <c r="AK438" s="307"/>
      <c r="AL438" s="307"/>
      <c r="AM438" s="307"/>
      <c r="AN438" s="307"/>
      <c r="AO438" s="307"/>
      <c r="AP438" s="307"/>
      <c r="AQ438" s="307"/>
      <c r="AR438" s="307"/>
      <c r="AS438" s="307"/>
      <c r="AT438" s="307"/>
      <c r="AU438" s="307"/>
      <c r="AV438" s="307"/>
      <c r="AW438" s="307"/>
      <c r="AX438" s="307"/>
      <c r="AY438" s="307"/>
      <c r="AZ438" s="307"/>
      <c r="BA438" s="307"/>
      <c r="BB438" s="307"/>
      <c r="BC438" s="307"/>
      <c r="BD438" s="307"/>
      <c r="BE438" s="307"/>
      <c r="BF438" s="307"/>
      <c r="BG438" s="307"/>
    </row>
    <row r="439" spans="1:59" ht="15.75" customHeight="1" x14ac:dyDescent="0.2">
      <c r="A439" s="312"/>
      <c r="B439" s="312"/>
      <c r="C439" s="313" t="s">
        <v>222</v>
      </c>
      <c r="D439" s="301">
        <f t="shared" ref="D439:AB439" si="271">D438/D437</f>
        <v>0.34227256517874022</v>
      </c>
      <c r="E439" s="301">
        <f t="shared" si="271"/>
        <v>0.31100155990688189</v>
      </c>
      <c r="F439" s="301">
        <f t="shared" si="271"/>
        <v>0.39624462125795173</v>
      </c>
      <c r="G439" s="301">
        <f t="shared" si="271"/>
        <v>0.30742274269601655</v>
      </c>
      <c r="H439" s="301">
        <f t="shared" si="271"/>
        <v>0.34025430128893797</v>
      </c>
      <c r="I439" s="301">
        <f t="shared" si="271"/>
        <v>0.358822614828744</v>
      </c>
      <c r="J439" s="301">
        <f t="shared" si="271"/>
        <v>0.34034239962841295</v>
      </c>
      <c r="K439" s="301">
        <f t="shared" si="271"/>
        <v>0.42608342463378579</v>
      </c>
      <c r="L439" s="301">
        <f t="shared" si="271"/>
        <v>0.26272638106997331</v>
      </c>
      <c r="M439" s="301">
        <f t="shared" si="271"/>
        <v>0.34715292606924836</v>
      </c>
      <c r="N439" s="301">
        <f t="shared" si="271"/>
        <v>0.34982443532212021</v>
      </c>
      <c r="O439" s="301">
        <f t="shared" si="271"/>
        <v>0.43012205322299263</v>
      </c>
      <c r="P439" s="301">
        <f t="shared" si="271"/>
        <v>0.43039816693224103</v>
      </c>
      <c r="Q439" s="301">
        <f t="shared" si="271"/>
        <v>0.35376108013867752</v>
      </c>
      <c r="R439" s="301">
        <f t="shared" si="271"/>
        <v>0.39170671211484004</v>
      </c>
      <c r="S439" s="301">
        <f t="shared" si="271"/>
        <v>0.4524862558410539</v>
      </c>
      <c r="T439" s="301">
        <f t="shared" si="271"/>
        <v>0.43240825861089816</v>
      </c>
      <c r="U439" s="301">
        <f t="shared" si="271"/>
        <v>0.40273513583356751</v>
      </c>
      <c r="V439" s="301">
        <f t="shared" si="271"/>
        <v>0.32812920853180294</v>
      </c>
      <c r="W439" s="301">
        <f t="shared" si="271"/>
        <v>0.40145452166414564</v>
      </c>
      <c r="X439" s="301">
        <f t="shared" si="271"/>
        <v>0.45166582830825885</v>
      </c>
      <c r="Y439" s="301">
        <f t="shared" si="271"/>
        <v>0.37278733644576945</v>
      </c>
      <c r="Z439" s="301">
        <f t="shared" si="271"/>
        <v>0.4005964484169538</v>
      </c>
      <c r="AA439" s="301">
        <f t="shared" si="271"/>
        <v>0.42895741657167991</v>
      </c>
      <c r="AB439" s="301">
        <f t="shared" si="271"/>
        <v>0.41317864576931346</v>
      </c>
      <c r="AC439" s="312"/>
      <c r="AD439" s="312"/>
      <c r="AE439" s="312"/>
      <c r="AF439" s="312"/>
      <c r="AG439" s="312"/>
      <c r="AH439" s="312"/>
      <c r="AI439" s="312"/>
      <c r="AJ439" s="312"/>
      <c r="AK439" s="312"/>
      <c r="AL439" s="312"/>
      <c r="AM439" s="312"/>
      <c r="AN439" s="312"/>
      <c r="AO439" s="312"/>
      <c r="AP439" s="312"/>
      <c r="AQ439" s="312"/>
      <c r="AR439" s="312"/>
      <c r="AS439" s="312"/>
      <c r="AT439" s="312"/>
      <c r="AU439" s="312"/>
      <c r="AV439" s="312"/>
      <c r="AW439" s="312"/>
      <c r="AX439" s="312"/>
      <c r="AY439" s="312"/>
      <c r="AZ439" s="312"/>
      <c r="BA439" s="312"/>
      <c r="BB439" s="312"/>
      <c r="BC439" s="312"/>
      <c r="BD439" s="312"/>
      <c r="BE439" s="312"/>
      <c r="BF439" s="312"/>
      <c r="BG439" s="312"/>
    </row>
    <row r="440" spans="1:59" ht="15.75" customHeight="1" x14ac:dyDescent="0.2">
      <c r="A440" s="307"/>
      <c r="B440" s="307"/>
      <c r="C440" s="308" t="s">
        <v>190</v>
      </c>
      <c r="D440" s="292">
        <f t="shared" ref="D440:AB440" si="272">SUM(D181,D199,D235,D271,D253,D217,D286,D355)</f>
        <v>85.674818563493019</v>
      </c>
      <c r="E440" s="292">
        <f t="shared" si="272"/>
        <v>77.986332996165245</v>
      </c>
      <c r="F440" s="292">
        <f t="shared" si="272"/>
        <v>125.78579719614255</v>
      </c>
      <c r="G440" s="292">
        <f t="shared" si="272"/>
        <v>76.475764734279068</v>
      </c>
      <c r="H440" s="292">
        <f t="shared" si="272"/>
        <v>365.9227134900799</v>
      </c>
      <c r="I440" s="292">
        <f t="shared" si="272"/>
        <v>72.85423059</v>
      </c>
      <c r="J440" s="292">
        <f t="shared" si="272"/>
        <v>67.472169009999988</v>
      </c>
      <c r="K440" s="292">
        <f t="shared" si="272"/>
        <v>113.11474519000001</v>
      </c>
      <c r="L440" s="292">
        <f t="shared" si="272"/>
        <v>42.003760110000002</v>
      </c>
      <c r="M440" s="292">
        <f t="shared" si="272"/>
        <v>295.44490489999998</v>
      </c>
      <c r="N440" s="292">
        <f t="shared" si="272"/>
        <v>70.139971700000004</v>
      </c>
      <c r="O440" s="292">
        <f t="shared" si="272"/>
        <v>111.84755174000003</v>
      </c>
      <c r="P440" s="292">
        <f t="shared" si="272"/>
        <v>123.44523795000001</v>
      </c>
      <c r="Q440" s="292">
        <f t="shared" si="272"/>
        <v>90.705681179999985</v>
      </c>
      <c r="R440" s="292">
        <f t="shared" si="272"/>
        <v>396.13844257000005</v>
      </c>
      <c r="S440" s="292">
        <f t="shared" si="272"/>
        <v>144.51746768000004</v>
      </c>
      <c r="T440" s="292">
        <f t="shared" si="272"/>
        <v>137.16921408000002</v>
      </c>
      <c r="U440" s="292">
        <f t="shared" si="272"/>
        <v>139.48452725999996</v>
      </c>
      <c r="V440" s="292">
        <f t="shared" si="272"/>
        <v>106.11837015</v>
      </c>
      <c r="W440" s="292">
        <f t="shared" si="272"/>
        <v>527.28957917000002</v>
      </c>
      <c r="X440" s="292">
        <f t="shared" si="272"/>
        <v>157.38314113000001</v>
      </c>
      <c r="Y440" s="292">
        <f t="shared" si="272"/>
        <v>122.04050188999997</v>
      </c>
      <c r="Z440" s="292">
        <f t="shared" si="272"/>
        <v>164.49579100000003</v>
      </c>
      <c r="AA440" s="292">
        <f t="shared" si="272"/>
        <v>162.02171676999998</v>
      </c>
      <c r="AB440" s="292">
        <f t="shared" si="272"/>
        <v>605.94115078999982</v>
      </c>
      <c r="AC440" s="307"/>
      <c r="AD440" s="307"/>
      <c r="AE440" s="307"/>
      <c r="AF440" s="307"/>
      <c r="AG440" s="307"/>
      <c r="AH440" s="307"/>
      <c r="AI440" s="307"/>
      <c r="AJ440" s="307"/>
      <c r="AK440" s="307"/>
      <c r="AL440" s="307"/>
      <c r="AM440" s="307"/>
      <c r="AN440" s="307"/>
      <c r="AO440" s="307"/>
      <c r="AP440" s="307"/>
      <c r="AQ440" s="307"/>
      <c r="AR440" s="307"/>
      <c r="AS440" s="307"/>
      <c r="AT440" s="307"/>
      <c r="AU440" s="307"/>
      <c r="AV440" s="307"/>
      <c r="AW440" s="307"/>
      <c r="AX440" s="307"/>
      <c r="AY440" s="307"/>
      <c r="AZ440" s="307"/>
      <c r="BA440" s="307"/>
      <c r="BB440" s="307"/>
      <c r="BC440" s="307"/>
      <c r="BD440" s="307"/>
      <c r="BE440" s="307"/>
      <c r="BF440" s="307"/>
      <c r="BG440" s="307"/>
    </row>
    <row r="441" spans="1:59" ht="15.75" customHeight="1" x14ac:dyDescent="0.2">
      <c r="A441" s="312"/>
      <c r="B441" s="312"/>
      <c r="C441" s="313" t="s">
        <v>244</v>
      </c>
      <c r="D441" s="301">
        <f t="shared" ref="D441:AB441" si="273">D440/D437</f>
        <v>0.22122058602853126</v>
      </c>
      <c r="E441" s="301">
        <f t="shared" si="273"/>
        <v>0.18743549760320091</v>
      </c>
      <c r="F441" s="301">
        <f t="shared" si="273"/>
        <v>0.27869881220307385</v>
      </c>
      <c r="G441" s="301">
        <f t="shared" si="273"/>
        <v>0.18088575720431985</v>
      </c>
      <c r="H441" s="301">
        <f t="shared" si="273"/>
        <v>0.21813967118145566</v>
      </c>
      <c r="I441" s="301">
        <f t="shared" si="273"/>
        <v>0.19230576010185479</v>
      </c>
      <c r="J441" s="301">
        <f t="shared" si="273"/>
        <v>0.17436464872317375</v>
      </c>
      <c r="K441" s="301">
        <f t="shared" si="273"/>
        <v>0.26845814691517111</v>
      </c>
      <c r="L441" s="301">
        <f t="shared" si="273"/>
        <v>0.10119674699585739</v>
      </c>
      <c r="M441" s="301">
        <f t="shared" si="273"/>
        <v>0.18439654086715984</v>
      </c>
      <c r="N441" s="301">
        <f t="shared" si="273"/>
        <v>0.17259349758316828</v>
      </c>
      <c r="O441" s="301">
        <f t="shared" si="273"/>
        <v>0.25003085374501705</v>
      </c>
      <c r="P441" s="301">
        <f t="shared" si="273"/>
        <v>0.26037902308560046</v>
      </c>
      <c r="Q441" s="301">
        <f t="shared" si="273"/>
        <v>0.18597128859545847</v>
      </c>
      <c r="R441" s="301">
        <f t="shared" si="273"/>
        <v>0.21819056434407186</v>
      </c>
      <c r="S441" s="301">
        <f t="shared" si="273"/>
        <v>0.28499612817071895</v>
      </c>
      <c r="T441" s="301">
        <f t="shared" si="273"/>
        <v>0.26896031188925801</v>
      </c>
      <c r="U441" s="301">
        <f t="shared" si="273"/>
        <v>0.25644000712987369</v>
      </c>
      <c r="V441" s="301">
        <f t="shared" si="273"/>
        <v>0.18368969097737678</v>
      </c>
      <c r="W441" s="301">
        <f t="shared" si="273"/>
        <v>0.24654506585400149</v>
      </c>
      <c r="X441" s="301">
        <f t="shared" si="273"/>
        <v>0.29738818421327828</v>
      </c>
      <c r="Y441" s="301">
        <f t="shared" si="273"/>
        <v>0.22618082748220636</v>
      </c>
      <c r="Z441" s="301">
        <f t="shared" si="273"/>
        <v>0.26571107737115945</v>
      </c>
      <c r="AA441" s="301">
        <f t="shared" si="273"/>
        <v>0.27742212452103804</v>
      </c>
      <c r="AB441" s="301">
        <f t="shared" si="273"/>
        <v>0.26671213273739125</v>
      </c>
      <c r="AC441" s="312"/>
      <c r="AD441" s="312"/>
      <c r="AE441" s="312"/>
      <c r="AF441" s="312"/>
      <c r="AG441" s="312"/>
      <c r="AH441" s="312"/>
      <c r="AI441" s="312"/>
      <c r="AJ441" s="312"/>
      <c r="AK441" s="312"/>
      <c r="AL441" s="312"/>
      <c r="AM441" s="312"/>
      <c r="AN441" s="312"/>
      <c r="AO441" s="312"/>
      <c r="AP441" s="312"/>
      <c r="AQ441" s="312"/>
      <c r="AR441" s="312"/>
      <c r="AS441" s="312"/>
      <c r="AT441" s="312"/>
      <c r="AU441" s="312"/>
      <c r="AV441" s="312"/>
      <c r="AW441" s="312"/>
      <c r="AX441" s="312"/>
      <c r="AY441" s="312"/>
      <c r="AZ441" s="312"/>
      <c r="BA441" s="312"/>
      <c r="BB441" s="312"/>
      <c r="BC441" s="312"/>
      <c r="BD441" s="312"/>
      <c r="BE441" s="312"/>
      <c r="BF441" s="312"/>
      <c r="BG441" s="312"/>
    </row>
    <row r="442" spans="1:59" ht="15.75" customHeight="1" x14ac:dyDescent="0.2">
      <c r="A442" s="307"/>
      <c r="B442" s="307"/>
      <c r="C442" s="308" t="s">
        <v>344</v>
      </c>
      <c r="D442" s="292">
        <f t="shared" ref="D442:AB442" si="274">D25</f>
        <v>49.082305419999948</v>
      </c>
      <c r="E442" s="292">
        <f t="shared" si="274"/>
        <v>-2.4297572050010956</v>
      </c>
      <c r="F442" s="292">
        <f t="shared" si="274"/>
        <v>60.032376345001282</v>
      </c>
      <c r="G442" s="292">
        <f t="shared" si="274"/>
        <v>57.184888740000261</v>
      </c>
      <c r="H442" s="292">
        <f t="shared" si="274"/>
        <v>163.86981330000046</v>
      </c>
      <c r="I442" s="292">
        <f t="shared" si="274"/>
        <v>23.045805509999987</v>
      </c>
      <c r="J442" s="292">
        <f t="shared" si="274"/>
        <v>23.860140740000027</v>
      </c>
      <c r="K442" s="292">
        <f t="shared" si="274"/>
        <v>27.449646080000022</v>
      </c>
      <c r="L442" s="292">
        <f t="shared" si="274"/>
        <v>47.670260230000025</v>
      </c>
      <c r="M442" s="292">
        <f t="shared" si="274"/>
        <v>122.02585256000003</v>
      </c>
      <c r="N442" s="292">
        <f t="shared" si="274"/>
        <v>-34.335455349999989</v>
      </c>
      <c r="O442" s="292">
        <f t="shared" si="274"/>
        <v>29.108648299999984</v>
      </c>
      <c r="P442" s="292">
        <f t="shared" si="274"/>
        <v>54.951015710000036</v>
      </c>
      <c r="Q442" s="292">
        <f t="shared" si="274"/>
        <v>68.843514600000049</v>
      </c>
      <c r="R442" s="292">
        <f t="shared" si="274"/>
        <v>118.56772325999987</v>
      </c>
      <c r="S442" s="292">
        <f t="shared" si="274"/>
        <v>26.649596559999992</v>
      </c>
      <c r="T442" s="292">
        <f t="shared" si="274"/>
        <v>120.50383098000002</v>
      </c>
      <c r="U442" s="292">
        <f t="shared" si="274"/>
        <v>34.852741690000059</v>
      </c>
      <c r="V442" s="292">
        <f t="shared" si="274"/>
        <v>41.904549369999984</v>
      </c>
      <c r="W442" s="292">
        <f t="shared" si="274"/>
        <v>223.91071859999988</v>
      </c>
      <c r="X442" s="292">
        <f t="shared" si="274"/>
        <v>143.48530271000001</v>
      </c>
      <c r="Y442" s="292">
        <f t="shared" si="274"/>
        <v>16.287362659999999</v>
      </c>
      <c r="Z442" s="292">
        <f t="shared" si="274"/>
        <v>66.542549159999993</v>
      </c>
      <c r="AA442" s="292">
        <f t="shared" si="274"/>
        <v>112.59282011000001</v>
      </c>
      <c r="AB442" s="292">
        <f t="shared" si="274"/>
        <v>338.90803464000004</v>
      </c>
      <c r="AC442" s="307"/>
      <c r="AD442" s="307"/>
      <c r="AE442" s="307"/>
      <c r="AF442" s="307"/>
      <c r="AG442" s="307"/>
      <c r="AH442" s="307"/>
      <c r="AI442" s="307"/>
      <c r="AJ442" s="307"/>
      <c r="AK442" s="307"/>
      <c r="AL442" s="307"/>
      <c r="AM442" s="307"/>
      <c r="AN442" s="307"/>
      <c r="AO442" s="307"/>
      <c r="AP442" s="307"/>
      <c r="AQ442" s="307"/>
      <c r="AR442" s="307"/>
      <c r="AS442" s="307"/>
      <c r="AT442" s="307"/>
      <c r="AU442" s="307"/>
      <c r="AV442" s="307"/>
      <c r="AW442" s="307"/>
      <c r="AX442" s="307"/>
      <c r="AY442" s="307"/>
      <c r="AZ442" s="307"/>
      <c r="BA442" s="307"/>
      <c r="BB442" s="307"/>
      <c r="BC442" s="307"/>
      <c r="BD442" s="307"/>
      <c r="BE442" s="307"/>
      <c r="BF442" s="307"/>
      <c r="BG442" s="307"/>
    </row>
    <row r="443" spans="1:59" ht="15.75" customHeight="1" x14ac:dyDescent="0.2">
      <c r="A443" s="312"/>
      <c r="B443" s="312"/>
      <c r="C443" s="313" t="s">
        <v>345</v>
      </c>
      <c r="D443" s="301">
        <f t="shared" ref="D443:AB443" si="275">D442/D437</f>
        <v>0.12673521287467851</v>
      </c>
      <c r="E443" s="301">
        <f t="shared" si="275"/>
        <v>-5.8397764489931479E-3</v>
      </c>
      <c r="F443" s="301">
        <f t="shared" si="275"/>
        <v>0.13301145561760488</v>
      </c>
      <c r="G443" s="301">
        <f t="shared" si="275"/>
        <v>0.13525764582179098</v>
      </c>
      <c r="H443" s="301">
        <f t="shared" si="275"/>
        <v>9.7688680893534399E-2</v>
      </c>
      <c r="I443" s="301">
        <f t="shared" si="275"/>
        <v>6.0831623776263957E-2</v>
      </c>
      <c r="J443" s="301">
        <f t="shared" si="275"/>
        <v>6.166046118954599E-2</v>
      </c>
      <c r="K443" s="301">
        <f t="shared" si="275"/>
        <v>6.5146954163545837E-2</v>
      </c>
      <c r="L443" s="301">
        <f t="shared" si="275"/>
        <v>0.11484865286080682</v>
      </c>
      <c r="M443" s="301">
        <f t="shared" si="275"/>
        <v>7.6160206980201914E-2</v>
      </c>
      <c r="N443" s="301">
        <f t="shared" si="275"/>
        <v>-8.4489288865327625E-2</v>
      </c>
      <c r="O443" s="301">
        <f t="shared" si="275"/>
        <v>6.5071251650916401E-2</v>
      </c>
      <c r="P443" s="301">
        <f t="shared" si="275"/>
        <v>0.11590638914663205</v>
      </c>
      <c r="Q443" s="301">
        <f t="shared" si="275"/>
        <v>0.14114790777212341</v>
      </c>
      <c r="R443" s="301">
        <f t="shared" si="275"/>
        <v>6.5306356745519989E-2</v>
      </c>
      <c r="S443" s="301">
        <f t="shared" si="275"/>
        <v>5.2554420990334E-2</v>
      </c>
      <c r="T443" s="301">
        <f t="shared" si="275"/>
        <v>0.23628296029551205</v>
      </c>
      <c r="U443" s="301">
        <f t="shared" si="275"/>
        <v>6.407619184039999E-2</v>
      </c>
      <c r="V443" s="301">
        <f t="shared" si="275"/>
        <v>7.253629803625028E-2</v>
      </c>
      <c r="W443" s="301">
        <f t="shared" si="275"/>
        <v>0.10469405245889712</v>
      </c>
      <c r="X443" s="301">
        <f t="shared" si="275"/>
        <v>0.27112709358731729</v>
      </c>
      <c r="Y443" s="301">
        <f t="shared" si="275"/>
        <v>3.0185791658428506E-2</v>
      </c>
      <c r="Z443" s="301">
        <f t="shared" si="275"/>
        <v>0.10748659476841531</v>
      </c>
      <c r="AA443" s="301">
        <f t="shared" si="275"/>
        <v>0.19278736198723506</v>
      </c>
      <c r="AB443" s="301">
        <f t="shared" si="275"/>
        <v>0.14917436223439248</v>
      </c>
      <c r="AC443" s="312"/>
      <c r="AD443" s="312"/>
      <c r="AE443" s="312"/>
      <c r="AF443" s="312"/>
      <c r="AG443" s="312"/>
      <c r="AH443" s="312"/>
      <c r="AI443" s="312"/>
      <c r="AJ443" s="312"/>
      <c r="AK443" s="312"/>
      <c r="AL443" s="312"/>
      <c r="AM443" s="312"/>
      <c r="AN443" s="312"/>
      <c r="AO443" s="312"/>
      <c r="AP443" s="312"/>
      <c r="AQ443" s="312"/>
      <c r="AR443" s="312"/>
      <c r="AS443" s="312"/>
      <c r="AT443" s="312"/>
      <c r="AU443" s="312"/>
      <c r="AV443" s="312"/>
      <c r="AW443" s="312"/>
      <c r="AX443" s="312"/>
      <c r="AY443" s="312"/>
      <c r="AZ443" s="312"/>
      <c r="BA443" s="312"/>
      <c r="BB443" s="312"/>
      <c r="BC443" s="312"/>
      <c r="BD443" s="312"/>
      <c r="BE443" s="312"/>
      <c r="BF443" s="312"/>
      <c r="BG443" s="312"/>
    </row>
    <row r="444" spans="1:59" ht="15.75" customHeight="1" x14ac:dyDescent="0.2">
      <c r="A444" s="307"/>
      <c r="B444" s="307"/>
      <c r="C444" s="308" t="s">
        <v>346</v>
      </c>
      <c r="D444" s="292">
        <f t="shared" ref="D444:AB444" si="276">D299</f>
        <v>50.009441388241335</v>
      </c>
      <c r="E444" s="292">
        <f t="shared" si="276"/>
        <v>36.287424127748942</v>
      </c>
      <c r="F444" s="292">
        <f t="shared" si="276"/>
        <v>51.532226950857186</v>
      </c>
      <c r="G444" s="292">
        <f t="shared" si="276"/>
        <v>89.920173080270132</v>
      </c>
      <c r="H444" s="292">
        <f t="shared" si="276"/>
        <v>227.7492655471176</v>
      </c>
      <c r="I444" s="292">
        <f t="shared" si="276"/>
        <v>88.527394840000014</v>
      </c>
      <c r="J444" s="292">
        <f t="shared" si="276"/>
        <v>91.971033800000001</v>
      </c>
      <c r="K444" s="292">
        <f t="shared" si="276"/>
        <v>93.885297309999999</v>
      </c>
      <c r="L444" s="292">
        <f t="shared" si="276"/>
        <v>77.824454180000018</v>
      </c>
      <c r="M444" s="292">
        <f t="shared" si="276"/>
        <v>352.20818012999996</v>
      </c>
      <c r="N444" s="292">
        <f t="shared" si="276"/>
        <v>71.586206120000014</v>
      </c>
      <c r="O444" s="292">
        <f t="shared" si="276"/>
        <v>146.12734001000001</v>
      </c>
      <c r="P444" s="292">
        <f t="shared" si="276"/>
        <v>33.905232360000007</v>
      </c>
      <c r="Q444" s="292">
        <f t="shared" si="276"/>
        <v>68.829317899999992</v>
      </c>
      <c r="R444" s="292">
        <f t="shared" si="276"/>
        <v>320.44809638999993</v>
      </c>
      <c r="S444" s="292">
        <f t="shared" si="276"/>
        <v>36.61185845</v>
      </c>
      <c r="T444" s="292">
        <f t="shared" si="276"/>
        <v>54.372901030000001</v>
      </c>
      <c r="U444" s="292">
        <f t="shared" si="276"/>
        <v>62.982211529999994</v>
      </c>
      <c r="V444" s="292">
        <f t="shared" si="276"/>
        <v>115.44915522000001</v>
      </c>
      <c r="W444" s="292">
        <f t="shared" si="276"/>
        <v>269.41612623000003</v>
      </c>
      <c r="X444" s="292">
        <f t="shared" si="276"/>
        <v>72.263341069999996</v>
      </c>
      <c r="Y444" s="292">
        <f t="shared" si="276"/>
        <v>70.194073760000009</v>
      </c>
      <c r="Z444" s="292">
        <f t="shared" si="276"/>
        <v>101.15082339</v>
      </c>
      <c r="AA444" s="292">
        <f t="shared" si="276"/>
        <v>90.921620750000017</v>
      </c>
      <c r="AB444" s="292">
        <f t="shared" si="276"/>
        <v>334.52985897000008</v>
      </c>
      <c r="AC444" s="307"/>
      <c r="AD444" s="307"/>
      <c r="AE444" s="307"/>
      <c r="AF444" s="307"/>
      <c r="AG444" s="307"/>
      <c r="AH444" s="307"/>
      <c r="AI444" s="307"/>
      <c r="AJ444" s="307"/>
      <c r="AK444" s="307"/>
      <c r="AL444" s="307"/>
      <c r="AM444" s="307"/>
      <c r="AN444" s="307"/>
      <c r="AO444" s="307"/>
      <c r="AP444" s="307"/>
      <c r="AQ444" s="307"/>
      <c r="AR444" s="307"/>
      <c r="AS444" s="307"/>
      <c r="AT444" s="307"/>
      <c r="AU444" s="307"/>
      <c r="AV444" s="307"/>
      <c r="AW444" s="307"/>
      <c r="AX444" s="307"/>
      <c r="AY444" s="307"/>
      <c r="AZ444" s="307"/>
      <c r="BA444" s="307"/>
      <c r="BB444" s="307"/>
      <c r="BC444" s="307"/>
      <c r="BD444" s="307"/>
      <c r="BE444" s="307"/>
      <c r="BF444" s="307"/>
      <c r="BG444" s="307"/>
    </row>
    <row r="445" spans="1:59" ht="15.75" customHeight="1" x14ac:dyDescent="0.2">
      <c r="A445" s="196"/>
      <c r="B445" s="196"/>
      <c r="C445" s="196" t="s">
        <v>248</v>
      </c>
      <c r="D445" s="301" t="s">
        <v>146</v>
      </c>
      <c r="E445" s="301" t="s">
        <v>146</v>
      </c>
      <c r="F445" s="301" t="s">
        <v>146</v>
      </c>
      <c r="G445" s="301" t="s">
        <v>146</v>
      </c>
      <c r="H445" s="301" t="s">
        <v>146</v>
      </c>
      <c r="I445" s="301">
        <f t="shared" ref="I445:AB445" si="277">I437/D437-1</f>
        <v>-2.1783850674124472E-2</v>
      </c>
      <c r="J445" s="301">
        <f t="shared" si="277"/>
        <v>-6.9964393174211326E-2</v>
      </c>
      <c r="K445" s="301">
        <f t="shared" si="277"/>
        <v>-6.6431596394233128E-2</v>
      </c>
      <c r="L445" s="301">
        <f t="shared" si="277"/>
        <v>-1.8247171825349962E-2</v>
      </c>
      <c r="M445" s="301">
        <f t="shared" si="277"/>
        <v>-4.4855627292617162E-2</v>
      </c>
      <c r="N445" s="301">
        <f t="shared" si="277"/>
        <v>7.2700970050130431E-2</v>
      </c>
      <c r="O445" s="301">
        <f t="shared" si="277"/>
        <v>0.15602345570926901</v>
      </c>
      <c r="P445" s="301">
        <f t="shared" si="277"/>
        <v>0.12518961314135035</v>
      </c>
      <c r="Q445" s="301">
        <f t="shared" si="277"/>
        <v>0.17507874705292492</v>
      </c>
      <c r="R445" s="301">
        <f t="shared" si="277"/>
        <v>0.13314970288935046</v>
      </c>
      <c r="S445" s="301">
        <f t="shared" si="277"/>
        <v>0.24778633880638146</v>
      </c>
      <c r="T445" s="301">
        <f t="shared" si="277"/>
        <v>0.14008064368598716</v>
      </c>
      <c r="U445" s="301">
        <f t="shared" si="277"/>
        <v>0.14728656167084653</v>
      </c>
      <c r="V445" s="301">
        <f t="shared" si="277"/>
        <v>0.18445127224827673</v>
      </c>
      <c r="W445" s="301">
        <f t="shared" si="277"/>
        <v>0.17799066495830806</v>
      </c>
      <c r="X445" s="301">
        <f t="shared" si="277"/>
        <v>4.3645768634523963E-2</v>
      </c>
      <c r="Y445" s="301">
        <f t="shared" si="277"/>
        <v>5.7985573517349343E-2</v>
      </c>
      <c r="Z445" s="301">
        <f t="shared" si="277"/>
        <v>0.13816407943815912</v>
      </c>
      <c r="AA445" s="301">
        <f t="shared" si="277"/>
        <v>1.0942253487346898E-2</v>
      </c>
      <c r="AB445" s="301">
        <f t="shared" si="277"/>
        <v>6.2269719994910044E-2</v>
      </c>
      <c r="AC445" s="312"/>
      <c r="AD445" s="312"/>
      <c r="AE445" s="312"/>
      <c r="AF445" s="312"/>
      <c r="AG445" s="312"/>
      <c r="AH445" s="312"/>
      <c r="AI445" s="312"/>
      <c r="AJ445" s="312"/>
      <c r="AK445" s="312"/>
      <c r="AL445" s="312"/>
      <c r="AM445" s="312"/>
      <c r="AN445" s="312"/>
      <c r="AO445" s="312"/>
      <c r="AP445" s="312"/>
      <c r="AQ445" s="312"/>
      <c r="AR445" s="312"/>
      <c r="AS445" s="312"/>
      <c r="AT445" s="312"/>
      <c r="AU445" s="312"/>
      <c r="AV445" s="312"/>
      <c r="AW445" s="312"/>
      <c r="AX445" s="312"/>
      <c r="AY445" s="312"/>
      <c r="AZ445" s="312"/>
      <c r="BA445" s="312"/>
      <c r="BB445" s="312"/>
      <c r="BC445" s="312"/>
      <c r="BD445" s="312"/>
      <c r="BE445" s="312"/>
      <c r="BF445" s="312"/>
      <c r="BG445" s="312"/>
    </row>
    <row r="446" spans="1:59" ht="15.75" customHeight="1" x14ac:dyDescent="0.2">
      <c r="A446" s="365"/>
      <c r="B446" s="365"/>
      <c r="C446" s="365"/>
      <c r="D446" s="365"/>
      <c r="E446" s="365"/>
      <c r="F446" s="365"/>
      <c r="G446" s="365"/>
      <c r="H446" s="365"/>
      <c r="I446" s="365"/>
      <c r="J446" s="365"/>
      <c r="K446" s="365"/>
      <c r="L446" s="365"/>
      <c r="M446" s="365"/>
      <c r="N446" s="365"/>
      <c r="O446" s="365"/>
      <c r="P446" s="365"/>
      <c r="Q446" s="365"/>
      <c r="R446" s="365"/>
      <c r="S446" s="365"/>
      <c r="T446" s="365"/>
      <c r="U446" s="365"/>
      <c r="V446" s="365"/>
      <c r="W446" s="365"/>
      <c r="X446" s="365"/>
      <c r="Y446" s="365"/>
      <c r="Z446" s="365"/>
      <c r="AA446" s="365"/>
      <c r="AB446" s="365"/>
      <c r="AC446" s="307"/>
      <c r="AD446" s="307"/>
      <c r="AE446" s="307"/>
      <c r="AF446" s="307"/>
      <c r="AG446" s="307"/>
      <c r="AH446" s="307"/>
      <c r="AI446" s="307"/>
      <c r="AJ446" s="307"/>
      <c r="AK446" s="307"/>
      <c r="AL446" s="307"/>
      <c r="AM446" s="307"/>
      <c r="AN446" s="307"/>
      <c r="AO446" s="307"/>
      <c r="AP446" s="307"/>
      <c r="AQ446" s="307"/>
      <c r="AR446" s="307"/>
      <c r="AS446" s="307"/>
      <c r="AT446" s="307"/>
      <c r="AU446" s="307"/>
      <c r="AV446" s="307"/>
      <c r="AW446" s="307"/>
      <c r="AX446" s="307"/>
      <c r="AY446" s="307"/>
      <c r="AZ446" s="307"/>
      <c r="BA446" s="307"/>
      <c r="BB446" s="307"/>
      <c r="BC446" s="307"/>
      <c r="BD446" s="307"/>
      <c r="BE446" s="307"/>
      <c r="BF446" s="307"/>
      <c r="BG446" s="307"/>
    </row>
    <row r="447" spans="1:59" ht="15.75" customHeight="1" x14ac:dyDescent="0.2">
      <c r="A447" s="162"/>
      <c r="B447" s="162"/>
      <c r="C447" s="227" t="s">
        <v>170</v>
      </c>
      <c r="D447" s="258"/>
      <c r="E447" s="258"/>
      <c r="F447" s="258"/>
      <c r="G447" s="258"/>
      <c r="H447" s="258"/>
      <c r="I447" s="258"/>
      <c r="J447" s="258"/>
      <c r="K447" s="258"/>
      <c r="L447" s="258"/>
      <c r="M447" s="258"/>
      <c r="N447" s="258"/>
      <c r="O447" s="258"/>
      <c r="P447" s="258"/>
      <c r="Q447" s="258"/>
      <c r="R447" s="259"/>
      <c r="S447" s="260"/>
      <c r="T447" s="258"/>
      <c r="U447" s="258"/>
      <c r="V447" s="258"/>
      <c r="W447" s="258"/>
      <c r="X447" s="258"/>
      <c r="Y447" s="258"/>
      <c r="Z447" s="258"/>
      <c r="AA447" s="258"/>
      <c r="AB447" s="258"/>
      <c r="AC447" s="268"/>
      <c r="AD447" s="268"/>
      <c r="AE447" s="268"/>
      <c r="AF447" s="268"/>
      <c r="AG447" s="268"/>
      <c r="AH447" s="268"/>
      <c r="AI447" s="268"/>
      <c r="AJ447" s="268"/>
      <c r="AK447" s="268"/>
      <c r="AL447" s="268"/>
      <c r="AM447" s="268"/>
      <c r="AN447" s="268"/>
      <c r="AO447" s="268"/>
      <c r="AP447" s="268"/>
      <c r="AQ447" s="268"/>
      <c r="AR447" s="268"/>
      <c r="AS447" s="268"/>
      <c r="AT447" s="268"/>
      <c r="AU447" s="268"/>
      <c r="AV447" s="268"/>
      <c r="AW447" s="268"/>
      <c r="AX447" s="268"/>
      <c r="AY447" s="268"/>
      <c r="AZ447" s="268"/>
      <c r="BA447" s="268"/>
      <c r="BB447" s="268"/>
      <c r="BC447" s="268"/>
      <c r="BD447" s="268"/>
      <c r="BE447" s="268"/>
      <c r="BF447" s="268"/>
      <c r="BG447" s="268"/>
    </row>
    <row r="448" spans="1:59" ht="15.75" customHeight="1" x14ac:dyDescent="0.2">
      <c r="A448" s="307"/>
      <c r="B448" s="307"/>
      <c r="C448" s="308" t="s">
        <v>19</v>
      </c>
      <c r="D448" s="172">
        <f t="shared" ref="D448:AB448" si="278">D181</f>
        <v>54.614537196017523</v>
      </c>
      <c r="E448" s="172">
        <f t="shared" si="278"/>
        <v>49.11373625312261</v>
      </c>
      <c r="F448" s="172">
        <f t="shared" si="278"/>
        <v>76.757931413617399</v>
      </c>
      <c r="G448" s="172">
        <f t="shared" si="278"/>
        <v>54.118125391903803</v>
      </c>
      <c r="H448" s="172">
        <f t="shared" si="278"/>
        <v>234.60433025466131</v>
      </c>
      <c r="I448" s="172">
        <f t="shared" si="278"/>
        <v>51.389124349999996</v>
      </c>
      <c r="J448" s="172">
        <f t="shared" si="278"/>
        <v>49.519347449999998</v>
      </c>
      <c r="K448" s="172">
        <f t="shared" si="278"/>
        <v>68.12479046</v>
      </c>
      <c r="L448" s="172">
        <f t="shared" si="278"/>
        <v>70.58256603000001</v>
      </c>
      <c r="M448" s="172">
        <f t="shared" si="278"/>
        <v>239.61582829000002</v>
      </c>
      <c r="N448" s="172">
        <f t="shared" si="278"/>
        <v>65.074943730000001</v>
      </c>
      <c r="O448" s="172">
        <f t="shared" si="278"/>
        <v>56.980586039999999</v>
      </c>
      <c r="P448" s="172">
        <f t="shared" si="278"/>
        <v>66.699062359999999</v>
      </c>
      <c r="Q448" s="172">
        <f t="shared" si="278"/>
        <v>65.690786750000001</v>
      </c>
      <c r="R448" s="172">
        <f t="shared" si="278"/>
        <v>254.44537887999999</v>
      </c>
      <c r="S448" s="172">
        <f t="shared" si="278"/>
        <v>84.345831239999995</v>
      </c>
      <c r="T448" s="172">
        <f t="shared" si="278"/>
        <v>78.085622960000009</v>
      </c>
      <c r="U448" s="172">
        <f t="shared" si="278"/>
        <v>79.169216030000001</v>
      </c>
      <c r="V448" s="172">
        <f t="shared" si="278"/>
        <v>72.661764079999998</v>
      </c>
      <c r="W448" s="172">
        <f t="shared" si="278"/>
        <v>314.26243431</v>
      </c>
      <c r="X448" s="172">
        <f t="shared" si="278"/>
        <v>70.403759660000006</v>
      </c>
      <c r="Y448" s="172">
        <f t="shared" si="278"/>
        <v>68.508589790000002</v>
      </c>
      <c r="Z448" s="172">
        <f t="shared" si="278"/>
        <v>78.545625510000008</v>
      </c>
      <c r="AA448" s="172">
        <f t="shared" si="278"/>
        <v>74.916373230000005</v>
      </c>
      <c r="AB448" s="172">
        <f t="shared" si="278"/>
        <v>292.37434819000003</v>
      </c>
      <c r="AC448" s="268"/>
      <c r="AD448" s="268"/>
      <c r="AE448" s="268"/>
      <c r="AF448" s="268"/>
      <c r="AG448" s="268"/>
      <c r="AH448" s="268"/>
      <c r="AI448" s="268"/>
      <c r="AJ448" s="268"/>
      <c r="AK448" s="268"/>
      <c r="AL448" s="268"/>
      <c r="AM448" s="268"/>
      <c r="AN448" s="268"/>
      <c r="AO448" s="268"/>
      <c r="AP448" s="268"/>
      <c r="AQ448" s="268"/>
      <c r="AR448" s="268"/>
      <c r="AS448" s="268"/>
      <c r="AT448" s="268"/>
      <c r="AU448" s="268"/>
      <c r="AV448" s="268"/>
      <c r="AW448" s="268"/>
      <c r="AX448" s="268"/>
      <c r="AY448" s="268"/>
      <c r="AZ448" s="268"/>
      <c r="BA448" s="268"/>
      <c r="BB448" s="268"/>
      <c r="BC448" s="268"/>
      <c r="BD448" s="268"/>
      <c r="BE448" s="268"/>
      <c r="BF448" s="268"/>
      <c r="BG448" s="268"/>
    </row>
    <row r="449" spans="1:59" ht="15.75" customHeight="1" x14ac:dyDescent="0.2">
      <c r="A449" s="307"/>
      <c r="B449" s="307"/>
      <c r="C449" s="308" t="s">
        <v>27</v>
      </c>
      <c r="D449" s="172">
        <f>D199</f>
        <v>2.8945866196960028</v>
      </c>
      <c r="E449" s="172">
        <v>1.4012607007529978</v>
      </c>
      <c r="F449" s="172">
        <v>1.5758499518260061</v>
      </c>
      <c r="G449" s="172">
        <v>4.0919982440986671E-2</v>
      </c>
      <c r="H449" s="172">
        <f>SUM(D449:G449)</f>
        <v>5.9126172547159941</v>
      </c>
      <c r="I449" s="172">
        <v>0.83898056999999993</v>
      </c>
      <c r="J449" s="172">
        <v>1.4516008300000001</v>
      </c>
      <c r="K449" s="172">
        <v>-1.9556637100000001</v>
      </c>
      <c r="L449" s="172">
        <v>-59.215892719999999</v>
      </c>
      <c r="M449" s="172">
        <f>SUM(I449:L449)</f>
        <v>-58.880975030000002</v>
      </c>
      <c r="N449" s="172">
        <v>-4.8392383200000006</v>
      </c>
      <c r="O449" s="172">
        <v>-3.2195672900000001</v>
      </c>
      <c r="P449" s="172">
        <v>-5.0880846500000008</v>
      </c>
      <c r="Q449" s="172">
        <v>-2.7549754599999998</v>
      </c>
      <c r="R449" s="172">
        <f>SUM(N449:Q449)</f>
        <v>-15.90186572</v>
      </c>
      <c r="S449" s="172">
        <v>-4.5064091299999998</v>
      </c>
      <c r="T449" s="172">
        <v>-4.1661374699999998</v>
      </c>
      <c r="U449" s="172">
        <v>-3.6054338399999999</v>
      </c>
      <c r="V449" s="172">
        <v>-3.1</v>
      </c>
      <c r="W449" s="172">
        <f>SUM(S449:V449)</f>
        <v>-15.37798044</v>
      </c>
      <c r="X449" s="172">
        <v>-3.7324600100000001</v>
      </c>
      <c r="Y449" s="172">
        <v>-2.38428657</v>
      </c>
      <c r="Z449" s="172">
        <v>-3.7495891299999999</v>
      </c>
      <c r="AA449" s="172">
        <f t="shared" ref="AA449:AB449" si="279">AA199</f>
        <v>-2.7767868900000003</v>
      </c>
      <c r="AB449" s="172">
        <f t="shared" si="279"/>
        <v>-12.6431226</v>
      </c>
      <c r="AC449" s="268"/>
      <c r="AD449" s="268"/>
      <c r="AE449" s="268"/>
      <c r="AF449" s="268"/>
      <c r="AG449" s="268"/>
      <c r="AH449" s="268"/>
      <c r="AI449" s="268"/>
      <c r="AJ449" s="268"/>
      <c r="AK449" s="268"/>
      <c r="AL449" s="268"/>
      <c r="AM449" s="268"/>
      <c r="AN449" s="268"/>
      <c r="AO449" s="268"/>
      <c r="AP449" s="268"/>
      <c r="AQ449" s="268"/>
      <c r="AR449" s="268"/>
      <c r="AS449" s="268"/>
      <c r="AT449" s="268"/>
      <c r="AU449" s="268"/>
      <c r="AV449" s="268"/>
      <c r="AW449" s="268"/>
      <c r="AX449" s="268"/>
      <c r="AY449" s="268"/>
      <c r="AZ449" s="268"/>
      <c r="BA449" s="268"/>
      <c r="BB449" s="268"/>
      <c r="BC449" s="268"/>
      <c r="BD449" s="268"/>
      <c r="BE449" s="268"/>
      <c r="BF449" s="268"/>
      <c r="BG449" s="268"/>
    </row>
    <row r="450" spans="1:59" ht="15.75" customHeight="1" x14ac:dyDescent="0.2">
      <c r="A450" s="307"/>
      <c r="B450" s="307"/>
      <c r="C450" s="308" t="s">
        <v>21</v>
      </c>
      <c r="D450" s="172">
        <f t="shared" ref="D450:AB450" si="280">D217</f>
        <v>4.3237826089839988</v>
      </c>
      <c r="E450" s="172">
        <f t="shared" si="280"/>
        <v>3.9978221445719022</v>
      </c>
      <c r="F450" s="172">
        <f t="shared" si="280"/>
        <v>8.3684125349361018</v>
      </c>
      <c r="G450" s="172">
        <f t="shared" si="280"/>
        <v>3.9924460108238975</v>
      </c>
      <c r="H450" s="172">
        <f t="shared" si="280"/>
        <v>20.682463299315899</v>
      </c>
      <c r="I450" s="172">
        <f t="shared" si="280"/>
        <v>11.80882626</v>
      </c>
      <c r="J450" s="172">
        <f t="shared" si="280"/>
        <v>2.2622879700000009</v>
      </c>
      <c r="K450" s="172">
        <f t="shared" si="280"/>
        <v>6.3971340299999992</v>
      </c>
      <c r="L450" s="172">
        <f t="shared" si="280"/>
        <v>1.9632353200000008</v>
      </c>
      <c r="M450" s="172">
        <f t="shared" si="280"/>
        <v>22.431483579999998</v>
      </c>
      <c r="N450" s="172">
        <f t="shared" si="280"/>
        <v>0.23410633000000125</v>
      </c>
      <c r="O450" s="172">
        <f t="shared" si="280"/>
        <v>3.3262838900000009</v>
      </c>
      <c r="P450" s="172">
        <f t="shared" si="280"/>
        <v>3.762149260000001</v>
      </c>
      <c r="Q450" s="172">
        <f t="shared" si="280"/>
        <v>-0.85603522999999981</v>
      </c>
      <c r="R450" s="172">
        <f t="shared" si="280"/>
        <v>6.4665042500000034</v>
      </c>
      <c r="S450" s="172">
        <f t="shared" si="280"/>
        <v>6.11481809</v>
      </c>
      <c r="T450" s="172">
        <f t="shared" si="280"/>
        <v>5.4121469700000002</v>
      </c>
      <c r="U450" s="172">
        <f t="shared" si="280"/>
        <v>5.5756819600000007</v>
      </c>
      <c r="V450" s="172">
        <f t="shared" si="280"/>
        <v>6.6</v>
      </c>
      <c r="W450" s="172">
        <f t="shared" si="280"/>
        <v>23.702647020000001</v>
      </c>
      <c r="X450" s="172">
        <f t="shared" si="280"/>
        <v>15.9</v>
      </c>
      <c r="Y450" s="172">
        <f t="shared" si="280"/>
        <v>8.5640564000000001</v>
      </c>
      <c r="Z450" s="172">
        <f t="shared" si="280"/>
        <v>13.03800201</v>
      </c>
      <c r="AA450" s="172">
        <f t="shared" si="280"/>
        <v>8.8208721299999997</v>
      </c>
      <c r="AB450" s="172">
        <f t="shared" si="280"/>
        <v>46.322930540000002</v>
      </c>
      <c r="AC450" s="268"/>
      <c r="AD450" s="268"/>
      <c r="AE450" s="268"/>
      <c r="AF450" s="268"/>
      <c r="AG450" s="268"/>
      <c r="AH450" s="268"/>
      <c r="AI450" s="268"/>
      <c r="AJ450" s="268"/>
      <c r="AK450" s="268"/>
      <c r="AL450" s="268"/>
      <c r="AM450" s="268"/>
      <c r="AN450" s="268"/>
      <c r="AO450" s="268"/>
      <c r="AP450" s="268"/>
      <c r="AQ450" s="268"/>
      <c r="AR450" s="268"/>
      <c r="AS450" s="268"/>
      <c r="AT450" s="268"/>
      <c r="AU450" s="268"/>
      <c r="AV450" s="268"/>
      <c r="AW450" s="268"/>
      <c r="AX450" s="268"/>
      <c r="AY450" s="268"/>
      <c r="AZ450" s="268"/>
      <c r="BA450" s="268"/>
      <c r="BB450" s="268"/>
      <c r="BC450" s="268"/>
      <c r="BD450" s="268"/>
      <c r="BE450" s="268"/>
      <c r="BF450" s="268"/>
      <c r="BG450" s="268"/>
    </row>
    <row r="451" spans="1:59" ht="15.75" customHeight="1" x14ac:dyDescent="0.2">
      <c r="A451" s="307"/>
      <c r="B451" s="307"/>
      <c r="C451" s="308" t="s">
        <v>23</v>
      </c>
      <c r="D451" s="172">
        <f t="shared" ref="D451:AB451" si="281">D235</f>
        <v>40.992053855725707</v>
      </c>
      <c r="E451" s="172">
        <f t="shared" si="281"/>
        <v>47.277136840625488</v>
      </c>
      <c r="F451" s="172">
        <f t="shared" si="281"/>
        <v>56.869313764117486</v>
      </c>
      <c r="G451" s="172">
        <f t="shared" si="281"/>
        <v>42.414336660468123</v>
      </c>
      <c r="H451" s="172">
        <f t="shared" si="281"/>
        <v>187.55284112093682</v>
      </c>
      <c r="I451" s="172">
        <f t="shared" si="281"/>
        <v>30.288662579999997</v>
      </c>
      <c r="J451" s="172">
        <f t="shared" si="281"/>
        <v>33.433584789999998</v>
      </c>
      <c r="K451" s="172">
        <f t="shared" si="281"/>
        <v>61.879439130000002</v>
      </c>
      <c r="L451" s="172">
        <f t="shared" si="281"/>
        <v>53.507573399999998</v>
      </c>
      <c r="M451" s="172">
        <f t="shared" si="281"/>
        <v>179.10925989999998</v>
      </c>
      <c r="N451" s="172">
        <f t="shared" si="281"/>
        <v>52.555410939999994</v>
      </c>
      <c r="O451" s="172">
        <f t="shared" si="281"/>
        <v>77.342874390000006</v>
      </c>
      <c r="P451" s="172">
        <f t="shared" si="281"/>
        <v>76.552847189999994</v>
      </c>
      <c r="Q451" s="172">
        <f t="shared" si="281"/>
        <v>67.55793903</v>
      </c>
      <c r="R451" s="172">
        <f t="shared" si="281"/>
        <v>274.00907154999999</v>
      </c>
      <c r="S451" s="172">
        <f t="shared" si="281"/>
        <v>87.495717310000003</v>
      </c>
      <c r="T451" s="172">
        <f t="shared" si="281"/>
        <v>85.009159840000009</v>
      </c>
      <c r="U451" s="172">
        <f t="shared" si="281"/>
        <v>100.81799150000001</v>
      </c>
      <c r="V451" s="172">
        <f t="shared" si="281"/>
        <v>95.42420826</v>
      </c>
      <c r="W451" s="172">
        <f t="shared" si="281"/>
        <v>368.74707691000003</v>
      </c>
      <c r="X451" s="172">
        <f t="shared" si="281"/>
        <v>77.814408330000006</v>
      </c>
      <c r="Y451" s="172">
        <f t="shared" si="281"/>
        <v>91.20674898</v>
      </c>
      <c r="Z451" s="172">
        <f t="shared" si="281"/>
        <v>118.3014395</v>
      </c>
      <c r="AA451" s="172">
        <f t="shared" si="281"/>
        <v>97.088498329999993</v>
      </c>
      <c r="AB451" s="172">
        <f t="shared" si="281"/>
        <v>384.41109513999999</v>
      </c>
      <c r="AC451" s="268"/>
      <c r="AD451" s="268"/>
      <c r="AE451" s="268"/>
      <c r="AF451" s="268"/>
      <c r="AG451" s="268"/>
      <c r="AH451" s="268"/>
      <c r="AI451" s="268"/>
      <c r="AJ451" s="268"/>
      <c r="AK451" s="268"/>
      <c r="AL451" s="268"/>
      <c r="AM451" s="268"/>
      <c r="AN451" s="268"/>
      <c r="AO451" s="268"/>
      <c r="AP451" s="268"/>
      <c r="AQ451" s="268"/>
      <c r="AR451" s="268"/>
      <c r="AS451" s="268"/>
      <c r="AT451" s="268"/>
      <c r="AU451" s="268"/>
      <c r="AV451" s="268"/>
      <c r="AW451" s="268"/>
      <c r="AX451" s="268"/>
      <c r="AY451" s="268"/>
      <c r="AZ451" s="268"/>
      <c r="BA451" s="268"/>
      <c r="BB451" s="268"/>
      <c r="BC451" s="268"/>
      <c r="BD451" s="268"/>
      <c r="BE451" s="268"/>
      <c r="BF451" s="268"/>
      <c r="BG451" s="268"/>
    </row>
    <row r="452" spans="1:59" ht="15.75" customHeight="1" x14ac:dyDescent="0.2">
      <c r="A452" s="307"/>
      <c r="B452" s="307"/>
      <c r="C452" s="308" t="s">
        <v>25</v>
      </c>
      <c r="D452" s="172">
        <f t="shared" ref="D452:AB452" si="282">D253</f>
        <v>-0.89786180702400165</v>
      </c>
      <c r="E452" s="172">
        <f t="shared" si="282"/>
        <v>0.64220127205301958</v>
      </c>
      <c r="F452" s="172">
        <f t="shared" si="282"/>
        <v>1.3275363130789815</v>
      </c>
      <c r="G452" s="172">
        <f t="shared" si="282"/>
        <v>2.7894970908400452</v>
      </c>
      <c r="H452" s="172">
        <f t="shared" si="282"/>
        <v>3.8613728689480444</v>
      </c>
      <c r="I452" s="172">
        <f t="shared" si="282"/>
        <v>6.8229919999999999E-2</v>
      </c>
      <c r="J452" s="172">
        <f t="shared" si="282"/>
        <v>-0.35569804999999999</v>
      </c>
      <c r="K452" s="172">
        <f t="shared" si="282"/>
        <v>2.2765848799999997</v>
      </c>
      <c r="L452" s="172">
        <f t="shared" si="282"/>
        <v>2.3612931600000002</v>
      </c>
      <c r="M452" s="172">
        <f t="shared" si="282"/>
        <v>4.3504099099999998</v>
      </c>
      <c r="N452" s="172">
        <f t="shared" si="282"/>
        <v>-0.26220684999999999</v>
      </c>
      <c r="O452" s="172">
        <f t="shared" si="282"/>
        <v>3.65328973</v>
      </c>
      <c r="P452" s="172">
        <f t="shared" si="282"/>
        <v>3.99754692</v>
      </c>
      <c r="Q452" s="172">
        <f t="shared" si="282"/>
        <v>3.5687076499999999</v>
      </c>
      <c r="R452" s="172">
        <f t="shared" si="282"/>
        <v>10.957337450000001</v>
      </c>
      <c r="S452" s="172">
        <f t="shared" si="282"/>
        <v>2.13152396</v>
      </c>
      <c r="T452" s="172">
        <f t="shared" si="282"/>
        <v>2.2826401299999999</v>
      </c>
      <c r="U452" s="172">
        <f t="shared" si="282"/>
        <v>2.5062886200000003</v>
      </c>
      <c r="V452" s="172">
        <f t="shared" si="282"/>
        <v>2.4688004700000001</v>
      </c>
      <c r="W452" s="172">
        <f t="shared" si="282"/>
        <v>9.3892531800000008</v>
      </c>
      <c r="X452" s="172">
        <f t="shared" si="282"/>
        <v>2.47860828</v>
      </c>
      <c r="Y452" s="172">
        <f t="shared" si="282"/>
        <v>2.3709206300000001</v>
      </c>
      <c r="Z452" s="172">
        <f t="shared" si="282"/>
        <v>1.6674731100000002</v>
      </c>
      <c r="AA452" s="172">
        <f t="shared" si="282"/>
        <v>2.5204981800000001</v>
      </c>
      <c r="AB452" s="172">
        <f t="shared" si="282"/>
        <v>9.0375002000000002</v>
      </c>
      <c r="AC452" s="268"/>
      <c r="AD452" s="268"/>
      <c r="AE452" s="268"/>
      <c r="AF452" s="268"/>
      <c r="AG452" s="268"/>
      <c r="AH452" s="268"/>
      <c r="AI452" s="268"/>
      <c r="AJ452" s="268"/>
      <c r="AK452" s="268"/>
      <c r="AL452" s="268"/>
      <c r="AM452" s="268"/>
      <c r="AN452" s="268"/>
      <c r="AO452" s="268"/>
      <c r="AP452" s="268"/>
      <c r="AQ452" s="268"/>
      <c r="AR452" s="268"/>
      <c r="AS452" s="268"/>
      <c r="AT452" s="268"/>
      <c r="AU452" s="268"/>
      <c r="AV452" s="268"/>
      <c r="AW452" s="268"/>
      <c r="AX452" s="268"/>
      <c r="AY452" s="268"/>
      <c r="AZ452" s="268"/>
      <c r="BA452" s="268"/>
      <c r="BB452" s="268"/>
      <c r="BC452" s="268"/>
      <c r="BD452" s="268"/>
      <c r="BE452" s="268"/>
      <c r="BF452" s="268"/>
      <c r="BG452" s="268"/>
    </row>
    <row r="453" spans="1:59" ht="15.75" customHeight="1" x14ac:dyDescent="0.2">
      <c r="A453" s="307"/>
      <c r="B453" s="307"/>
      <c r="C453" s="308" t="s">
        <v>29</v>
      </c>
      <c r="D453" s="172">
        <f t="shared" ref="D453:AB453" si="283">D271</f>
        <v>0.13084722199099641</v>
      </c>
      <c r="E453" s="172">
        <f t="shared" si="283"/>
        <v>-0.98506052516998976</v>
      </c>
      <c r="F453" s="172">
        <f t="shared" si="283"/>
        <v>1.3075210964392012</v>
      </c>
      <c r="G453" s="172">
        <f t="shared" si="283"/>
        <v>3.4330464368271314</v>
      </c>
      <c r="H453" s="172">
        <f t="shared" si="283"/>
        <v>3.8863542300873393</v>
      </c>
      <c r="I453" s="172">
        <f t="shared" si="283"/>
        <v>-5.6103100000000003E-3</v>
      </c>
      <c r="J453" s="172">
        <f t="shared" si="283"/>
        <v>-2.4074126499999999</v>
      </c>
      <c r="K453" s="172">
        <f t="shared" si="283"/>
        <v>-2.00382091</v>
      </c>
      <c r="L453" s="172">
        <f t="shared" si="283"/>
        <v>-3.7111117500000002</v>
      </c>
      <c r="M453" s="172">
        <f t="shared" si="283"/>
        <v>-8.1279556199999998</v>
      </c>
      <c r="N453" s="172">
        <f t="shared" si="283"/>
        <v>-3.5987256099999998</v>
      </c>
      <c r="O453" s="172">
        <f t="shared" si="283"/>
        <v>-0.40965000000000001</v>
      </c>
      <c r="P453" s="172">
        <f t="shared" si="283"/>
        <v>-3.21944506</v>
      </c>
      <c r="Q453" s="172">
        <f t="shared" si="283"/>
        <v>-16.95616875</v>
      </c>
      <c r="R453" s="172">
        <f t="shared" si="283"/>
        <v>-24.18398942</v>
      </c>
      <c r="S453" s="172">
        <f t="shared" si="283"/>
        <v>-1.7660783999999998</v>
      </c>
      <c r="T453" s="172">
        <f t="shared" si="283"/>
        <v>-1.4139233500000001</v>
      </c>
      <c r="U453" s="172">
        <f t="shared" si="283"/>
        <v>-2.1988092900000002</v>
      </c>
      <c r="V453" s="172">
        <f t="shared" si="283"/>
        <v>-0.14299547000000001</v>
      </c>
      <c r="W453" s="172">
        <f t="shared" si="283"/>
        <v>-5.5218065100000002</v>
      </c>
      <c r="X453" s="172">
        <f t="shared" si="283"/>
        <v>8.005052E-2</v>
      </c>
      <c r="Y453" s="172">
        <f t="shared" si="283"/>
        <v>-8.0733340000000001E-2</v>
      </c>
      <c r="Z453" s="172">
        <f t="shared" si="283"/>
        <v>-1.77555551</v>
      </c>
      <c r="AA453" s="172">
        <f t="shared" si="283"/>
        <v>0.12083128</v>
      </c>
      <c r="AB453" s="172">
        <f t="shared" si="283"/>
        <v>-1.65540705</v>
      </c>
      <c r="AC453" s="268"/>
      <c r="AD453" s="268"/>
      <c r="AE453" s="268"/>
      <c r="AF453" s="268"/>
      <c r="AG453" s="268"/>
      <c r="AH453" s="268"/>
      <c r="AI453" s="268"/>
      <c r="AJ453" s="268"/>
      <c r="AK453" s="268"/>
      <c r="AL453" s="268"/>
      <c r="AM453" s="268"/>
      <c r="AN453" s="268"/>
      <c r="AO453" s="268"/>
      <c r="AP453" s="268"/>
      <c r="AQ453" s="268"/>
      <c r="AR453" s="268"/>
      <c r="AS453" s="268"/>
      <c r="AT453" s="268"/>
      <c r="AU453" s="268"/>
      <c r="AV453" s="268"/>
      <c r="AW453" s="268"/>
      <c r="AX453" s="268"/>
      <c r="AY453" s="268"/>
      <c r="AZ453" s="268"/>
      <c r="BA453" s="268"/>
      <c r="BB453" s="268"/>
      <c r="BC453" s="268"/>
      <c r="BD453" s="268"/>
      <c r="BE453" s="268"/>
      <c r="BF453" s="268"/>
      <c r="BG453" s="268"/>
    </row>
    <row r="454" spans="1:59" ht="15.75" customHeight="1" x14ac:dyDescent="0.2">
      <c r="A454" s="307"/>
      <c r="B454" s="307"/>
      <c r="C454" s="308" t="s">
        <v>208</v>
      </c>
      <c r="D454" s="172">
        <f t="shared" ref="D454:AB454" si="284">D286</f>
        <v>-14.783127131897198</v>
      </c>
      <c r="E454" s="172">
        <f t="shared" si="284"/>
        <v>-20.560763689790772</v>
      </c>
      <c r="F454" s="172">
        <f t="shared" si="284"/>
        <v>-18.32076787787263</v>
      </c>
      <c r="G454" s="172">
        <f t="shared" si="284"/>
        <v>-21.812606839024902</v>
      </c>
      <c r="H454" s="172">
        <f t="shared" si="284"/>
        <v>-75.477265538585499</v>
      </c>
      <c r="I454" s="172">
        <f t="shared" si="284"/>
        <v>-16.733982779999998</v>
      </c>
      <c r="J454" s="172">
        <f t="shared" si="284"/>
        <v>-18.931541329999998</v>
      </c>
      <c r="K454" s="172">
        <f t="shared" si="284"/>
        <v>-19.503718690000003</v>
      </c>
      <c r="L454" s="172">
        <f t="shared" si="284"/>
        <v>-30.283903329999998</v>
      </c>
      <c r="M454" s="172">
        <f t="shared" si="284"/>
        <v>-85.453146129999993</v>
      </c>
      <c r="N454" s="172">
        <f t="shared" si="284"/>
        <v>-20.224318520000001</v>
      </c>
      <c r="O454" s="172">
        <f t="shared" si="284"/>
        <v>-19.826265020000001</v>
      </c>
      <c r="P454" s="172">
        <f t="shared" si="284"/>
        <v>-19.658838070000002</v>
      </c>
      <c r="Q454" s="172">
        <f t="shared" si="284"/>
        <v>-30.844572809999999</v>
      </c>
      <c r="R454" s="172">
        <f t="shared" si="284"/>
        <v>-90.553994420000009</v>
      </c>
      <c r="S454" s="172">
        <f t="shared" si="284"/>
        <v>-19.058332889999999</v>
      </c>
      <c r="T454" s="172">
        <f t="shared" si="284"/>
        <v>-30.188631820000001</v>
      </c>
      <c r="U454" s="172">
        <f t="shared" si="284"/>
        <v>-27.08040772</v>
      </c>
      <c r="V454" s="172">
        <f t="shared" si="284"/>
        <v>-59.660854790000002</v>
      </c>
      <c r="W454" s="172">
        <f t="shared" si="284"/>
        <v>-135.98822722</v>
      </c>
      <c r="X454" s="172">
        <f t="shared" si="284"/>
        <v>-26.978268419999999</v>
      </c>
      <c r="Y454" s="172">
        <f t="shared" si="284"/>
        <v>-27.902503879999998</v>
      </c>
      <c r="Z454" s="172">
        <f t="shared" si="284"/>
        <v>-28.672332620000002</v>
      </c>
      <c r="AA454" s="172">
        <f t="shared" si="284"/>
        <v>-45.366137330000001</v>
      </c>
      <c r="AB454" s="172">
        <f t="shared" si="284"/>
        <v>-128.91924225</v>
      </c>
      <c r="AC454" s="268"/>
      <c r="AD454" s="268"/>
      <c r="AE454" s="268"/>
      <c r="AF454" s="268"/>
      <c r="AG454" s="268"/>
      <c r="AH454" s="268"/>
      <c r="AI454" s="268"/>
      <c r="AJ454" s="268"/>
      <c r="AK454" s="268"/>
      <c r="AL454" s="268"/>
      <c r="AM454" s="268"/>
      <c r="AN454" s="268"/>
      <c r="AO454" s="268"/>
      <c r="AP454" s="268"/>
      <c r="AQ454" s="268"/>
      <c r="AR454" s="268"/>
      <c r="AS454" s="268"/>
      <c r="AT454" s="268"/>
      <c r="AU454" s="268"/>
      <c r="AV454" s="268"/>
      <c r="AW454" s="268"/>
      <c r="AX454" s="268"/>
      <c r="AY454" s="268"/>
      <c r="AZ454" s="268"/>
      <c r="BA454" s="268"/>
      <c r="BB454" s="268"/>
      <c r="BC454" s="268"/>
      <c r="BD454" s="268"/>
      <c r="BE454" s="268"/>
      <c r="BF454" s="268"/>
      <c r="BG454" s="268"/>
    </row>
    <row r="455" spans="1:59" ht="15.75" customHeight="1" x14ac:dyDescent="0.2">
      <c r="A455" s="307"/>
      <c r="B455" s="307"/>
      <c r="C455" s="308" t="s">
        <v>212</v>
      </c>
      <c r="D455" s="172">
        <f>D98</f>
        <v>-1.6</v>
      </c>
      <c r="E455" s="172">
        <v>-2.9</v>
      </c>
      <c r="F455" s="172">
        <v>-2.1</v>
      </c>
      <c r="G455" s="172">
        <v>-8.5</v>
      </c>
      <c r="H455" s="172">
        <f>SUM(D455:G455)</f>
        <v>-15.1</v>
      </c>
      <c r="I455" s="172">
        <v>-4.8</v>
      </c>
      <c r="J455" s="172">
        <v>2.5</v>
      </c>
      <c r="K455" s="172">
        <v>-2.1</v>
      </c>
      <c r="L455" s="172">
        <v>6.8</v>
      </c>
      <c r="M455" s="172">
        <f>SUM(I455:L455)</f>
        <v>2.3999999999999995</v>
      </c>
      <c r="N455" s="172">
        <v>-18.8</v>
      </c>
      <c r="O455" s="172">
        <v>-6</v>
      </c>
      <c r="P455" s="172">
        <v>0.4</v>
      </c>
      <c r="Q455" s="172">
        <v>5.3</v>
      </c>
      <c r="R455" s="172">
        <f>SUM(N455:Q455)</f>
        <v>-19.100000000000001</v>
      </c>
      <c r="S455" s="172">
        <v>-10.207473</v>
      </c>
      <c r="T455" s="172">
        <v>2.2175699999999998</v>
      </c>
      <c r="U455" s="172">
        <v>-15.666905</v>
      </c>
      <c r="V455" s="172">
        <v>-8.0072919999999996</v>
      </c>
      <c r="W455" s="172">
        <f>SUM(S455:V455)</f>
        <v>-31.664099999999998</v>
      </c>
      <c r="X455" s="172">
        <v>21.428274999999999</v>
      </c>
      <c r="Y455" s="172">
        <v>-18.186691230000001</v>
      </c>
      <c r="Z455" s="172">
        <v>-12.859271869999999</v>
      </c>
      <c r="AA455" s="172">
        <v>26.697567840000001</v>
      </c>
      <c r="AB455" s="172">
        <f>AB98</f>
        <v>17.079880420000002</v>
      </c>
      <c r="AC455" s="268"/>
      <c r="AD455" s="268"/>
      <c r="AE455" s="268"/>
      <c r="AF455" s="268"/>
      <c r="AG455" s="268"/>
      <c r="AH455" s="268"/>
      <c r="AI455" s="268"/>
      <c r="AJ455" s="268"/>
      <c r="AK455" s="268"/>
      <c r="AL455" s="268"/>
      <c r="AM455" s="268"/>
      <c r="AN455" s="268"/>
      <c r="AO455" s="268"/>
      <c r="AP455" s="268"/>
      <c r="AQ455" s="268"/>
      <c r="AR455" s="268"/>
      <c r="AS455" s="268"/>
      <c r="AT455" s="268"/>
      <c r="AU455" s="268"/>
      <c r="AV455" s="268"/>
      <c r="AW455" s="268"/>
      <c r="AX455" s="268"/>
      <c r="AY455" s="268"/>
      <c r="AZ455" s="268"/>
      <c r="BA455" s="268"/>
      <c r="BB455" s="268"/>
      <c r="BC455" s="268"/>
      <c r="BD455" s="268"/>
      <c r="BE455" s="268"/>
      <c r="BF455" s="268"/>
      <c r="BG455" s="268"/>
    </row>
    <row r="456" spans="1:59" ht="15.75" customHeight="1" x14ac:dyDescent="0.2">
      <c r="A456" s="278"/>
      <c r="B456" s="278"/>
      <c r="C456" s="332" t="s">
        <v>190</v>
      </c>
      <c r="D456" s="215">
        <f t="shared" ref="D456:AB456" si="285">SUM(D448,D449,D451,D453,D452,D450,D454,D455)</f>
        <v>85.674818563493019</v>
      </c>
      <c r="E456" s="215">
        <f t="shared" si="285"/>
        <v>77.986332996165245</v>
      </c>
      <c r="F456" s="215">
        <f t="shared" si="285"/>
        <v>125.78579719614255</v>
      </c>
      <c r="G456" s="215">
        <f t="shared" si="285"/>
        <v>76.475764734279068</v>
      </c>
      <c r="H456" s="215">
        <f t="shared" si="285"/>
        <v>365.9227134900799</v>
      </c>
      <c r="I456" s="215">
        <f t="shared" si="285"/>
        <v>72.85423059</v>
      </c>
      <c r="J456" s="215">
        <f t="shared" si="285"/>
        <v>67.472169009999988</v>
      </c>
      <c r="K456" s="215">
        <f t="shared" si="285"/>
        <v>113.11474519000001</v>
      </c>
      <c r="L456" s="215">
        <f t="shared" si="285"/>
        <v>42.003760110000002</v>
      </c>
      <c r="M456" s="215">
        <f t="shared" si="285"/>
        <v>295.44490489999998</v>
      </c>
      <c r="N456" s="215">
        <f t="shared" si="285"/>
        <v>70.139971700000004</v>
      </c>
      <c r="O456" s="215">
        <f t="shared" si="285"/>
        <v>111.84755174000003</v>
      </c>
      <c r="P456" s="215">
        <f t="shared" si="285"/>
        <v>123.44523795000001</v>
      </c>
      <c r="Q456" s="215">
        <f t="shared" si="285"/>
        <v>90.705681179999985</v>
      </c>
      <c r="R456" s="215">
        <f t="shared" si="285"/>
        <v>396.13844257000005</v>
      </c>
      <c r="S456" s="215">
        <f t="shared" si="285"/>
        <v>144.54959718000003</v>
      </c>
      <c r="T456" s="215">
        <f t="shared" si="285"/>
        <v>137.23844726000002</v>
      </c>
      <c r="U456" s="215">
        <f t="shared" si="285"/>
        <v>139.51762225999994</v>
      </c>
      <c r="V456" s="215">
        <f t="shared" si="285"/>
        <v>106.24363054999998</v>
      </c>
      <c r="W456" s="215">
        <f t="shared" si="285"/>
        <v>527.54929725</v>
      </c>
      <c r="X456" s="215">
        <f t="shared" si="285"/>
        <v>157.39437336000003</v>
      </c>
      <c r="Y456" s="215">
        <f t="shared" si="285"/>
        <v>122.09610077999997</v>
      </c>
      <c r="Z456" s="215">
        <f t="shared" si="285"/>
        <v>164.49579100000003</v>
      </c>
      <c r="AA456" s="215">
        <f t="shared" si="285"/>
        <v>162.02171676999998</v>
      </c>
      <c r="AB456" s="215">
        <f t="shared" si="285"/>
        <v>606.00798258999987</v>
      </c>
      <c r="AC456" s="268"/>
      <c r="AD456" s="268"/>
      <c r="AE456" s="268"/>
      <c r="AF456" s="268"/>
      <c r="AG456" s="268"/>
      <c r="AH456" s="268"/>
      <c r="AI456" s="268"/>
      <c r="AJ456" s="268"/>
      <c r="AK456" s="268"/>
      <c r="AL456" s="268"/>
      <c r="AM456" s="268"/>
      <c r="AN456" s="268"/>
      <c r="AO456" s="268"/>
      <c r="AP456" s="268"/>
      <c r="AQ456" s="268"/>
      <c r="AR456" s="268"/>
      <c r="AS456" s="268"/>
      <c r="AT456" s="268"/>
      <c r="AU456" s="268"/>
      <c r="AV456" s="268"/>
      <c r="AW456" s="268"/>
      <c r="AX456" s="268"/>
      <c r="AY456" s="268"/>
      <c r="AZ456" s="268"/>
      <c r="BA456" s="268"/>
      <c r="BB456" s="268"/>
      <c r="BC456" s="268"/>
      <c r="BD456" s="268"/>
      <c r="BE456" s="268"/>
      <c r="BF456" s="268"/>
      <c r="BG456" s="268"/>
    </row>
    <row r="457" spans="1:59" ht="15.75" customHeight="1" x14ac:dyDescent="0.2">
      <c r="A457" s="307"/>
      <c r="B457" s="307"/>
      <c r="C457" s="314" t="s">
        <v>193</v>
      </c>
      <c r="D457" s="292"/>
      <c r="E457" s="292"/>
      <c r="F457" s="292"/>
      <c r="G457" s="292"/>
      <c r="H457" s="333"/>
      <c r="I457" s="292"/>
      <c r="J457" s="292"/>
      <c r="K457" s="292"/>
      <c r="L457" s="292"/>
      <c r="M457" s="333"/>
      <c r="N457" s="292"/>
      <c r="O457" s="292"/>
      <c r="P457" s="292"/>
      <c r="Q457" s="292"/>
      <c r="R457" s="333"/>
      <c r="S457" s="292"/>
      <c r="T457" s="292"/>
      <c r="U457" s="292"/>
      <c r="V457" s="292"/>
      <c r="W457" s="333"/>
      <c r="X457" s="292"/>
      <c r="Y457" s="292"/>
      <c r="Z457" s="292"/>
      <c r="AA457" s="292"/>
      <c r="AB457" s="333"/>
      <c r="AC457" s="268"/>
      <c r="AD457" s="268"/>
      <c r="AE457" s="268"/>
      <c r="AF457" s="268"/>
      <c r="AG457" s="268"/>
      <c r="AH457" s="268"/>
      <c r="AI457" s="268"/>
      <c r="AJ457" s="268"/>
      <c r="AK457" s="268"/>
      <c r="AL457" s="268"/>
      <c r="AM457" s="268"/>
      <c r="AN457" s="268"/>
      <c r="AO457" s="268"/>
      <c r="AP457" s="268"/>
      <c r="AQ457" s="268"/>
      <c r="AR457" s="268"/>
      <c r="AS457" s="268"/>
      <c r="AT457" s="268"/>
      <c r="AU457" s="268"/>
      <c r="AV457" s="268"/>
      <c r="AW457" s="268"/>
      <c r="AX457" s="268"/>
      <c r="AY457" s="268"/>
      <c r="AZ457" s="268"/>
      <c r="BA457" s="268"/>
      <c r="BB457" s="268"/>
      <c r="BC457" s="268"/>
      <c r="BD457" s="268"/>
      <c r="BE457" s="268"/>
      <c r="BF457" s="268"/>
      <c r="BG457" s="268"/>
    </row>
    <row r="458" spans="1:59" ht="15.75" customHeight="1" x14ac:dyDescent="0.2">
      <c r="A458" s="162"/>
      <c r="B458" s="162"/>
      <c r="C458" s="261"/>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c r="AA458" s="207"/>
      <c r="AB458" s="207"/>
      <c r="AC458" s="268"/>
      <c r="AD458" s="268"/>
      <c r="AE458" s="268"/>
      <c r="AF458" s="268"/>
      <c r="AG458" s="268"/>
      <c r="AH458" s="268"/>
      <c r="AI458" s="268"/>
      <c r="AJ458" s="268"/>
      <c r="AK458" s="268"/>
      <c r="AL458" s="268"/>
      <c r="AM458" s="268"/>
      <c r="AN458" s="268"/>
      <c r="AO458" s="268"/>
      <c r="AP458" s="268"/>
      <c r="AQ458" s="268"/>
      <c r="AR458" s="268"/>
      <c r="AS458" s="268"/>
      <c r="AT458" s="268"/>
      <c r="AU458" s="268"/>
      <c r="AV458" s="268"/>
      <c r="AW458" s="268"/>
      <c r="AX458" s="268"/>
      <c r="AY458" s="268"/>
      <c r="AZ458" s="268"/>
      <c r="BA458" s="268"/>
      <c r="BB458" s="268"/>
      <c r="BC458" s="268"/>
      <c r="BD458" s="268"/>
      <c r="BE458" s="268"/>
      <c r="BF458" s="268"/>
      <c r="BG458" s="268"/>
    </row>
    <row r="459" spans="1:59" ht="15.75" customHeight="1" x14ac:dyDescent="0.2">
      <c r="A459" s="162"/>
      <c r="B459" s="162"/>
      <c r="C459" s="227" t="s">
        <v>244</v>
      </c>
      <c r="D459" s="258"/>
      <c r="E459" s="258"/>
      <c r="F459" s="258"/>
      <c r="G459" s="258"/>
      <c r="H459" s="258"/>
      <c r="I459" s="258"/>
      <c r="J459" s="258"/>
      <c r="K459" s="258"/>
      <c r="L459" s="258"/>
      <c r="M459" s="258"/>
      <c r="N459" s="258"/>
      <c r="O459" s="258"/>
      <c r="P459" s="258"/>
      <c r="Q459" s="258"/>
      <c r="R459" s="259"/>
      <c r="S459" s="260"/>
      <c r="T459" s="258"/>
      <c r="U459" s="258"/>
      <c r="V459" s="258"/>
      <c r="W459" s="258"/>
      <c r="X459" s="258"/>
      <c r="Y459" s="258"/>
      <c r="Z459" s="258"/>
      <c r="AA459" s="258"/>
      <c r="AB459" s="258"/>
      <c r="AC459" s="268"/>
      <c r="AD459" s="268"/>
      <c r="AE459" s="268"/>
      <c r="AF459" s="268"/>
      <c r="AG459" s="268"/>
      <c r="AH459" s="268"/>
      <c r="AI459" s="268"/>
      <c r="AJ459" s="268"/>
      <c r="AK459" s="268"/>
      <c r="AL459" s="268"/>
      <c r="AM459" s="268"/>
      <c r="AN459" s="268"/>
      <c r="AO459" s="268"/>
      <c r="AP459" s="268"/>
      <c r="AQ459" s="268"/>
      <c r="AR459" s="268"/>
      <c r="AS459" s="268"/>
      <c r="AT459" s="268"/>
      <c r="AU459" s="268"/>
      <c r="AV459" s="268"/>
      <c r="AW459" s="268"/>
      <c r="AX459" s="268"/>
      <c r="AY459" s="268"/>
      <c r="AZ459" s="268"/>
      <c r="BA459" s="268"/>
      <c r="BB459" s="268"/>
      <c r="BC459" s="268"/>
      <c r="BD459" s="268"/>
      <c r="BE459" s="268"/>
      <c r="BF459" s="268"/>
      <c r="BG459" s="268"/>
    </row>
    <row r="460" spans="1:59" ht="15.75" customHeight="1" x14ac:dyDescent="0.2">
      <c r="A460" s="307"/>
      <c r="B460" s="307"/>
      <c r="C460" s="308" t="s">
        <v>214</v>
      </c>
      <c r="D460" s="140">
        <f t="shared" ref="D460:AB460" si="286">D448/D63</f>
        <v>0.3593664433843784</v>
      </c>
      <c r="E460" s="140">
        <f t="shared" si="286"/>
        <v>0.3205868837145176</v>
      </c>
      <c r="F460" s="140">
        <f t="shared" si="286"/>
        <v>0.40184508971521143</v>
      </c>
      <c r="G460" s="140">
        <f t="shared" si="286"/>
        <v>0.3142617982035884</v>
      </c>
      <c r="H460" s="140">
        <f t="shared" si="286"/>
        <v>0.35099662332341702</v>
      </c>
      <c r="I460" s="140">
        <f t="shared" si="286"/>
        <v>0.33403778159595138</v>
      </c>
      <c r="J460" s="140">
        <f t="shared" si="286"/>
        <v>0.31748843214403727</v>
      </c>
      <c r="K460" s="140">
        <f t="shared" si="286"/>
        <v>0.38545090657816916</v>
      </c>
      <c r="L460" s="140">
        <f t="shared" si="286"/>
        <v>0.40145242590436925</v>
      </c>
      <c r="M460" s="140">
        <f t="shared" si="286"/>
        <v>0.36175366963369787</v>
      </c>
      <c r="N460" s="140">
        <f t="shared" si="286"/>
        <v>0.39358563718030964</v>
      </c>
      <c r="O460" s="140">
        <f t="shared" si="286"/>
        <v>0.34927065138773977</v>
      </c>
      <c r="P460" s="140">
        <f t="shared" si="286"/>
        <v>0.38211757385233036</v>
      </c>
      <c r="Q460" s="140">
        <f t="shared" si="286"/>
        <v>0.37666223267631838</v>
      </c>
      <c r="R460" s="140">
        <f t="shared" si="286"/>
        <v>0.37560179355784068</v>
      </c>
      <c r="S460" s="140">
        <f t="shared" si="286"/>
        <v>0.45648332488189669</v>
      </c>
      <c r="T460" s="140">
        <f t="shared" si="286"/>
        <v>0.41417450531249062</v>
      </c>
      <c r="U460" s="140">
        <f t="shared" si="286"/>
        <v>0.41394537057409891</v>
      </c>
      <c r="V460" s="140">
        <f t="shared" si="286"/>
        <v>0.36294598592922489</v>
      </c>
      <c r="W460" s="140">
        <f t="shared" si="286"/>
        <v>0.41092873658643808</v>
      </c>
      <c r="X460" s="140">
        <f t="shared" si="286"/>
        <v>0.38671933435349759</v>
      </c>
      <c r="Y460" s="140">
        <f t="shared" si="286"/>
        <v>0.36350455463282449</v>
      </c>
      <c r="Z460" s="140">
        <f t="shared" si="286"/>
        <v>0.39437885245270088</v>
      </c>
      <c r="AA460" s="140">
        <f t="shared" si="286"/>
        <v>0.37731219881191258</v>
      </c>
      <c r="AB460" s="140">
        <f t="shared" si="286"/>
        <v>0.3805785955346227</v>
      </c>
      <c r="AC460" s="268"/>
      <c r="AD460" s="268"/>
      <c r="AE460" s="268"/>
      <c r="AF460" s="268"/>
      <c r="AG460" s="268"/>
      <c r="AH460" s="268"/>
      <c r="AI460" s="268"/>
      <c r="AJ460" s="268"/>
      <c r="AK460" s="268"/>
      <c r="AL460" s="268"/>
      <c r="AM460" s="268"/>
      <c r="AN460" s="268"/>
      <c r="AO460" s="268"/>
      <c r="AP460" s="268"/>
      <c r="AQ460" s="268"/>
      <c r="AR460" s="268"/>
      <c r="AS460" s="268"/>
      <c r="AT460" s="268"/>
      <c r="AU460" s="268"/>
      <c r="AV460" s="268"/>
      <c r="AW460" s="268"/>
      <c r="AX460" s="268"/>
      <c r="AY460" s="268"/>
      <c r="AZ460" s="268"/>
      <c r="BA460" s="268"/>
      <c r="BB460" s="268"/>
      <c r="BC460" s="268"/>
      <c r="BD460" s="268"/>
      <c r="BE460" s="268"/>
      <c r="BF460" s="268"/>
      <c r="BG460" s="268"/>
    </row>
    <row r="461" spans="1:59" ht="15.75" customHeight="1" x14ac:dyDescent="0.2">
      <c r="A461" s="307"/>
      <c r="B461" s="307"/>
      <c r="C461" s="308" t="s">
        <v>215</v>
      </c>
      <c r="D461" s="140">
        <f t="shared" ref="D461:AB461" si="287">D449/D64</f>
        <v>0.16989472527316932</v>
      </c>
      <c r="E461" s="140">
        <f t="shared" si="287"/>
        <v>7.1426811360647796E-2</v>
      </c>
      <c r="F461" s="140">
        <f t="shared" si="287"/>
        <v>7.6809740774591823E-2</v>
      </c>
      <c r="G461" s="140">
        <f t="shared" si="287"/>
        <v>2.1854346894155806E-3</v>
      </c>
      <c r="H461" s="140">
        <f t="shared" si="287"/>
        <v>7.7904306674706256E-2</v>
      </c>
      <c r="I461" s="140">
        <f t="shared" si="287"/>
        <v>4.2085717945773149E-2</v>
      </c>
      <c r="J461" s="140">
        <f t="shared" si="287"/>
        <v>5.9743381858428382E-2</v>
      </c>
      <c r="K461" s="140">
        <f t="shared" si="287"/>
        <v>-0.11717300037630086</v>
      </c>
      <c r="L461" s="140">
        <f t="shared" si="287"/>
        <v>-3.9421478056594568</v>
      </c>
      <c r="M461" s="140">
        <f t="shared" si="287"/>
        <v>-0.77532168021733427</v>
      </c>
      <c r="N461" s="140">
        <f t="shared" si="287"/>
        <v>-0.46848477204398087</v>
      </c>
      <c r="O461" s="140">
        <f t="shared" si="287"/>
        <v>-0.27098633228806396</v>
      </c>
      <c r="P461" s="140">
        <f t="shared" si="287"/>
        <v>-0.47600092296240909</v>
      </c>
      <c r="Q461" s="140">
        <f t="shared" si="287"/>
        <v>-0.33537470450608059</v>
      </c>
      <c r="R461" s="140">
        <f t="shared" si="287"/>
        <v>-0.38677189122125033</v>
      </c>
      <c r="S461" s="140">
        <f t="shared" si="287"/>
        <v>-0.55906408331398649</v>
      </c>
      <c r="T461" s="140">
        <f t="shared" si="287"/>
        <v>-0.46083976656937437</v>
      </c>
      <c r="U461" s="140">
        <f t="shared" si="287"/>
        <v>-0.37231587072459676</v>
      </c>
      <c r="V461" s="140">
        <f t="shared" si="287"/>
        <v>-0.25222876907215225</v>
      </c>
      <c r="W461" s="140">
        <f t="shared" si="287"/>
        <v>-0.3935485384724578</v>
      </c>
      <c r="X461" s="140">
        <f t="shared" si="287"/>
        <v>-0.32445693589552227</v>
      </c>
      <c r="Y461" s="140">
        <f t="shared" si="287"/>
        <v>-0.20991931535789474</v>
      </c>
      <c r="Z461" s="140">
        <f t="shared" si="287"/>
        <v>-0.25274002755320507</v>
      </c>
      <c r="AA461" s="140">
        <f t="shared" si="287"/>
        <v>-0.16075301171868073</v>
      </c>
      <c r="AB461" s="140">
        <f t="shared" si="287"/>
        <v>-0.22999538202930161</v>
      </c>
      <c r="AC461" s="268"/>
      <c r="AD461" s="268"/>
      <c r="AE461" s="268"/>
      <c r="AF461" s="268"/>
      <c r="AG461" s="268"/>
      <c r="AH461" s="268"/>
      <c r="AI461" s="268"/>
      <c r="AJ461" s="268"/>
      <c r="AK461" s="268"/>
      <c r="AL461" s="268"/>
      <c r="AM461" s="268"/>
      <c r="AN461" s="268"/>
      <c r="AO461" s="268"/>
      <c r="AP461" s="268"/>
      <c r="AQ461" s="268"/>
      <c r="AR461" s="268"/>
      <c r="AS461" s="268"/>
      <c r="AT461" s="268"/>
      <c r="AU461" s="268"/>
      <c r="AV461" s="268"/>
      <c r="AW461" s="268"/>
      <c r="AX461" s="268"/>
      <c r="AY461" s="268"/>
      <c r="AZ461" s="268"/>
      <c r="BA461" s="268"/>
      <c r="BB461" s="268"/>
      <c r="BC461" s="268"/>
      <c r="BD461" s="268"/>
      <c r="BE461" s="268"/>
      <c r="BF461" s="268"/>
      <c r="BG461" s="268"/>
    </row>
    <row r="462" spans="1:59" ht="15.75" customHeight="1" x14ac:dyDescent="0.2">
      <c r="A462" s="307"/>
      <c r="B462" s="307"/>
      <c r="C462" s="308" t="s">
        <v>216</v>
      </c>
      <c r="D462" s="140">
        <f t="shared" ref="D462:AB462" si="288">D450/D65</f>
        <v>8.9143186642654151E-2</v>
      </c>
      <c r="E462" s="140">
        <f t="shared" si="288"/>
        <v>8.0127403713581319E-2</v>
      </c>
      <c r="F462" s="140">
        <f t="shared" si="288"/>
        <v>0.15096912450504471</v>
      </c>
      <c r="G462" s="140">
        <f t="shared" si="288"/>
        <v>7.4351957191851115E-2</v>
      </c>
      <c r="H462" s="140">
        <f t="shared" si="288"/>
        <v>9.9662524448857578E-2</v>
      </c>
      <c r="I462" s="140">
        <f t="shared" si="288"/>
        <v>0.22043222355377307</v>
      </c>
      <c r="J462" s="140">
        <f t="shared" si="288"/>
        <v>5.035726894893474E-2</v>
      </c>
      <c r="K462" s="140">
        <f t="shared" si="288"/>
        <v>0.14624817663956458</v>
      </c>
      <c r="L462" s="140">
        <f t="shared" si="288"/>
        <v>5.3064913184231205E-2</v>
      </c>
      <c r="M462" s="140">
        <f t="shared" si="288"/>
        <v>0.12515160575142001</v>
      </c>
      <c r="N462" s="140">
        <f t="shared" si="288"/>
        <v>6.5282785098703996E-3</v>
      </c>
      <c r="O462" s="140">
        <f t="shared" si="288"/>
        <v>9.2513824240582812E-2</v>
      </c>
      <c r="P462" s="140">
        <f t="shared" si="288"/>
        <v>9.7124195342638026E-2</v>
      </c>
      <c r="Q462" s="140">
        <f t="shared" si="288"/>
        <v>-2.3900849550106185E-2</v>
      </c>
      <c r="R462" s="140">
        <f t="shared" si="288"/>
        <v>4.4180266441100381E-2</v>
      </c>
      <c r="S462" s="140">
        <f t="shared" si="288"/>
        <v>0.14307393102918109</v>
      </c>
      <c r="T462" s="140">
        <f t="shared" si="288"/>
        <v>0.1248316835654384</v>
      </c>
      <c r="U462" s="140">
        <f t="shared" si="288"/>
        <v>0.11518005404357259</v>
      </c>
      <c r="V462" s="140">
        <f t="shared" si="288"/>
        <v>0.11967448379391477</v>
      </c>
      <c r="W462" s="140">
        <f t="shared" si="288"/>
        <v>0.12497940432338786</v>
      </c>
      <c r="X462" s="140">
        <f t="shared" si="288"/>
        <v>0.25199936658009781</v>
      </c>
      <c r="Y462" s="140">
        <f t="shared" si="288"/>
        <v>0.14346618503775085</v>
      </c>
      <c r="Z462" s="140">
        <f t="shared" si="288"/>
        <v>0.19705752718018868</v>
      </c>
      <c r="AA462" s="140">
        <f t="shared" si="288"/>
        <v>0.15647884848335841</v>
      </c>
      <c r="AB462" s="140">
        <f t="shared" si="288"/>
        <v>0.18882367025657373</v>
      </c>
      <c r="AC462" s="268"/>
      <c r="AD462" s="268"/>
      <c r="AE462" s="268"/>
      <c r="AF462" s="268"/>
      <c r="AG462" s="268"/>
      <c r="AH462" s="268"/>
      <c r="AI462" s="268"/>
      <c r="AJ462" s="268"/>
      <c r="AK462" s="268"/>
      <c r="AL462" s="268"/>
      <c r="AM462" s="268"/>
      <c r="AN462" s="268"/>
      <c r="AO462" s="268"/>
      <c r="AP462" s="268"/>
      <c r="AQ462" s="268"/>
      <c r="AR462" s="268"/>
      <c r="AS462" s="268"/>
      <c r="AT462" s="268"/>
      <c r="AU462" s="268"/>
      <c r="AV462" s="268"/>
      <c r="AW462" s="268"/>
      <c r="AX462" s="268"/>
      <c r="AY462" s="268"/>
      <c r="AZ462" s="268"/>
      <c r="BA462" s="268"/>
      <c r="BB462" s="268"/>
      <c r="BC462" s="268"/>
      <c r="BD462" s="268"/>
      <c r="BE462" s="268"/>
      <c r="BF462" s="268"/>
      <c r="BG462" s="268"/>
    </row>
    <row r="463" spans="1:59" ht="15.75" customHeight="1" x14ac:dyDescent="0.2">
      <c r="A463" s="307"/>
      <c r="B463" s="307"/>
      <c r="C463" s="308" t="s">
        <v>217</v>
      </c>
      <c r="D463" s="140">
        <f t="shared" ref="D463:AB463" si="289">D451/D66</f>
        <v>0.2924880243753516</v>
      </c>
      <c r="E463" s="140">
        <f t="shared" si="289"/>
        <v>0.30376811841297902</v>
      </c>
      <c r="F463" s="140">
        <f t="shared" si="289"/>
        <v>0.35274982169154934</v>
      </c>
      <c r="G463" s="140">
        <f t="shared" si="289"/>
        <v>0.28970350207190126</v>
      </c>
      <c r="H463" s="140">
        <f t="shared" si="289"/>
        <v>0.31082245563519467</v>
      </c>
      <c r="I463" s="140">
        <f t="shared" si="289"/>
        <v>0.22056216926785216</v>
      </c>
      <c r="J463" s="140">
        <f t="shared" si="289"/>
        <v>0.22633504518194611</v>
      </c>
      <c r="K463" s="140">
        <f t="shared" si="289"/>
        <v>0.36372038921012906</v>
      </c>
      <c r="L463" s="140">
        <f t="shared" si="289"/>
        <v>0.30487492123571558</v>
      </c>
      <c r="M463" s="140">
        <f t="shared" si="289"/>
        <v>0.28399485086289739</v>
      </c>
      <c r="N463" s="140">
        <f t="shared" si="289"/>
        <v>0.28798058248632774</v>
      </c>
      <c r="O463" s="140">
        <f t="shared" si="289"/>
        <v>0.34646827890094156</v>
      </c>
      <c r="P463" s="140">
        <f t="shared" si="289"/>
        <v>0.32251299692413626</v>
      </c>
      <c r="Q463" s="140">
        <f t="shared" si="289"/>
        <v>0.26558988058520211</v>
      </c>
      <c r="R463" s="140">
        <f t="shared" si="289"/>
        <v>0.30531565983233605</v>
      </c>
      <c r="S463" s="140">
        <f t="shared" si="289"/>
        <v>0.35496073581666227</v>
      </c>
      <c r="T463" s="140">
        <f t="shared" si="289"/>
        <v>0.33505699519795823</v>
      </c>
      <c r="U463" s="140">
        <f t="shared" si="289"/>
        <v>0.36237884975156864</v>
      </c>
      <c r="V463" s="140">
        <f t="shared" si="289"/>
        <v>0.32274039803440963</v>
      </c>
      <c r="W463" s="140">
        <f t="shared" si="289"/>
        <v>0.34331122042647533</v>
      </c>
      <c r="X463" s="140">
        <f t="shared" si="289"/>
        <v>0.30677275165252366</v>
      </c>
      <c r="Y463" s="140">
        <f t="shared" si="289"/>
        <v>0.34597945731040392</v>
      </c>
      <c r="Z463" s="140">
        <f t="shared" si="289"/>
        <v>0.37003190102290295</v>
      </c>
      <c r="AA463" s="140">
        <f t="shared" si="289"/>
        <v>0.32895640859758285</v>
      </c>
      <c r="AB463" s="140">
        <f t="shared" si="289"/>
        <v>0.33954952621594381</v>
      </c>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268"/>
      <c r="AY463" s="268"/>
      <c r="AZ463" s="268"/>
      <c r="BA463" s="268"/>
      <c r="BB463" s="268"/>
      <c r="BC463" s="268"/>
      <c r="BD463" s="268"/>
      <c r="BE463" s="268"/>
      <c r="BF463" s="268"/>
      <c r="BG463" s="268"/>
    </row>
    <row r="464" spans="1:59" ht="15.75" customHeight="1" x14ac:dyDescent="0.2">
      <c r="A464" s="307"/>
      <c r="B464" s="307"/>
      <c r="C464" s="308" t="s">
        <v>218</v>
      </c>
      <c r="D464" s="140">
        <f t="shared" ref="D464:AB464" si="290">D452/D67</f>
        <v>-0.11730718237719558</v>
      </c>
      <c r="E464" s="140">
        <f t="shared" si="290"/>
        <v>6.8770163105564885E-2</v>
      </c>
      <c r="F464" s="140">
        <f t="shared" si="290"/>
        <v>0.13453710045047274</v>
      </c>
      <c r="G464" s="140">
        <f t="shared" si="290"/>
        <v>0.29445266951823584</v>
      </c>
      <c r="H464" s="140">
        <f t="shared" si="290"/>
        <v>0.1062765801433878</v>
      </c>
      <c r="I464" s="140">
        <f t="shared" si="290"/>
        <v>8.4119442341024416E-3</v>
      </c>
      <c r="J464" s="140">
        <f t="shared" si="290"/>
        <v>-4.1760981852675828E-2</v>
      </c>
      <c r="K464" s="140">
        <f t="shared" si="290"/>
        <v>0.2198698528521329</v>
      </c>
      <c r="L464" s="140">
        <f t="shared" si="290"/>
        <v>0.2484550082067464</v>
      </c>
      <c r="M464" s="140">
        <f t="shared" si="290"/>
        <v>0.11923277745810219</v>
      </c>
      <c r="N464" s="140">
        <f t="shared" si="290"/>
        <v>-2.7861696134625899E-2</v>
      </c>
      <c r="O464" s="140">
        <f t="shared" si="290"/>
        <v>0.3571625435887788</v>
      </c>
      <c r="P464" s="140">
        <f t="shared" si="290"/>
        <v>0.37482261499397779</v>
      </c>
      <c r="Q464" s="140">
        <f t="shared" si="290"/>
        <v>0.31066086179283275</v>
      </c>
      <c r="R464" s="140">
        <f t="shared" si="290"/>
        <v>0.26218553288116253</v>
      </c>
      <c r="S464" s="140">
        <f t="shared" si="290"/>
        <v>0.18718413044031587</v>
      </c>
      <c r="T464" s="140">
        <f t="shared" si="290"/>
        <v>0.19864412702946585</v>
      </c>
      <c r="U464" s="140">
        <f t="shared" si="290"/>
        <v>0.21144234395023745</v>
      </c>
      <c r="V464" s="140">
        <f t="shared" si="290"/>
        <v>0.19586205485703517</v>
      </c>
      <c r="W464" s="140">
        <f t="shared" si="290"/>
        <v>0.19835122536162425</v>
      </c>
      <c r="X464" s="140">
        <f t="shared" si="290"/>
        <v>0.20803211651967329</v>
      </c>
      <c r="Y464" s="140">
        <f t="shared" si="290"/>
        <v>0.21239550562837323</v>
      </c>
      <c r="Z464" s="140">
        <f t="shared" si="290"/>
        <v>0.11910019432815361</v>
      </c>
      <c r="AA464" s="140">
        <f t="shared" si="290"/>
        <v>0.17846929024520433</v>
      </c>
      <c r="AB464" s="140">
        <f t="shared" si="290"/>
        <v>0.17651102904663418</v>
      </c>
      <c r="AC464" s="268"/>
      <c r="AD464" s="268"/>
      <c r="AE464" s="268"/>
      <c r="AF464" s="268"/>
      <c r="AG464" s="268"/>
      <c r="AH464" s="268"/>
      <c r="AI464" s="268"/>
      <c r="AJ464" s="268"/>
      <c r="AK464" s="268"/>
      <c r="AL464" s="268"/>
      <c r="AM464" s="268"/>
      <c r="AN464" s="268"/>
      <c r="AO464" s="268"/>
      <c r="AP464" s="268"/>
      <c r="AQ464" s="268"/>
      <c r="AR464" s="268"/>
      <c r="AS464" s="268"/>
      <c r="AT464" s="268"/>
      <c r="AU464" s="268"/>
      <c r="AV464" s="268"/>
      <c r="AW464" s="268"/>
      <c r="AX464" s="268"/>
      <c r="AY464" s="268"/>
      <c r="AZ464" s="268"/>
      <c r="BA464" s="268"/>
      <c r="BB464" s="268"/>
      <c r="BC464" s="268"/>
      <c r="BD464" s="268"/>
      <c r="BE464" s="268"/>
      <c r="BF464" s="268"/>
      <c r="BG464" s="268"/>
    </row>
    <row r="465" spans="1:59" ht="15.75" customHeight="1" x14ac:dyDescent="0.2">
      <c r="A465" s="307"/>
      <c r="B465" s="307"/>
      <c r="C465" s="308" t="s">
        <v>219</v>
      </c>
      <c r="D465" s="140">
        <f t="shared" ref="D465:AB465" si="291">D453/D68</f>
        <v>5.9577486053125012E-3</v>
      </c>
      <c r="E465" s="140">
        <f t="shared" si="291"/>
        <v>-3.394726201644676E-2</v>
      </c>
      <c r="F465" s="140">
        <f t="shared" si="291"/>
        <v>0.10332763409736492</v>
      </c>
      <c r="G465" s="140">
        <f t="shared" si="291"/>
        <v>0.15410243077343591</v>
      </c>
      <c r="H465" s="140">
        <f t="shared" si="291"/>
        <v>4.5236598451630722E-2</v>
      </c>
      <c r="I465" s="140">
        <f t="shared" si="291"/>
        <v>-9.2558437013072199E-4</v>
      </c>
      <c r="J465" s="140">
        <f t="shared" si="291"/>
        <v>-0.43523528829111569</v>
      </c>
      <c r="K465" s="140">
        <f t="shared" si="291"/>
        <v>-0.54249308044951172</v>
      </c>
      <c r="L465" s="140">
        <f t="shared" si="291"/>
        <v>-1.6689572126075214</v>
      </c>
      <c r="M465" s="140">
        <f t="shared" si="291"/>
        <v>-0.46418940537031345</v>
      </c>
      <c r="N465" s="140">
        <f t="shared" si="291"/>
        <v>-1.219661904683438</v>
      </c>
      <c r="O465" s="140">
        <f t="shared" si="291"/>
        <v>-0.14134498930166972</v>
      </c>
      <c r="P465" s="140">
        <f t="shared" si="291"/>
        <v>-1.5385222657934301</v>
      </c>
      <c r="Q465" s="140">
        <f t="shared" si="291"/>
        <v>-4.9144366289500638</v>
      </c>
      <c r="R465" s="140">
        <f t="shared" si="291"/>
        <v>-2.1229566874202952</v>
      </c>
      <c r="S465" s="140">
        <f t="shared" si="291"/>
        <v>-0.12955619283890743</v>
      </c>
      <c r="T465" s="140">
        <f t="shared" si="291"/>
        <v>-0.3660797816061932</v>
      </c>
      <c r="U465" s="140">
        <f t="shared" si="291"/>
        <v>-0.48708778448676276</v>
      </c>
      <c r="V465" s="140">
        <f t="shared" si="291"/>
        <v>-7.9831787197577012E-2</v>
      </c>
      <c r="W465" s="140">
        <f t="shared" si="291"/>
        <v>-0.23201357705649764</v>
      </c>
      <c r="X465" s="140">
        <f t="shared" si="291"/>
        <v>1.1443257765594798E-2</v>
      </c>
      <c r="Y465" s="140">
        <f t="shared" si="291"/>
        <v>-1.0069454057785808E-2</v>
      </c>
      <c r="Z465" s="140">
        <f t="shared" si="291"/>
        <v>-0.30471241456666454</v>
      </c>
      <c r="AA465" s="140">
        <f t="shared" si="291"/>
        <v>5.2207064513581931E-2</v>
      </c>
      <c r="AB465" s="140">
        <f t="shared" si="291"/>
        <v>-7.1493876516818905E-2</v>
      </c>
      <c r="AC465" s="268"/>
      <c r="AD465" s="268"/>
      <c r="AE465" s="268"/>
      <c r="AF465" s="268"/>
      <c r="AG465" s="268"/>
      <c r="AH465" s="268"/>
      <c r="AI465" s="268"/>
      <c r="AJ465" s="268"/>
      <c r="AK465" s="268"/>
      <c r="AL465" s="268"/>
      <c r="AM465" s="268"/>
      <c r="AN465" s="268"/>
      <c r="AO465" s="268"/>
      <c r="AP465" s="268"/>
      <c r="AQ465" s="268"/>
      <c r="AR465" s="268"/>
      <c r="AS465" s="268"/>
      <c r="AT465" s="268"/>
      <c r="AU465" s="268"/>
      <c r="AV465" s="268"/>
      <c r="AW465" s="268"/>
      <c r="AX465" s="268"/>
      <c r="AY465" s="268"/>
      <c r="AZ465" s="268"/>
      <c r="BA465" s="268"/>
      <c r="BB465" s="268"/>
      <c r="BC465" s="268"/>
      <c r="BD465" s="268"/>
      <c r="BE465" s="268"/>
      <c r="BF465" s="268"/>
      <c r="BG465" s="268"/>
    </row>
    <row r="466" spans="1:59" ht="15.75" customHeight="1" x14ac:dyDescent="0.2">
      <c r="A466" s="278"/>
      <c r="B466" s="278"/>
      <c r="C466" s="327" t="s">
        <v>244</v>
      </c>
      <c r="D466" s="262">
        <f t="shared" ref="D466:AB466" si="292">D456/D70</f>
        <v>0.22122058602853126</v>
      </c>
      <c r="E466" s="262">
        <f t="shared" si="292"/>
        <v>0.18743549760320091</v>
      </c>
      <c r="F466" s="262">
        <f t="shared" si="292"/>
        <v>0.27869881220307385</v>
      </c>
      <c r="G466" s="262">
        <f t="shared" si="292"/>
        <v>0.18088575720431985</v>
      </c>
      <c r="H466" s="262">
        <f t="shared" si="292"/>
        <v>0.21813967118145566</v>
      </c>
      <c r="I466" s="262">
        <f t="shared" si="292"/>
        <v>0.19230576010185479</v>
      </c>
      <c r="J466" s="262">
        <f t="shared" si="292"/>
        <v>0.17436464872317375</v>
      </c>
      <c r="K466" s="262">
        <f t="shared" si="292"/>
        <v>0.26845814691517111</v>
      </c>
      <c r="L466" s="262">
        <f t="shared" si="292"/>
        <v>0.10119674699585739</v>
      </c>
      <c r="M466" s="262">
        <f t="shared" si="292"/>
        <v>0.18439654086715984</v>
      </c>
      <c r="N466" s="262">
        <f t="shared" si="292"/>
        <v>0.17259349758316828</v>
      </c>
      <c r="O466" s="262">
        <f t="shared" si="292"/>
        <v>0.25003085374501705</v>
      </c>
      <c r="P466" s="262">
        <f t="shared" si="292"/>
        <v>0.26037902308560046</v>
      </c>
      <c r="Q466" s="262">
        <f t="shared" si="292"/>
        <v>0.18597128859545847</v>
      </c>
      <c r="R466" s="262">
        <f t="shared" si="292"/>
        <v>0.21819056434407186</v>
      </c>
      <c r="S466" s="262">
        <f t="shared" si="292"/>
        <v>0.28505948925258029</v>
      </c>
      <c r="T466" s="262">
        <f t="shared" si="292"/>
        <v>0.26909606376194151</v>
      </c>
      <c r="U466" s="262">
        <f t="shared" si="292"/>
        <v>0.25650085174255344</v>
      </c>
      <c r="V466" s="262">
        <f t="shared" si="292"/>
        <v>0.18390651530416557</v>
      </c>
      <c r="W466" s="262">
        <f t="shared" si="292"/>
        <v>0.24666650237326262</v>
      </c>
      <c r="X466" s="262">
        <f t="shared" si="292"/>
        <v>0.29740940837607432</v>
      </c>
      <c r="Y466" s="262">
        <f t="shared" si="292"/>
        <v>0.22628387034709582</v>
      </c>
      <c r="Z466" s="262">
        <f t="shared" si="292"/>
        <v>0.26571107737115945</v>
      </c>
      <c r="AA466" s="262">
        <f t="shared" si="292"/>
        <v>0.27742212452103804</v>
      </c>
      <c r="AB466" s="262">
        <f t="shared" si="292"/>
        <v>0.26674154953174156</v>
      </c>
      <c r="AC466" s="268"/>
      <c r="AD466" s="268"/>
      <c r="AE466" s="268"/>
      <c r="AF466" s="268"/>
      <c r="AG466" s="268"/>
      <c r="AH466" s="268"/>
      <c r="AI466" s="268"/>
      <c r="AJ466" s="268"/>
      <c r="AK466" s="268"/>
      <c r="AL466" s="268"/>
      <c r="AM466" s="268"/>
      <c r="AN466" s="268"/>
      <c r="AO466" s="268"/>
      <c r="AP466" s="268"/>
      <c r="AQ466" s="268"/>
      <c r="AR466" s="268"/>
      <c r="AS466" s="268"/>
      <c r="AT466" s="268"/>
      <c r="AU466" s="268"/>
      <c r="AV466" s="268"/>
      <c r="AW466" s="268"/>
      <c r="AX466" s="268"/>
      <c r="AY466" s="268"/>
      <c r="AZ466" s="268"/>
      <c r="BA466" s="268"/>
      <c r="BB466" s="268"/>
      <c r="BC466" s="268"/>
      <c r="BD466" s="268"/>
      <c r="BE466" s="268"/>
      <c r="BF466" s="268"/>
      <c r="BG466" s="268"/>
    </row>
    <row r="467" spans="1:59" ht="15.75" customHeight="1" x14ac:dyDescent="0.2">
      <c r="A467" s="189"/>
      <c r="B467" s="189"/>
      <c r="C467" s="252"/>
      <c r="D467" s="365"/>
      <c r="E467" s="365"/>
      <c r="F467" s="365"/>
      <c r="G467" s="365"/>
      <c r="H467" s="366"/>
      <c r="I467" s="365"/>
      <c r="J467" s="365"/>
      <c r="K467" s="365"/>
      <c r="L467" s="365"/>
      <c r="M467" s="366"/>
      <c r="N467" s="365"/>
      <c r="O467" s="365"/>
      <c r="P467" s="365"/>
      <c r="Q467" s="365"/>
      <c r="R467" s="367"/>
      <c r="S467" s="365"/>
      <c r="T467" s="365"/>
      <c r="U467" s="365"/>
      <c r="V467" s="365"/>
      <c r="W467" s="366"/>
      <c r="X467" s="365"/>
      <c r="Y467" s="307"/>
      <c r="Z467" s="307"/>
      <c r="AA467" s="307"/>
      <c r="AB467" s="366"/>
      <c r="AC467" s="307"/>
      <c r="AD467" s="307"/>
      <c r="AE467" s="307"/>
      <c r="AF467" s="307"/>
      <c r="AG467" s="307"/>
      <c r="AH467" s="307"/>
      <c r="AI467" s="307"/>
      <c r="AJ467" s="307"/>
      <c r="AK467" s="307"/>
      <c r="AL467" s="307"/>
      <c r="AM467" s="307"/>
      <c r="AN467" s="307"/>
      <c r="AO467" s="307"/>
      <c r="AP467" s="307"/>
      <c r="AQ467" s="307"/>
      <c r="AR467" s="307"/>
      <c r="AS467" s="307"/>
      <c r="AT467" s="307"/>
      <c r="AU467" s="307"/>
      <c r="AV467" s="307"/>
      <c r="AW467" s="307"/>
      <c r="AX467" s="307"/>
      <c r="AY467" s="307"/>
      <c r="AZ467" s="307"/>
      <c r="BA467" s="307"/>
      <c r="BB467" s="307"/>
      <c r="BC467" s="307"/>
      <c r="BD467" s="307"/>
      <c r="BE467" s="307"/>
      <c r="BF467" s="307"/>
      <c r="BG467" s="307"/>
    </row>
    <row r="468" spans="1:59" ht="15.75" customHeight="1" x14ac:dyDescent="0.2">
      <c r="A468" s="189"/>
      <c r="B468" s="189"/>
      <c r="C468" s="252"/>
      <c r="D468" s="365"/>
      <c r="E468" s="365"/>
      <c r="F468" s="365"/>
      <c r="G468" s="365"/>
      <c r="H468" s="366"/>
      <c r="I468" s="365"/>
      <c r="J468" s="365"/>
      <c r="K468" s="365"/>
      <c r="L468" s="365"/>
      <c r="M468" s="366"/>
      <c r="N468" s="365"/>
      <c r="O468" s="365"/>
      <c r="P468" s="365"/>
      <c r="Q468" s="365"/>
      <c r="R468" s="367"/>
      <c r="S468" s="365"/>
      <c r="T468" s="365"/>
      <c r="U468" s="365"/>
      <c r="V468" s="365"/>
      <c r="W468" s="366"/>
      <c r="X468" s="365"/>
      <c r="Y468" s="365"/>
      <c r="Z468" s="365"/>
      <c r="AA468" s="365"/>
      <c r="AB468" s="366"/>
      <c r="AC468" s="307"/>
      <c r="AD468" s="307"/>
      <c r="AE468" s="307"/>
      <c r="AF468" s="307"/>
      <c r="AG468" s="307"/>
      <c r="AH468" s="307"/>
      <c r="AI468" s="307"/>
      <c r="AJ468" s="307"/>
      <c r="AK468" s="307"/>
      <c r="AL468" s="307"/>
      <c r="AM468" s="307"/>
      <c r="AN468" s="307"/>
      <c r="AO468" s="307"/>
      <c r="AP468" s="307"/>
      <c r="AQ468" s="307"/>
      <c r="AR468" s="307"/>
      <c r="AS468" s="307"/>
      <c r="AT468" s="307"/>
      <c r="AU468" s="307"/>
      <c r="AV468" s="307"/>
      <c r="AW468" s="307"/>
      <c r="AX468" s="307"/>
      <c r="AY468" s="307"/>
      <c r="AZ468" s="307"/>
      <c r="BA468" s="307"/>
      <c r="BB468" s="307"/>
      <c r="BC468" s="307"/>
      <c r="BD468" s="307"/>
      <c r="BE468" s="307"/>
      <c r="BF468" s="307"/>
      <c r="BG468" s="307"/>
    </row>
    <row r="469" spans="1:59" ht="15.75" customHeight="1" x14ac:dyDescent="0.2">
      <c r="A469" s="189"/>
      <c r="B469" s="189"/>
      <c r="C469" s="252"/>
      <c r="D469" s="365"/>
      <c r="E469" s="365"/>
      <c r="F469" s="365"/>
      <c r="G469" s="365"/>
      <c r="H469" s="366"/>
      <c r="I469" s="365"/>
      <c r="J469" s="365"/>
      <c r="K469" s="365"/>
      <c r="L469" s="365"/>
      <c r="M469" s="366"/>
      <c r="N469" s="365"/>
      <c r="O469" s="365"/>
      <c r="P469" s="365"/>
      <c r="Q469" s="365"/>
      <c r="R469" s="367"/>
      <c r="S469" s="365"/>
      <c r="T469" s="365"/>
      <c r="U469" s="365"/>
      <c r="V469" s="365"/>
      <c r="W469" s="366"/>
      <c r="X469" s="365"/>
      <c r="Y469" s="365"/>
      <c r="Z469" s="365"/>
      <c r="AA469" s="365"/>
      <c r="AB469" s="366"/>
      <c r="AC469" s="307"/>
      <c r="AD469" s="307"/>
      <c r="AE469" s="307"/>
      <c r="AF469" s="307"/>
      <c r="AG469" s="307"/>
      <c r="AH469" s="307"/>
      <c r="AI469" s="307"/>
      <c r="AJ469" s="307"/>
      <c r="AK469" s="307"/>
      <c r="AL469" s="307"/>
      <c r="AM469" s="307"/>
      <c r="AN469" s="307"/>
      <c r="AO469" s="307"/>
      <c r="AP469" s="307"/>
      <c r="AQ469" s="307"/>
      <c r="AR469" s="307"/>
      <c r="AS469" s="307"/>
      <c r="AT469" s="307"/>
      <c r="AU469" s="307"/>
      <c r="AV469" s="307"/>
      <c r="AW469" s="307"/>
      <c r="AX469" s="307"/>
      <c r="AY469" s="307"/>
      <c r="AZ469" s="307"/>
      <c r="BA469" s="307"/>
      <c r="BB469" s="307"/>
      <c r="BC469" s="307"/>
      <c r="BD469" s="307"/>
      <c r="BE469" s="307"/>
      <c r="BF469" s="307"/>
      <c r="BG469" s="307"/>
    </row>
    <row r="470" spans="1:59" ht="15.75" customHeight="1" x14ac:dyDescent="0.2">
      <c r="A470" s="189"/>
      <c r="B470" s="189"/>
      <c r="C470" s="252"/>
      <c r="D470" s="365"/>
      <c r="E470" s="365"/>
      <c r="F470" s="365"/>
      <c r="G470" s="365"/>
      <c r="H470" s="366"/>
      <c r="I470" s="365"/>
      <c r="J470" s="365"/>
      <c r="K470" s="365"/>
      <c r="L470" s="365"/>
      <c r="M470" s="366"/>
      <c r="N470" s="365"/>
      <c r="O470" s="365"/>
      <c r="P470" s="365"/>
      <c r="Q470" s="365"/>
      <c r="R470" s="367"/>
      <c r="S470" s="365"/>
      <c r="T470" s="365"/>
      <c r="U470" s="365"/>
      <c r="V470" s="365"/>
      <c r="W470" s="366"/>
      <c r="X470" s="365"/>
      <c r="Y470" s="365"/>
      <c r="Z470" s="365"/>
      <c r="AA470" s="365"/>
      <c r="AB470" s="366"/>
      <c r="AC470" s="307"/>
      <c r="AD470" s="307"/>
      <c r="AE470" s="307"/>
      <c r="AF470" s="307"/>
      <c r="AG470" s="307"/>
      <c r="AH470" s="307"/>
      <c r="AI470" s="307"/>
      <c r="AJ470" s="307"/>
      <c r="AK470" s="307"/>
      <c r="AL470" s="307"/>
      <c r="AM470" s="307"/>
      <c r="AN470" s="307"/>
      <c r="AO470" s="307"/>
      <c r="AP470" s="307"/>
      <c r="AQ470" s="307"/>
      <c r="AR470" s="307"/>
      <c r="AS470" s="307"/>
      <c r="AT470" s="307"/>
      <c r="AU470" s="307"/>
      <c r="AV470" s="307"/>
      <c r="AW470" s="307"/>
      <c r="AX470" s="307"/>
      <c r="AY470" s="307"/>
      <c r="AZ470" s="307"/>
      <c r="BA470" s="307"/>
      <c r="BB470" s="307"/>
      <c r="BC470" s="307"/>
      <c r="BD470" s="307"/>
      <c r="BE470" s="307"/>
      <c r="BF470" s="307"/>
      <c r="BG470" s="307"/>
    </row>
    <row r="471" spans="1:59" ht="15.75" customHeight="1" x14ac:dyDescent="0.2">
      <c r="A471" s="189"/>
      <c r="B471" s="189"/>
      <c r="C471" s="252"/>
      <c r="D471" s="365"/>
      <c r="E471" s="365"/>
      <c r="F471" s="365"/>
      <c r="G471" s="365"/>
      <c r="H471" s="366"/>
      <c r="I471" s="365"/>
      <c r="J471" s="365"/>
      <c r="K471" s="365"/>
      <c r="L471" s="365"/>
      <c r="M471" s="366"/>
      <c r="N471" s="365"/>
      <c r="O471" s="365"/>
      <c r="P471" s="365"/>
      <c r="Q471" s="365"/>
      <c r="R471" s="367"/>
      <c r="S471" s="365"/>
      <c r="T471" s="365"/>
      <c r="U471" s="365"/>
      <c r="V471" s="365"/>
      <c r="W471" s="366"/>
      <c r="X471" s="365"/>
      <c r="Y471" s="365"/>
      <c r="Z471" s="365"/>
      <c r="AA471" s="365"/>
      <c r="AB471" s="366"/>
      <c r="AC471" s="307"/>
      <c r="AD471" s="307"/>
      <c r="AE471" s="307"/>
      <c r="AF471" s="307"/>
      <c r="AG471" s="307"/>
      <c r="AH471" s="307"/>
      <c r="AI471" s="307"/>
      <c r="AJ471" s="307"/>
      <c r="AK471" s="307"/>
      <c r="AL471" s="307"/>
      <c r="AM471" s="307"/>
      <c r="AN471" s="307"/>
      <c r="AO471" s="307"/>
      <c r="AP471" s="307"/>
      <c r="AQ471" s="307"/>
      <c r="AR471" s="307"/>
      <c r="AS471" s="307"/>
      <c r="AT471" s="307"/>
      <c r="AU471" s="307"/>
      <c r="AV471" s="307"/>
      <c r="AW471" s="307"/>
      <c r="AX471" s="307"/>
      <c r="AY471" s="307"/>
      <c r="AZ471" s="307"/>
      <c r="BA471" s="307"/>
      <c r="BB471" s="307"/>
      <c r="BC471" s="307"/>
      <c r="BD471" s="307"/>
      <c r="BE471" s="307"/>
      <c r="BF471" s="307"/>
      <c r="BG471" s="307"/>
    </row>
    <row r="472" spans="1:59" ht="15.75" customHeight="1" x14ac:dyDescent="0.2">
      <c r="A472" s="307"/>
      <c r="B472" s="307"/>
      <c r="C472" s="319"/>
      <c r="D472" s="370"/>
      <c r="E472" s="370"/>
      <c r="F472" s="370"/>
      <c r="G472" s="370"/>
      <c r="H472" s="371"/>
      <c r="I472" s="370"/>
      <c r="J472" s="370"/>
      <c r="K472" s="370"/>
      <c r="L472" s="370"/>
      <c r="M472" s="371"/>
      <c r="N472" s="370"/>
      <c r="O472" s="370"/>
      <c r="P472" s="370"/>
      <c r="Q472" s="370"/>
      <c r="R472" s="371"/>
      <c r="S472" s="370"/>
      <c r="T472" s="370"/>
      <c r="U472" s="370"/>
      <c r="V472" s="370"/>
      <c r="W472" s="371"/>
      <c r="X472" s="370"/>
      <c r="Y472" s="370"/>
      <c r="Z472" s="370"/>
      <c r="AA472" s="370"/>
      <c r="AB472" s="371"/>
      <c r="AC472" s="307"/>
      <c r="AD472" s="307"/>
      <c r="AE472" s="307"/>
      <c r="AF472" s="307"/>
      <c r="AG472" s="307"/>
      <c r="AH472" s="307"/>
      <c r="AI472" s="307"/>
      <c r="AJ472" s="307"/>
      <c r="AK472" s="307"/>
      <c r="AL472" s="307"/>
      <c r="AM472" s="307"/>
      <c r="AN472" s="307"/>
      <c r="AO472" s="307"/>
      <c r="AP472" s="307"/>
      <c r="AQ472" s="307"/>
      <c r="AR472" s="307"/>
      <c r="AS472" s="307"/>
      <c r="AT472" s="307"/>
      <c r="AU472" s="307"/>
      <c r="AV472" s="307"/>
      <c r="AW472" s="307"/>
      <c r="AX472" s="307"/>
      <c r="AY472" s="307"/>
      <c r="AZ472" s="307"/>
      <c r="BA472" s="307"/>
      <c r="BB472" s="307"/>
      <c r="BC472" s="307"/>
      <c r="BD472" s="307"/>
      <c r="BE472" s="307"/>
      <c r="BF472" s="307"/>
      <c r="BG472" s="307"/>
    </row>
    <row r="473" spans="1:59" ht="15.75" customHeight="1" x14ac:dyDescent="0.2">
      <c r="A473" s="307"/>
      <c r="B473" s="307"/>
      <c r="C473" s="319"/>
      <c r="D473" s="370"/>
      <c r="E473" s="370"/>
      <c r="F473" s="370"/>
      <c r="G473" s="370"/>
      <c r="H473" s="371"/>
      <c r="I473" s="370"/>
      <c r="J473" s="370"/>
      <c r="K473" s="370"/>
      <c r="L473" s="370"/>
      <c r="M473" s="371"/>
      <c r="N473" s="370"/>
      <c r="O473" s="370"/>
      <c r="P473" s="370"/>
      <c r="Q473" s="370"/>
      <c r="R473" s="371"/>
      <c r="S473" s="370"/>
      <c r="T473" s="370"/>
      <c r="U473" s="370"/>
      <c r="V473" s="370"/>
      <c r="W473" s="371"/>
      <c r="X473" s="370"/>
      <c r="Y473" s="370"/>
      <c r="Z473" s="370"/>
      <c r="AA473" s="370"/>
      <c r="AB473" s="371"/>
      <c r="AC473" s="307"/>
      <c r="AD473" s="307"/>
      <c r="AE473" s="307"/>
      <c r="AF473" s="307"/>
      <c r="AG473" s="307"/>
      <c r="AH473" s="307"/>
      <c r="AI473" s="307"/>
      <c r="AJ473" s="307"/>
      <c r="AK473" s="307"/>
      <c r="AL473" s="307"/>
      <c r="AM473" s="307"/>
      <c r="AN473" s="307"/>
      <c r="AO473" s="307"/>
      <c r="AP473" s="307"/>
      <c r="AQ473" s="307"/>
      <c r="AR473" s="307"/>
      <c r="AS473" s="307"/>
      <c r="AT473" s="307"/>
      <c r="AU473" s="307"/>
      <c r="AV473" s="307"/>
      <c r="AW473" s="307"/>
      <c r="AX473" s="307"/>
      <c r="AY473" s="307"/>
      <c r="AZ473" s="307"/>
      <c r="BA473" s="307"/>
      <c r="BB473" s="307"/>
      <c r="BC473" s="307"/>
      <c r="BD473" s="307"/>
      <c r="BE473" s="307"/>
      <c r="BF473" s="307"/>
      <c r="BG473" s="307"/>
    </row>
    <row r="474" spans="1:59" ht="15.75" customHeight="1" x14ac:dyDescent="0.2">
      <c r="A474" s="307"/>
      <c r="B474" s="307"/>
      <c r="C474" s="319"/>
      <c r="D474" s="370"/>
      <c r="E474" s="370"/>
      <c r="F474" s="370"/>
      <c r="G474" s="370"/>
      <c r="H474" s="371"/>
      <c r="I474" s="370"/>
      <c r="J474" s="370"/>
      <c r="K474" s="370"/>
      <c r="L474" s="370"/>
      <c r="M474" s="371"/>
      <c r="N474" s="370"/>
      <c r="O474" s="370"/>
      <c r="P474" s="370"/>
      <c r="Q474" s="370"/>
      <c r="R474" s="371"/>
      <c r="S474" s="370"/>
      <c r="T474" s="370"/>
      <c r="U474" s="370"/>
      <c r="V474" s="370"/>
      <c r="W474" s="371"/>
      <c r="X474" s="370"/>
      <c r="Y474" s="370"/>
      <c r="Z474" s="370"/>
      <c r="AA474" s="370"/>
      <c r="AB474" s="371"/>
      <c r="AC474" s="307"/>
      <c r="AD474" s="307"/>
      <c r="AE474" s="307"/>
      <c r="AF474" s="307"/>
      <c r="AG474" s="307"/>
      <c r="AH474" s="307"/>
      <c r="AI474" s="307"/>
      <c r="AJ474" s="307"/>
      <c r="AK474" s="307"/>
      <c r="AL474" s="307"/>
      <c r="AM474" s="307"/>
      <c r="AN474" s="307"/>
      <c r="AO474" s="307"/>
      <c r="AP474" s="307"/>
      <c r="AQ474" s="307"/>
      <c r="AR474" s="307"/>
      <c r="AS474" s="307"/>
      <c r="AT474" s="307"/>
      <c r="AU474" s="307"/>
      <c r="AV474" s="307"/>
      <c r="AW474" s="307"/>
      <c r="AX474" s="307"/>
      <c r="AY474" s="307"/>
      <c r="AZ474" s="307"/>
      <c r="BA474" s="307"/>
      <c r="BB474" s="307"/>
      <c r="BC474" s="307"/>
      <c r="BD474" s="307"/>
      <c r="BE474" s="307"/>
      <c r="BF474" s="307"/>
      <c r="BG474" s="307"/>
    </row>
    <row r="475" spans="1:59" ht="15.75" customHeight="1" x14ac:dyDescent="0.2">
      <c r="A475" s="307"/>
      <c r="B475" s="307"/>
      <c r="C475" s="319"/>
      <c r="D475" s="370"/>
      <c r="E475" s="370"/>
      <c r="F475" s="370"/>
      <c r="G475" s="370"/>
      <c r="H475" s="371"/>
      <c r="I475" s="370"/>
      <c r="J475" s="370"/>
      <c r="K475" s="370"/>
      <c r="L475" s="370"/>
      <c r="M475" s="371"/>
      <c r="N475" s="370"/>
      <c r="O475" s="370"/>
      <c r="P475" s="370"/>
      <c r="Q475" s="370"/>
      <c r="R475" s="371"/>
      <c r="S475" s="370"/>
      <c r="T475" s="370"/>
      <c r="U475" s="370"/>
      <c r="V475" s="370"/>
      <c r="W475" s="371"/>
      <c r="X475" s="370"/>
      <c r="Y475" s="370"/>
      <c r="Z475" s="370"/>
      <c r="AA475" s="370"/>
      <c r="AB475" s="371"/>
      <c r="AC475" s="307"/>
      <c r="AD475" s="307"/>
      <c r="AE475" s="307"/>
      <c r="AF475" s="307"/>
      <c r="AG475" s="307"/>
      <c r="AH475" s="307"/>
      <c r="AI475" s="307"/>
      <c r="AJ475" s="307"/>
      <c r="AK475" s="307"/>
      <c r="AL475" s="307"/>
      <c r="AM475" s="307"/>
      <c r="AN475" s="307"/>
      <c r="AO475" s="307"/>
      <c r="AP475" s="307"/>
      <c r="AQ475" s="307"/>
      <c r="AR475" s="307"/>
      <c r="AS475" s="307"/>
      <c r="AT475" s="307"/>
      <c r="AU475" s="307"/>
      <c r="AV475" s="307"/>
      <c r="AW475" s="307"/>
      <c r="AX475" s="307"/>
      <c r="AY475" s="307"/>
      <c r="AZ475" s="307"/>
      <c r="BA475" s="307"/>
      <c r="BB475" s="307"/>
      <c r="BC475" s="307"/>
      <c r="BD475" s="307"/>
      <c r="BE475" s="307"/>
      <c r="BF475" s="307"/>
      <c r="BG475" s="307"/>
    </row>
    <row r="476" spans="1:59" ht="15.75" customHeight="1" x14ac:dyDescent="0.2">
      <c r="A476" s="307"/>
      <c r="B476" s="307"/>
      <c r="C476" s="319"/>
      <c r="D476" s="370"/>
      <c r="E476" s="370"/>
      <c r="F476" s="370"/>
      <c r="G476" s="370"/>
      <c r="H476" s="371"/>
      <c r="I476" s="370"/>
      <c r="J476" s="370"/>
      <c r="K476" s="370"/>
      <c r="L476" s="370"/>
      <c r="M476" s="371"/>
      <c r="N476" s="370"/>
      <c r="O476" s="370"/>
      <c r="P476" s="370"/>
      <c r="Q476" s="370"/>
      <c r="R476" s="371"/>
      <c r="S476" s="370"/>
      <c r="T476" s="370"/>
      <c r="U476" s="370"/>
      <c r="V476" s="370"/>
      <c r="W476" s="371"/>
      <c r="X476" s="370"/>
      <c r="Y476" s="370"/>
      <c r="Z476" s="370"/>
      <c r="AA476" s="370"/>
      <c r="AB476" s="371"/>
      <c r="AC476" s="307"/>
      <c r="AD476" s="307"/>
      <c r="AE476" s="307"/>
      <c r="AF476" s="307"/>
      <c r="AG476" s="307"/>
      <c r="AH476" s="307"/>
      <c r="AI476" s="307"/>
      <c r="AJ476" s="307"/>
      <c r="AK476" s="307"/>
      <c r="AL476" s="307"/>
      <c r="AM476" s="307"/>
      <c r="AN476" s="307"/>
      <c r="AO476" s="307"/>
      <c r="AP476" s="307"/>
      <c r="AQ476" s="307"/>
      <c r="AR476" s="307"/>
      <c r="AS476" s="307"/>
      <c r="AT476" s="307"/>
      <c r="AU476" s="307"/>
      <c r="AV476" s="307"/>
      <c r="AW476" s="307"/>
      <c r="AX476" s="307"/>
      <c r="AY476" s="307"/>
      <c r="AZ476" s="307"/>
      <c r="BA476" s="307"/>
      <c r="BB476" s="307"/>
      <c r="BC476" s="307"/>
      <c r="BD476" s="307"/>
      <c r="BE476" s="307"/>
      <c r="BF476" s="307"/>
      <c r="BG476" s="307"/>
    </row>
    <row r="477" spans="1:59" ht="15.75" customHeight="1" x14ac:dyDescent="0.2">
      <c r="A477" s="307"/>
      <c r="B477" s="307"/>
      <c r="C477" s="319"/>
      <c r="D477" s="370"/>
      <c r="E477" s="370"/>
      <c r="F477" s="370"/>
      <c r="G477" s="370"/>
      <c r="H477" s="371"/>
      <c r="I477" s="370"/>
      <c r="J477" s="370"/>
      <c r="K477" s="370"/>
      <c r="L477" s="370"/>
      <c r="M477" s="371"/>
      <c r="N477" s="370"/>
      <c r="O477" s="370"/>
      <c r="P477" s="370"/>
      <c r="Q477" s="370"/>
      <c r="R477" s="371"/>
      <c r="S477" s="370"/>
      <c r="T477" s="370"/>
      <c r="U477" s="370"/>
      <c r="V477" s="370"/>
      <c r="W477" s="371"/>
      <c r="X477" s="370"/>
      <c r="Y477" s="370"/>
      <c r="Z477" s="370"/>
      <c r="AA477" s="370"/>
      <c r="AB477" s="371"/>
      <c r="AC477" s="307"/>
      <c r="AD477" s="307"/>
      <c r="AE477" s="307"/>
      <c r="AF477" s="307"/>
      <c r="AG477" s="307"/>
      <c r="AH477" s="307"/>
      <c r="AI477" s="307"/>
      <c r="AJ477" s="307"/>
      <c r="AK477" s="307"/>
      <c r="AL477" s="307"/>
      <c r="AM477" s="307"/>
      <c r="AN477" s="307"/>
      <c r="AO477" s="307"/>
      <c r="AP477" s="307"/>
      <c r="AQ477" s="307"/>
      <c r="AR477" s="307"/>
      <c r="AS477" s="307"/>
      <c r="AT477" s="307"/>
      <c r="AU477" s="307"/>
      <c r="AV477" s="307"/>
      <c r="AW477" s="307"/>
      <c r="AX477" s="307"/>
      <c r="AY477" s="307"/>
      <c r="AZ477" s="307"/>
      <c r="BA477" s="307"/>
      <c r="BB477" s="307"/>
      <c r="BC477" s="307"/>
      <c r="BD477" s="307"/>
      <c r="BE477" s="307"/>
      <c r="BF477" s="307"/>
      <c r="BG477" s="307"/>
    </row>
    <row r="478" spans="1:59" ht="15.75" customHeight="1" x14ac:dyDescent="0.2">
      <c r="A478" s="307"/>
      <c r="B478" s="307"/>
      <c r="C478" s="319"/>
      <c r="D478" s="370"/>
      <c r="E478" s="370"/>
      <c r="F478" s="370"/>
      <c r="G478" s="370"/>
      <c r="H478" s="371"/>
      <c r="I478" s="370"/>
      <c r="J478" s="370"/>
      <c r="K478" s="370"/>
      <c r="L478" s="370"/>
      <c r="M478" s="371"/>
      <c r="N478" s="370"/>
      <c r="O478" s="370"/>
      <c r="P478" s="370"/>
      <c r="Q478" s="370"/>
      <c r="R478" s="371"/>
      <c r="S478" s="370"/>
      <c r="T478" s="370"/>
      <c r="U478" s="370"/>
      <c r="V478" s="370"/>
      <c r="W478" s="371"/>
      <c r="X478" s="370"/>
      <c r="Y478" s="370"/>
      <c r="Z478" s="370"/>
      <c r="AA478" s="370"/>
      <c r="AB478" s="371"/>
      <c r="AC478" s="307"/>
      <c r="AD478" s="307"/>
      <c r="AE478" s="307"/>
      <c r="AF478" s="307"/>
      <c r="AG478" s="307"/>
      <c r="AH478" s="307"/>
      <c r="AI478" s="307"/>
      <c r="AJ478" s="307"/>
      <c r="AK478" s="307"/>
      <c r="AL478" s="307"/>
      <c r="AM478" s="307"/>
      <c r="AN478" s="307"/>
      <c r="AO478" s="307"/>
      <c r="AP478" s="307"/>
      <c r="AQ478" s="307"/>
      <c r="AR478" s="307"/>
      <c r="AS478" s="307"/>
      <c r="AT478" s="307"/>
      <c r="AU478" s="307"/>
      <c r="AV478" s="307"/>
      <c r="AW478" s="307"/>
      <c r="AX478" s="307"/>
      <c r="AY478" s="307"/>
      <c r="AZ478" s="307"/>
      <c r="BA478" s="307"/>
      <c r="BB478" s="307"/>
      <c r="BC478" s="307"/>
      <c r="BD478" s="307"/>
      <c r="BE478" s="307"/>
      <c r="BF478" s="307"/>
      <c r="BG478" s="307"/>
    </row>
    <row r="479" spans="1:59" ht="15.75" customHeight="1" x14ac:dyDescent="0.2">
      <c r="A479" s="307"/>
      <c r="B479" s="307"/>
      <c r="C479" s="319"/>
      <c r="D479" s="370"/>
      <c r="E479" s="370"/>
      <c r="F479" s="370"/>
      <c r="G479" s="370"/>
      <c r="H479" s="371"/>
      <c r="I479" s="370"/>
      <c r="J479" s="370"/>
      <c r="K479" s="370"/>
      <c r="L479" s="370"/>
      <c r="M479" s="371"/>
      <c r="N479" s="370"/>
      <c r="O479" s="370"/>
      <c r="P479" s="370"/>
      <c r="Q479" s="370"/>
      <c r="R479" s="371"/>
      <c r="S479" s="370"/>
      <c r="T479" s="370"/>
      <c r="U479" s="370"/>
      <c r="V479" s="370"/>
      <c r="W479" s="371"/>
      <c r="X479" s="370"/>
      <c r="Y479" s="370"/>
      <c r="Z479" s="370"/>
      <c r="AA479" s="370"/>
      <c r="AB479" s="371"/>
      <c r="AC479" s="307"/>
      <c r="AD479" s="307"/>
      <c r="AE479" s="307"/>
      <c r="AF479" s="307"/>
      <c r="AG479" s="307"/>
      <c r="AH479" s="307"/>
      <c r="AI479" s="307"/>
      <c r="AJ479" s="307"/>
      <c r="AK479" s="307"/>
      <c r="AL479" s="307"/>
      <c r="AM479" s="307"/>
      <c r="AN479" s="307"/>
      <c r="AO479" s="307"/>
      <c r="AP479" s="307"/>
      <c r="AQ479" s="307"/>
      <c r="AR479" s="307"/>
      <c r="AS479" s="307"/>
      <c r="AT479" s="307"/>
      <c r="AU479" s="307"/>
      <c r="AV479" s="307"/>
      <c r="AW479" s="307"/>
      <c r="AX479" s="307"/>
      <c r="AY479" s="307"/>
      <c r="AZ479" s="307"/>
      <c r="BA479" s="307"/>
      <c r="BB479" s="307"/>
      <c r="BC479" s="307"/>
      <c r="BD479" s="307"/>
      <c r="BE479" s="307"/>
      <c r="BF479" s="307"/>
      <c r="BG479" s="307"/>
    </row>
    <row r="480" spans="1:59" ht="15.75" customHeight="1" x14ac:dyDescent="0.2">
      <c r="A480" s="307"/>
      <c r="B480" s="307"/>
      <c r="C480" s="319"/>
      <c r="D480" s="370"/>
      <c r="E480" s="370"/>
      <c r="F480" s="370"/>
      <c r="G480" s="370"/>
      <c r="H480" s="371"/>
      <c r="I480" s="370"/>
      <c r="J480" s="370"/>
      <c r="K480" s="370"/>
      <c r="L480" s="370"/>
      <c r="M480" s="371"/>
      <c r="N480" s="370"/>
      <c r="O480" s="370"/>
      <c r="P480" s="370"/>
      <c r="Q480" s="370"/>
      <c r="R480" s="371"/>
      <c r="S480" s="370"/>
      <c r="T480" s="370"/>
      <c r="U480" s="370"/>
      <c r="V480" s="370"/>
      <c r="W480" s="371"/>
      <c r="X480" s="370"/>
      <c r="Y480" s="370"/>
      <c r="Z480" s="370"/>
      <c r="AA480" s="370"/>
      <c r="AB480" s="371"/>
      <c r="AC480" s="307"/>
      <c r="AD480" s="307"/>
      <c r="AE480" s="307"/>
      <c r="AF480" s="307"/>
      <c r="AG480" s="307"/>
      <c r="AH480" s="307"/>
      <c r="AI480" s="307"/>
      <c r="AJ480" s="307"/>
      <c r="AK480" s="307"/>
      <c r="AL480" s="307"/>
      <c r="AM480" s="307"/>
      <c r="AN480" s="307"/>
      <c r="AO480" s="307"/>
      <c r="AP480" s="307"/>
      <c r="AQ480" s="307"/>
      <c r="AR480" s="307"/>
      <c r="AS480" s="307"/>
      <c r="AT480" s="307"/>
      <c r="AU480" s="307"/>
      <c r="AV480" s="307"/>
      <c r="AW480" s="307"/>
      <c r="AX480" s="307"/>
      <c r="AY480" s="307"/>
      <c r="AZ480" s="307"/>
      <c r="BA480" s="307"/>
      <c r="BB480" s="307"/>
      <c r="BC480" s="307"/>
      <c r="BD480" s="307"/>
      <c r="BE480" s="307"/>
      <c r="BF480" s="307"/>
      <c r="BG480" s="307"/>
    </row>
    <row r="481" spans="1:59" ht="15.75" customHeight="1" x14ac:dyDescent="0.2">
      <c r="A481" s="307"/>
      <c r="B481" s="307"/>
      <c r="C481" s="319"/>
      <c r="D481" s="370"/>
      <c r="E481" s="370"/>
      <c r="F481" s="370"/>
      <c r="G481" s="370"/>
      <c r="H481" s="371"/>
      <c r="I481" s="370"/>
      <c r="J481" s="370"/>
      <c r="K481" s="370"/>
      <c r="L481" s="370"/>
      <c r="M481" s="371"/>
      <c r="N481" s="370"/>
      <c r="O481" s="370"/>
      <c r="P481" s="370"/>
      <c r="Q481" s="370"/>
      <c r="R481" s="371"/>
      <c r="S481" s="370"/>
      <c r="T481" s="370"/>
      <c r="U481" s="370"/>
      <c r="V481" s="370"/>
      <c r="W481" s="371"/>
      <c r="X481" s="370"/>
      <c r="Y481" s="370"/>
      <c r="Z481" s="370"/>
      <c r="AA481" s="370"/>
      <c r="AB481" s="371"/>
      <c r="AC481" s="307"/>
      <c r="AD481" s="307"/>
      <c r="AE481" s="307"/>
      <c r="AF481" s="307"/>
      <c r="AG481" s="307"/>
      <c r="AH481" s="307"/>
      <c r="AI481" s="307"/>
      <c r="AJ481" s="307"/>
      <c r="AK481" s="307"/>
      <c r="AL481" s="307"/>
      <c r="AM481" s="307"/>
      <c r="AN481" s="307"/>
      <c r="AO481" s="307"/>
      <c r="AP481" s="307"/>
      <c r="AQ481" s="307"/>
      <c r="AR481" s="307"/>
      <c r="AS481" s="307"/>
      <c r="AT481" s="307"/>
      <c r="AU481" s="307"/>
      <c r="AV481" s="307"/>
      <c r="AW481" s="307"/>
      <c r="AX481" s="307"/>
      <c r="AY481" s="307"/>
      <c r="AZ481" s="307"/>
      <c r="BA481" s="307"/>
      <c r="BB481" s="307"/>
      <c r="BC481" s="307"/>
      <c r="BD481" s="307"/>
      <c r="BE481" s="307"/>
      <c r="BF481" s="307"/>
      <c r="BG481" s="307"/>
    </row>
    <row r="482" spans="1:59" ht="15.75" customHeight="1" x14ac:dyDescent="0.2">
      <c r="A482" s="307"/>
      <c r="B482" s="307"/>
      <c r="C482" s="319"/>
      <c r="D482" s="370"/>
      <c r="E482" s="370"/>
      <c r="F482" s="370"/>
      <c r="G482" s="370"/>
      <c r="H482" s="371"/>
      <c r="I482" s="370"/>
      <c r="J482" s="370"/>
      <c r="K482" s="370"/>
      <c r="L482" s="370"/>
      <c r="M482" s="371"/>
      <c r="N482" s="370"/>
      <c r="O482" s="370"/>
      <c r="P482" s="370"/>
      <c r="Q482" s="370"/>
      <c r="R482" s="371"/>
      <c r="S482" s="370"/>
      <c r="T482" s="370"/>
      <c r="U482" s="370"/>
      <c r="V482" s="370"/>
      <c r="W482" s="371"/>
      <c r="X482" s="370"/>
      <c r="Y482" s="370"/>
      <c r="Z482" s="370"/>
      <c r="AA482" s="370"/>
      <c r="AB482" s="371"/>
      <c r="AC482" s="307"/>
      <c r="AD482" s="307"/>
      <c r="AE482" s="307"/>
      <c r="AF482" s="307"/>
      <c r="AG482" s="307"/>
      <c r="AH482" s="307"/>
      <c r="AI482" s="307"/>
      <c r="AJ482" s="307"/>
      <c r="AK482" s="307"/>
      <c r="AL482" s="307"/>
      <c r="AM482" s="307"/>
      <c r="AN482" s="307"/>
      <c r="AO482" s="307"/>
      <c r="AP482" s="307"/>
      <c r="AQ482" s="307"/>
      <c r="AR482" s="307"/>
      <c r="AS482" s="307"/>
      <c r="AT482" s="307"/>
      <c r="AU482" s="307"/>
      <c r="AV482" s="307"/>
      <c r="AW482" s="307"/>
      <c r="AX482" s="307"/>
      <c r="AY482" s="307"/>
      <c r="AZ482" s="307"/>
      <c r="BA482" s="307"/>
      <c r="BB482" s="307"/>
      <c r="BC482" s="307"/>
      <c r="BD482" s="307"/>
      <c r="BE482" s="307"/>
      <c r="BF482" s="307"/>
      <c r="BG482" s="307"/>
    </row>
    <row r="483" spans="1:59" ht="15.75" customHeight="1" x14ac:dyDescent="0.2">
      <c r="A483" s="307"/>
      <c r="B483" s="307"/>
      <c r="C483" s="319"/>
      <c r="D483" s="370"/>
      <c r="E483" s="370"/>
      <c r="F483" s="370"/>
      <c r="G483" s="370"/>
      <c r="H483" s="371"/>
      <c r="I483" s="370"/>
      <c r="J483" s="370"/>
      <c r="K483" s="370"/>
      <c r="L483" s="370"/>
      <c r="M483" s="371"/>
      <c r="N483" s="370"/>
      <c r="O483" s="370"/>
      <c r="P483" s="370"/>
      <c r="Q483" s="370"/>
      <c r="R483" s="371"/>
      <c r="S483" s="370"/>
      <c r="T483" s="370"/>
      <c r="U483" s="370"/>
      <c r="V483" s="370"/>
      <c r="W483" s="371"/>
      <c r="X483" s="370"/>
      <c r="Y483" s="370"/>
      <c r="Z483" s="370"/>
      <c r="AA483" s="370"/>
      <c r="AB483" s="371"/>
      <c r="AC483" s="307"/>
      <c r="AD483" s="307"/>
      <c r="AE483" s="307"/>
      <c r="AF483" s="307"/>
      <c r="AG483" s="307"/>
      <c r="AH483" s="307"/>
      <c r="AI483" s="307"/>
      <c r="AJ483" s="307"/>
      <c r="AK483" s="307"/>
      <c r="AL483" s="307"/>
      <c r="AM483" s="307"/>
      <c r="AN483" s="307"/>
      <c r="AO483" s="307"/>
      <c r="AP483" s="307"/>
      <c r="AQ483" s="307"/>
      <c r="AR483" s="307"/>
      <c r="AS483" s="307"/>
      <c r="AT483" s="307"/>
      <c r="AU483" s="307"/>
      <c r="AV483" s="307"/>
      <c r="AW483" s="307"/>
      <c r="AX483" s="307"/>
      <c r="AY483" s="307"/>
      <c r="AZ483" s="307"/>
      <c r="BA483" s="307"/>
      <c r="BB483" s="307"/>
      <c r="BC483" s="307"/>
      <c r="BD483" s="307"/>
      <c r="BE483" s="307"/>
      <c r="BF483" s="307"/>
      <c r="BG483" s="307"/>
    </row>
    <row r="484" spans="1:59" ht="15.75" customHeight="1" x14ac:dyDescent="0.2">
      <c r="A484" s="307"/>
      <c r="B484" s="307"/>
      <c r="C484" s="319"/>
      <c r="D484" s="370"/>
      <c r="E484" s="370"/>
      <c r="F484" s="370"/>
      <c r="G484" s="370"/>
      <c r="H484" s="371"/>
      <c r="I484" s="370"/>
      <c r="J484" s="370"/>
      <c r="K484" s="370"/>
      <c r="L484" s="370"/>
      <c r="M484" s="371"/>
      <c r="N484" s="370"/>
      <c r="O484" s="370"/>
      <c r="P484" s="370"/>
      <c r="Q484" s="370"/>
      <c r="R484" s="371"/>
      <c r="S484" s="370"/>
      <c r="T484" s="370"/>
      <c r="U484" s="370"/>
      <c r="V484" s="370"/>
      <c r="W484" s="371"/>
      <c r="X484" s="370"/>
      <c r="Y484" s="370"/>
      <c r="Z484" s="370"/>
      <c r="AA484" s="370"/>
      <c r="AB484" s="371"/>
      <c r="AC484" s="307"/>
      <c r="AD484" s="307"/>
      <c r="AE484" s="307"/>
      <c r="AF484" s="307"/>
      <c r="AG484" s="307"/>
      <c r="AH484" s="307"/>
      <c r="AI484" s="307"/>
      <c r="AJ484" s="307"/>
      <c r="AK484" s="307"/>
      <c r="AL484" s="307"/>
      <c r="AM484" s="307"/>
      <c r="AN484" s="307"/>
      <c r="AO484" s="307"/>
      <c r="AP484" s="307"/>
      <c r="AQ484" s="307"/>
      <c r="AR484" s="307"/>
      <c r="AS484" s="307"/>
      <c r="AT484" s="307"/>
      <c r="AU484" s="307"/>
      <c r="AV484" s="307"/>
      <c r="AW484" s="307"/>
      <c r="AX484" s="307"/>
      <c r="AY484" s="307"/>
      <c r="AZ484" s="307"/>
      <c r="BA484" s="307"/>
      <c r="BB484" s="307"/>
      <c r="BC484" s="307"/>
      <c r="BD484" s="307"/>
      <c r="BE484" s="307"/>
      <c r="BF484" s="307"/>
      <c r="BG484" s="307"/>
    </row>
    <row r="485" spans="1:59" ht="15.75" customHeight="1" x14ac:dyDescent="0.2">
      <c r="A485" s="307"/>
      <c r="B485" s="307"/>
      <c r="C485" s="319"/>
      <c r="D485" s="370"/>
      <c r="E485" s="370"/>
      <c r="F485" s="370"/>
      <c r="G485" s="370"/>
      <c r="H485" s="371"/>
      <c r="I485" s="370"/>
      <c r="J485" s="370"/>
      <c r="K485" s="370"/>
      <c r="L485" s="370"/>
      <c r="M485" s="371"/>
      <c r="N485" s="370"/>
      <c r="O485" s="370"/>
      <c r="P485" s="370"/>
      <c r="Q485" s="370"/>
      <c r="R485" s="371"/>
      <c r="S485" s="370"/>
      <c r="T485" s="370"/>
      <c r="U485" s="370"/>
      <c r="V485" s="370"/>
      <c r="W485" s="371"/>
      <c r="X485" s="370"/>
      <c r="Y485" s="370"/>
      <c r="Z485" s="370"/>
      <c r="AA485" s="370"/>
      <c r="AB485" s="371"/>
      <c r="AC485" s="307"/>
      <c r="AD485" s="307"/>
      <c r="AE485" s="307"/>
      <c r="AF485" s="307"/>
      <c r="AG485" s="307"/>
      <c r="AH485" s="307"/>
      <c r="AI485" s="307"/>
      <c r="AJ485" s="307"/>
      <c r="AK485" s="307"/>
      <c r="AL485" s="307"/>
      <c r="AM485" s="307"/>
      <c r="AN485" s="307"/>
      <c r="AO485" s="307"/>
      <c r="AP485" s="307"/>
      <c r="AQ485" s="307"/>
      <c r="AR485" s="307"/>
      <c r="AS485" s="307"/>
      <c r="AT485" s="307"/>
      <c r="AU485" s="307"/>
      <c r="AV485" s="307"/>
      <c r="AW485" s="307"/>
      <c r="AX485" s="307"/>
      <c r="AY485" s="307"/>
      <c r="AZ485" s="307"/>
      <c r="BA485" s="307"/>
      <c r="BB485" s="307"/>
      <c r="BC485" s="307"/>
      <c r="BD485" s="307"/>
      <c r="BE485" s="307"/>
      <c r="BF485" s="307"/>
      <c r="BG485" s="307"/>
    </row>
    <row r="486" spans="1:59" ht="15.75" customHeight="1" x14ac:dyDescent="0.2">
      <c r="A486" s="307"/>
      <c r="B486" s="307"/>
      <c r="C486" s="319"/>
      <c r="D486" s="370"/>
      <c r="E486" s="370"/>
      <c r="F486" s="370"/>
      <c r="G486" s="370"/>
      <c r="H486" s="371"/>
      <c r="I486" s="370"/>
      <c r="J486" s="370"/>
      <c r="K486" s="370"/>
      <c r="L486" s="370"/>
      <c r="M486" s="371"/>
      <c r="N486" s="370"/>
      <c r="O486" s="370"/>
      <c r="P486" s="370"/>
      <c r="Q486" s="370"/>
      <c r="R486" s="371"/>
      <c r="S486" s="370"/>
      <c r="T486" s="370"/>
      <c r="U486" s="370"/>
      <c r="V486" s="370"/>
      <c r="W486" s="371"/>
      <c r="X486" s="370"/>
      <c r="Y486" s="370"/>
      <c r="Z486" s="370"/>
      <c r="AA486" s="370"/>
      <c r="AB486" s="371"/>
      <c r="AC486" s="307"/>
      <c r="AD486" s="307"/>
      <c r="AE486" s="307"/>
      <c r="AF486" s="307"/>
      <c r="AG486" s="307"/>
      <c r="AH486" s="307"/>
      <c r="AI486" s="307"/>
      <c r="AJ486" s="307"/>
      <c r="AK486" s="307"/>
      <c r="AL486" s="307"/>
      <c r="AM486" s="307"/>
      <c r="AN486" s="307"/>
      <c r="AO486" s="307"/>
      <c r="AP486" s="307"/>
      <c r="AQ486" s="307"/>
      <c r="AR486" s="307"/>
      <c r="AS486" s="307"/>
      <c r="AT486" s="307"/>
      <c r="AU486" s="307"/>
      <c r="AV486" s="307"/>
      <c r="AW486" s="307"/>
      <c r="AX486" s="307"/>
      <c r="AY486" s="307"/>
      <c r="AZ486" s="307"/>
      <c r="BA486" s="307"/>
      <c r="BB486" s="307"/>
      <c r="BC486" s="307"/>
      <c r="BD486" s="307"/>
      <c r="BE486" s="307"/>
      <c r="BF486" s="307"/>
      <c r="BG486" s="307"/>
    </row>
    <row r="487" spans="1:59" ht="15.75" customHeight="1" x14ac:dyDescent="0.2">
      <c r="A487" s="307"/>
      <c r="B487" s="307"/>
      <c r="C487" s="319"/>
      <c r="D487" s="370"/>
      <c r="E487" s="370"/>
      <c r="F487" s="370"/>
      <c r="G487" s="370"/>
      <c r="H487" s="371"/>
      <c r="I487" s="370"/>
      <c r="J487" s="370"/>
      <c r="K487" s="370"/>
      <c r="L487" s="370"/>
      <c r="M487" s="371"/>
      <c r="N487" s="370"/>
      <c r="O487" s="370"/>
      <c r="P487" s="370"/>
      <c r="Q487" s="370"/>
      <c r="R487" s="371"/>
      <c r="S487" s="370"/>
      <c r="T487" s="370"/>
      <c r="U487" s="370"/>
      <c r="V487" s="370"/>
      <c r="W487" s="371"/>
      <c r="X487" s="370"/>
      <c r="Y487" s="370"/>
      <c r="Z487" s="370"/>
      <c r="AA487" s="370"/>
      <c r="AB487" s="371"/>
      <c r="AC487" s="307"/>
      <c r="AD487" s="307"/>
      <c r="AE487" s="307"/>
      <c r="AF487" s="307"/>
      <c r="AG487" s="307"/>
      <c r="AH487" s="307"/>
      <c r="AI487" s="307"/>
      <c r="AJ487" s="307"/>
      <c r="AK487" s="307"/>
      <c r="AL487" s="307"/>
      <c r="AM487" s="307"/>
      <c r="AN487" s="307"/>
      <c r="AO487" s="307"/>
      <c r="AP487" s="307"/>
      <c r="AQ487" s="307"/>
      <c r="AR487" s="307"/>
      <c r="AS487" s="307"/>
      <c r="AT487" s="307"/>
      <c r="AU487" s="307"/>
      <c r="AV487" s="307"/>
      <c r="AW487" s="307"/>
      <c r="AX487" s="307"/>
      <c r="AY487" s="307"/>
      <c r="AZ487" s="307"/>
      <c r="BA487" s="307"/>
      <c r="BB487" s="307"/>
      <c r="BC487" s="307"/>
      <c r="BD487" s="307"/>
      <c r="BE487" s="307"/>
      <c r="BF487" s="307"/>
      <c r="BG487" s="307"/>
    </row>
    <row r="488" spans="1:59" ht="15.75" customHeight="1" x14ac:dyDescent="0.2">
      <c r="A488" s="307"/>
      <c r="B488" s="307"/>
      <c r="C488" s="319"/>
      <c r="D488" s="370"/>
      <c r="E488" s="370"/>
      <c r="F488" s="370"/>
      <c r="G488" s="370"/>
      <c r="H488" s="371"/>
      <c r="I488" s="370"/>
      <c r="J488" s="370"/>
      <c r="K488" s="370"/>
      <c r="L488" s="370"/>
      <c r="M488" s="371"/>
      <c r="N488" s="370"/>
      <c r="O488" s="370"/>
      <c r="P488" s="370"/>
      <c r="Q488" s="370"/>
      <c r="R488" s="371"/>
      <c r="S488" s="370"/>
      <c r="T488" s="370"/>
      <c r="U488" s="370"/>
      <c r="V488" s="370"/>
      <c r="W488" s="371"/>
      <c r="X488" s="370"/>
      <c r="Y488" s="370"/>
      <c r="Z488" s="370"/>
      <c r="AA488" s="370"/>
      <c r="AB488" s="371"/>
      <c r="AC488" s="307"/>
      <c r="AD488" s="307"/>
      <c r="AE488" s="307"/>
      <c r="AF488" s="307"/>
      <c r="AG488" s="307"/>
      <c r="AH488" s="307"/>
      <c r="AI488" s="307"/>
      <c r="AJ488" s="307"/>
      <c r="AK488" s="307"/>
      <c r="AL488" s="307"/>
      <c r="AM488" s="307"/>
      <c r="AN488" s="307"/>
      <c r="AO488" s="307"/>
      <c r="AP488" s="307"/>
      <c r="AQ488" s="307"/>
      <c r="AR488" s="307"/>
      <c r="AS488" s="307"/>
      <c r="AT488" s="307"/>
      <c r="AU488" s="307"/>
      <c r="AV488" s="307"/>
      <c r="AW488" s="307"/>
      <c r="AX488" s="307"/>
      <c r="AY488" s="307"/>
      <c r="AZ488" s="307"/>
      <c r="BA488" s="307"/>
      <c r="BB488" s="307"/>
      <c r="BC488" s="307"/>
      <c r="BD488" s="307"/>
      <c r="BE488" s="307"/>
      <c r="BF488" s="307"/>
      <c r="BG488" s="307"/>
    </row>
    <row r="489" spans="1:59" ht="15.75" customHeight="1" x14ac:dyDescent="0.2">
      <c r="A489" s="307"/>
      <c r="B489" s="307"/>
      <c r="C489" s="319"/>
      <c r="D489" s="370"/>
      <c r="E489" s="370"/>
      <c r="F489" s="370"/>
      <c r="G489" s="370"/>
      <c r="H489" s="371"/>
      <c r="I489" s="370"/>
      <c r="J489" s="370"/>
      <c r="K489" s="370"/>
      <c r="L489" s="370"/>
      <c r="M489" s="371"/>
      <c r="N489" s="370"/>
      <c r="O489" s="370"/>
      <c r="P489" s="370"/>
      <c r="Q489" s="370"/>
      <c r="R489" s="371"/>
      <c r="S489" s="370"/>
      <c r="T489" s="370"/>
      <c r="U489" s="370"/>
      <c r="V489" s="370"/>
      <c r="W489" s="371"/>
      <c r="X489" s="370"/>
      <c r="Y489" s="370"/>
      <c r="Z489" s="370"/>
      <c r="AA489" s="370"/>
      <c r="AB489" s="371"/>
      <c r="AC489" s="307"/>
      <c r="AD489" s="307"/>
      <c r="AE489" s="307"/>
      <c r="AF489" s="307"/>
      <c r="AG489" s="307"/>
      <c r="AH489" s="307"/>
      <c r="AI489" s="307"/>
      <c r="AJ489" s="307"/>
      <c r="AK489" s="307"/>
      <c r="AL489" s="307"/>
      <c r="AM489" s="307"/>
      <c r="AN489" s="307"/>
      <c r="AO489" s="307"/>
      <c r="AP489" s="307"/>
      <c r="AQ489" s="307"/>
      <c r="AR489" s="307"/>
      <c r="AS489" s="307"/>
      <c r="AT489" s="307"/>
      <c r="AU489" s="307"/>
      <c r="AV489" s="307"/>
      <c r="AW489" s="307"/>
      <c r="AX489" s="307"/>
      <c r="AY489" s="307"/>
      <c r="AZ489" s="307"/>
      <c r="BA489" s="307"/>
      <c r="BB489" s="307"/>
      <c r="BC489" s="307"/>
      <c r="BD489" s="307"/>
      <c r="BE489" s="307"/>
      <c r="BF489" s="307"/>
      <c r="BG489" s="307"/>
    </row>
    <row r="490" spans="1:59" ht="15.75" customHeight="1" x14ac:dyDescent="0.2">
      <c r="A490" s="307"/>
      <c r="B490" s="307"/>
      <c r="C490" s="319"/>
      <c r="D490" s="370"/>
      <c r="E490" s="370"/>
      <c r="F490" s="370"/>
      <c r="G490" s="370"/>
      <c r="H490" s="371"/>
      <c r="I490" s="370"/>
      <c r="J490" s="370"/>
      <c r="K490" s="370"/>
      <c r="L490" s="370"/>
      <c r="M490" s="371"/>
      <c r="N490" s="370"/>
      <c r="O490" s="370"/>
      <c r="P490" s="370"/>
      <c r="Q490" s="370"/>
      <c r="R490" s="371"/>
      <c r="S490" s="370"/>
      <c r="T490" s="370"/>
      <c r="U490" s="370"/>
      <c r="V490" s="370"/>
      <c r="W490" s="371"/>
      <c r="X490" s="370"/>
      <c r="Y490" s="370"/>
      <c r="Z490" s="370"/>
      <c r="AA490" s="370"/>
      <c r="AB490" s="371"/>
      <c r="AC490" s="307"/>
      <c r="AD490" s="307"/>
      <c r="AE490" s="307"/>
      <c r="AF490" s="307"/>
      <c r="AG490" s="307"/>
      <c r="AH490" s="307"/>
      <c r="AI490" s="307"/>
      <c r="AJ490" s="307"/>
      <c r="AK490" s="307"/>
      <c r="AL490" s="307"/>
      <c r="AM490" s="307"/>
      <c r="AN490" s="307"/>
      <c r="AO490" s="307"/>
      <c r="AP490" s="307"/>
      <c r="AQ490" s="307"/>
      <c r="AR490" s="307"/>
      <c r="AS490" s="307"/>
      <c r="AT490" s="307"/>
      <c r="AU490" s="307"/>
      <c r="AV490" s="307"/>
      <c r="AW490" s="307"/>
      <c r="AX490" s="307"/>
      <c r="AY490" s="307"/>
      <c r="AZ490" s="307"/>
      <c r="BA490" s="307"/>
      <c r="BB490" s="307"/>
      <c r="BC490" s="307"/>
      <c r="BD490" s="307"/>
      <c r="BE490" s="307"/>
      <c r="BF490" s="307"/>
      <c r="BG490" s="307"/>
    </row>
    <row r="491" spans="1:59" ht="15.75" customHeight="1" x14ac:dyDescent="0.2">
      <c r="A491" s="307"/>
      <c r="B491" s="307"/>
      <c r="C491" s="319"/>
      <c r="D491" s="370"/>
      <c r="E491" s="370"/>
      <c r="F491" s="370"/>
      <c r="G491" s="370"/>
      <c r="H491" s="371"/>
      <c r="I491" s="370"/>
      <c r="J491" s="370"/>
      <c r="K491" s="370"/>
      <c r="L491" s="370"/>
      <c r="M491" s="371"/>
      <c r="N491" s="370"/>
      <c r="O491" s="370"/>
      <c r="P491" s="370"/>
      <c r="Q491" s="370"/>
      <c r="R491" s="371"/>
      <c r="S491" s="370"/>
      <c r="T491" s="370"/>
      <c r="U491" s="370"/>
      <c r="V491" s="370"/>
      <c r="W491" s="371"/>
      <c r="X491" s="370"/>
      <c r="Y491" s="370"/>
      <c r="Z491" s="370"/>
      <c r="AA491" s="370"/>
      <c r="AB491" s="371"/>
      <c r="AC491" s="307"/>
      <c r="AD491" s="307"/>
      <c r="AE491" s="307"/>
      <c r="AF491" s="307"/>
      <c r="AG491" s="307"/>
      <c r="AH491" s="307"/>
      <c r="AI491" s="307"/>
      <c r="AJ491" s="307"/>
      <c r="AK491" s="307"/>
      <c r="AL491" s="307"/>
      <c r="AM491" s="307"/>
      <c r="AN491" s="307"/>
      <c r="AO491" s="307"/>
      <c r="AP491" s="307"/>
      <c r="AQ491" s="307"/>
      <c r="AR491" s="307"/>
      <c r="AS491" s="307"/>
      <c r="AT491" s="307"/>
      <c r="AU491" s="307"/>
      <c r="AV491" s="307"/>
      <c r="AW491" s="307"/>
      <c r="AX491" s="307"/>
      <c r="AY491" s="307"/>
      <c r="AZ491" s="307"/>
      <c r="BA491" s="307"/>
      <c r="BB491" s="307"/>
      <c r="BC491" s="307"/>
      <c r="BD491" s="307"/>
      <c r="BE491" s="307"/>
      <c r="BF491" s="307"/>
      <c r="BG491" s="307"/>
    </row>
    <row r="492" spans="1:59" ht="15.75" customHeight="1" x14ac:dyDescent="0.2">
      <c r="A492" s="307"/>
      <c r="B492" s="307"/>
      <c r="C492" s="319"/>
      <c r="D492" s="370"/>
      <c r="E492" s="370"/>
      <c r="F492" s="370"/>
      <c r="G492" s="370"/>
      <c r="H492" s="371"/>
      <c r="I492" s="370"/>
      <c r="J492" s="370"/>
      <c r="K492" s="370"/>
      <c r="L492" s="370"/>
      <c r="M492" s="371"/>
      <c r="N492" s="370"/>
      <c r="O492" s="370"/>
      <c r="P492" s="370"/>
      <c r="Q492" s="370"/>
      <c r="R492" s="371"/>
      <c r="S492" s="370"/>
      <c r="T492" s="370"/>
      <c r="U492" s="370"/>
      <c r="V492" s="370"/>
      <c r="W492" s="371"/>
      <c r="X492" s="370"/>
      <c r="Y492" s="370"/>
      <c r="Z492" s="370"/>
      <c r="AA492" s="370"/>
      <c r="AB492" s="371"/>
      <c r="AC492" s="307"/>
      <c r="AD492" s="307"/>
      <c r="AE492" s="307"/>
      <c r="AF492" s="307"/>
      <c r="AG492" s="307"/>
      <c r="AH492" s="307"/>
      <c r="AI492" s="307"/>
      <c r="AJ492" s="307"/>
      <c r="AK492" s="307"/>
      <c r="AL492" s="307"/>
      <c r="AM492" s="307"/>
      <c r="AN492" s="307"/>
      <c r="AO492" s="307"/>
      <c r="AP492" s="307"/>
      <c r="AQ492" s="307"/>
      <c r="AR492" s="307"/>
      <c r="AS492" s="307"/>
      <c r="AT492" s="307"/>
      <c r="AU492" s="307"/>
      <c r="AV492" s="307"/>
      <c r="AW492" s="307"/>
      <c r="AX492" s="307"/>
      <c r="AY492" s="307"/>
      <c r="AZ492" s="307"/>
      <c r="BA492" s="307"/>
      <c r="BB492" s="307"/>
      <c r="BC492" s="307"/>
      <c r="BD492" s="307"/>
      <c r="BE492" s="307"/>
      <c r="BF492" s="307"/>
      <c r="BG492" s="307"/>
    </row>
    <row r="493" spans="1:59" ht="15.75" customHeight="1" x14ac:dyDescent="0.2">
      <c r="A493" s="307"/>
      <c r="B493" s="307"/>
      <c r="C493" s="319"/>
      <c r="D493" s="370"/>
      <c r="E493" s="370"/>
      <c r="F493" s="370"/>
      <c r="G493" s="370"/>
      <c r="H493" s="371"/>
      <c r="I493" s="370"/>
      <c r="J493" s="370"/>
      <c r="K493" s="370"/>
      <c r="L493" s="370"/>
      <c r="M493" s="371"/>
      <c r="N493" s="370"/>
      <c r="O493" s="370"/>
      <c r="P493" s="370"/>
      <c r="Q493" s="370"/>
      <c r="R493" s="371"/>
      <c r="S493" s="370"/>
      <c r="T493" s="370"/>
      <c r="U493" s="370"/>
      <c r="V493" s="370"/>
      <c r="W493" s="371"/>
      <c r="X493" s="370"/>
      <c r="Y493" s="370"/>
      <c r="Z493" s="370"/>
      <c r="AA493" s="370"/>
      <c r="AB493" s="371"/>
      <c r="AC493" s="307"/>
      <c r="AD493" s="307"/>
      <c r="AE493" s="307"/>
      <c r="AF493" s="307"/>
      <c r="AG493" s="307"/>
      <c r="AH493" s="307"/>
      <c r="AI493" s="307"/>
      <c r="AJ493" s="307"/>
      <c r="AK493" s="307"/>
      <c r="AL493" s="307"/>
      <c r="AM493" s="307"/>
      <c r="AN493" s="307"/>
      <c r="AO493" s="307"/>
      <c r="AP493" s="307"/>
      <c r="AQ493" s="307"/>
      <c r="AR493" s="307"/>
      <c r="AS493" s="307"/>
      <c r="AT493" s="307"/>
      <c r="AU493" s="307"/>
      <c r="AV493" s="307"/>
      <c r="AW493" s="307"/>
      <c r="AX493" s="307"/>
      <c r="AY493" s="307"/>
      <c r="AZ493" s="307"/>
      <c r="BA493" s="307"/>
      <c r="BB493" s="307"/>
      <c r="BC493" s="307"/>
      <c r="BD493" s="307"/>
      <c r="BE493" s="307"/>
      <c r="BF493" s="307"/>
      <c r="BG493" s="307"/>
    </row>
    <row r="494" spans="1:59" ht="15.75" customHeight="1" x14ac:dyDescent="0.2">
      <c r="A494" s="307"/>
      <c r="B494" s="307"/>
      <c r="C494" s="319"/>
      <c r="D494" s="370"/>
      <c r="E494" s="370"/>
      <c r="F494" s="370"/>
      <c r="G494" s="370"/>
      <c r="H494" s="371"/>
      <c r="I494" s="370"/>
      <c r="J494" s="370"/>
      <c r="K494" s="370"/>
      <c r="L494" s="370"/>
      <c r="M494" s="371"/>
      <c r="N494" s="370"/>
      <c r="O494" s="370"/>
      <c r="P494" s="370"/>
      <c r="Q494" s="370"/>
      <c r="R494" s="371"/>
      <c r="S494" s="370"/>
      <c r="T494" s="370"/>
      <c r="U494" s="370"/>
      <c r="V494" s="370"/>
      <c r="W494" s="371"/>
      <c r="X494" s="370"/>
      <c r="Y494" s="370"/>
      <c r="Z494" s="370"/>
      <c r="AA494" s="370"/>
      <c r="AB494" s="371"/>
      <c r="AC494" s="307"/>
      <c r="AD494" s="307"/>
      <c r="AE494" s="307"/>
      <c r="AF494" s="307"/>
      <c r="AG494" s="307"/>
      <c r="AH494" s="307"/>
      <c r="AI494" s="307"/>
      <c r="AJ494" s="307"/>
      <c r="AK494" s="307"/>
      <c r="AL494" s="307"/>
      <c r="AM494" s="307"/>
      <c r="AN494" s="307"/>
      <c r="AO494" s="307"/>
      <c r="AP494" s="307"/>
      <c r="AQ494" s="307"/>
      <c r="AR494" s="307"/>
      <c r="AS494" s="307"/>
      <c r="AT494" s="307"/>
      <c r="AU494" s="307"/>
      <c r="AV494" s="307"/>
      <c r="AW494" s="307"/>
      <c r="AX494" s="307"/>
      <c r="AY494" s="307"/>
      <c r="AZ494" s="307"/>
      <c r="BA494" s="307"/>
      <c r="BB494" s="307"/>
      <c r="BC494" s="307"/>
      <c r="BD494" s="307"/>
      <c r="BE494" s="307"/>
      <c r="BF494" s="307"/>
      <c r="BG494" s="307"/>
    </row>
    <row r="495" spans="1:59" ht="15.75" customHeight="1" x14ac:dyDescent="0.2">
      <c r="A495" s="307"/>
      <c r="B495" s="307"/>
      <c r="C495" s="319"/>
      <c r="D495" s="370"/>
      <c r="E495" s="370"/>
      <c r="F495" s="370"/>
      <c r="G495" s="370"/>
      <c r="H495" s="371"/>
      <c r="I495" s="370"/>
      <c r="J495" s="370"/>
      <c r="K495" s="370"/>
      <c r="L495" s="370"/>
      <c r="M495" s="371"/>
      <c r="N495" s="370"/>
      <c r="O495" s="370"/>
      <c r="P495" s="370"/>
      <c r="Q495" s="370"/>
      <c r="R495" s="371"/>
      <c r="S495" s="370"/>
      <c r="T495" s="370"/>
      <c r="U495" s="370"/>
      <c r="V495" s="370"/>
      <c r="W495" s="371"/>
      <c r="X495" s="370"/>
      <c r="Y495" s="370"/>
      <c r="Z495" s="370"/>
      <c r="AA495" s="370"/>
      <c r="AB495" s="371"/>
      <c r="AC495" s="307"/>
      <c r="AD495" s="307"/>
      <c r="AE495" s="307"/>
      <c r="AF495" s="307"/>
      <c r="AG495" s="307"/>
      <c r="AH495" s="307"/>
      <c r="AI495" s="307"/>
      <c r="AJ495" s="307"/>
      <c r="AK495" s="307"/>
      <c r="AL495" s="307"/>
      <c r="AM495" s="307"/>
      <c r="AN495" s="307"/>
      <c r="AO495" s="307"/>
      <c r="AP495" s="307"/>
      <c r="AQ495" s="307"/>
      <c r="AR495" s="307"/>
      <c r="AS495" s="307"/>
      <c r="AT495" s="307"/>
      <c r="AU495" s="307"/>
      <c r="AV495" s="307"/>
      <c r="AW495" s="307"/>
      <c r="AX495" s="307"/>
      <c r="AY495" s="307"/>
      <c r="AZ495" s="307"/>
      <c r="BA495" s="307"/>
      <c r="BB495" s="307"/>
      <c r="BC495" s="307"/>
      <c r="BD495" s="307"/>
      <c r="BE495" s="307"/>
      <c r="BF495" s="307"/>
      <c r="BG495" s="307"/>
    </row>
    <row r="496" spans="1:59" ht="15.75" customHeight="1" x14ac:dyDescent="0.2">
      <c r="A496" s="307"/>
      <c r="B496" s="307"/>
      <c r="C496" s="319"/>
      <c r="D496" s="370"/>
      <c r="E496" s="370"/>
      <c r="F496" s="370"/>
      <c r="G496" s="370"/>
      <c r="H496" s="371"/>
      <c r="I496" s="370"/>
      <c r="J496" s="370"/>
      <c r="K496" s="370"/>
      <c r="L496" s="370"/>
      <c r="M496" s="371"/>
      <c r="N496" s="370"/>
      <c r="O496" s="370"/>
      <c r="P496" s="370"/>
      <c r="Q496" s="370"/>
      <c r="R496" s="371"/>
      <c r="S496" s="370"/>
      <c r="T496" s="370"/>
      <c r="U496" s="370"/>
      <c r="V496" s="370"/>
      <c r="W496" s="371"/>
      <c r="X496" s="370"/>
      <c r="Y496" s="370"/>
      <c r="Z496" s="370"/>
      <c r="AA496" s="370"/>
      <c r="AB496" s="371"/>
      <c r="AC496" s="307"/>
      <c r="AD496" s="307"/>
      <c r="AE496" s="307"/>
      <c r="AF496" s="307"/>
      <c r="AG496" s="307"/>
      <c r="AH496" s="307"/>
      <c r="AI496" s="307"/>
      <c r="AJ496" s="307"/>
      <c r="AK496" s="307"/>
      <c r="AL496" s="307"/>
      <c r="AM496" s="307"/>
      <c r="AN496" s="307"/>
      <c r="AO496" s="307"/>
      <c r="AP496" s="307"/>
      <c r="AQ496" s="307"/>
      <c r="AR496" s="307"/>
      <c r="AS496" s="307"/>
      <c r="AT496" s="307"/>
      <c r="AU496" s="307"/>
      <c r="AV496" s="307"/>
      <c r="AW496" s="307"/>
      <c r="AX496" s="307"/>
      <c r="AY496" s="307"/>
      <c r="AZ496" s="307"/>
      <c r="BA496" s="307"/>
      <c r="BB496" s="307"/>
      <c r="BC496" s="307"/>
      <c r="BD496" s="307"/>
      <c r="BE496" s="307"/>
      <c r="BF496" s="307"/>
      <c r="BG496" s="307"/>
    </row>
  </sheetData>
  <mergeCells count="2">
    <mergeCell ref="D2:R2"/>
    <mergeCell ref="S2:X2"/>
  </mergeCells>
  <pageMargins left="0.78740157499999996" right="0.78740157499999996" top="0.984251969" bottom="0.98425196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F743"/>
  <sheetViews>
    <sheetView showGridLines="0" workbookViewId="0"/>
  </sheetViews>
  <sheetFormatPr defaultColWidth="14.42578125" defaultRowHeight="15" customHeight="1" outlineLevelCol="1" x14ac:dyDescent="0.2"/>
  <cols>
    <col min="1" max="1" width="5.7109375" customWidth="1"/>
    <col min="2" max="2" width="4.140625" customWidth="1"/>
    <col min="3" max="3" width="65" customWidth="1"/>
    <col min="4" max="4" width="15.140625" hidden="1" customWidth="1" outlineLevel="1"/>
    <col min="5" max="7" width="8.140625" hidden="1" customWidth="1" outlineLevel="1"/>
    <col min="8" max="8" width="8.140625" customWidth="1" collapsed="1"/>
    <col min="9" max="12" width="8.140625" hidden="1" customWidth="1" outlineLevel="1"/>
    <col min="13" max="13" width="8.140625" customWidth="1" collapsed="1"/>
    <col min="14" max="17" width="8.140625" hidden="1" customWidth="1" outlineLevel="1"/>
    <col min="18" max="18" width="8.140625" customWidth="1" collapsed="1"/>
    <col min="19" max="20" width="8.140625" hidden="1" customWidth="1" outlineLevel="1"/>
    <col min="21" max="21" width="8.7109375" hidden="1" customWidth="1" outlineLevel="1"/>
    <col min="22" max="22" width="8.140625" hidden="1" customWidth="1" outlineLevel="1"/>
    <col min="23" max="23" width="8.140625" customWidth="1" collapsed="1"/>
    <col min="24" max="27" width="8.140625" customWidth="1" outlineLevel="1"/>
    <col min="28" max="58" width="8.140625" customWidth="1"/>
  </cols>
  <sheetData>
    <row r="1" spans="1:58" ht="27.75" customHeight="1" x14ac:dyDescent="0.2">
      <c r="A1" s="147"/>
      <c r="B1" s="141"/>
      <c r="C1" s="264" t="s">
        <v>356</v>
      </c>
      <c r="D1" s="372"/>
      <c r="E1" s="372"/>
      <c r="F1" s="372"/>
      <c r="G1" s="372"/>
      <c r="H1" s="372"/>
      <c r="I1" s="372"/>
      <c r="J1" s="372"/>
      <c r="K1" s="372"/>
      <c r="L1" s="373"/>
      <c r="M1" s="372"/>
      <c r="N1" s="372"/>
      <c r="O1" s="372"/>
      <c r="P1" s="372"/>
      <c r="Q1" s="372"/>
      <c r="R1" s="146"/>
      <c r="S1" s="143"/>
      <c r="T1" s="143"/>
      <c r="U1" s="143"/>
      <c r="V1" s="143"/>
      <c r="W1" s="145"/>
      <c r="X1" s="143"/>
      <c r="Y1" s="143"/>
      <c r="Z1" s="143"/>
      <c r="AA1" s="143"/>
      <c r="AB1" s="145"/>
      <c r="AC1" s="143"/>
      <c r="AD1" s="143"/>
      <c r="AE1" s="143"/>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row>
    <row r="2" spans="1:58" ht="17.25" customHeight="1" x14ac:dyDescent="0.2">
      <c r="A2" s="148"/>
      <c r="B2" s="148"/>
      <c r="C2" s="149" t="s">
        <v>153</v>
      </c>
      <c r="D2" s="421" t="s">
        <v>154</v>
      </c>
      <c r="E2" s="405"/>
      <c r="F2" s="405"/>
      <c r="G2" s="405"/>
      <c r="H2" s="405"/>
      <c r="I2" s="405"/>
      <c r="J2" s="405"/>
      <c r="K2" s="405"/>
      <c r="L2" s="405"/>
      <c r="M2" s="405"/>
      <c r="N2" s="405"/>
      <c r="O2" s="405"/>
      <c r="P2" s="405"/>
      <c r="Q2" s="405"/>
      <c r="R2" s="405"/>
      <c r="S2" s="374"/>
      <c r="T2" s="374"/>
      <c r="U2" s="150"/>
      <c r="V2" s="150"/>
      <c r="W2" s="150"/>
      <c r="X2" s="150"/>
      <c r="Y2" s="150"/>
      <c r="Z2" s="150" t="s">
        <v>357</v>
      </c>
      <c r="AA2" s="151"/>
      <c r="AB2" s="151"/>
      <c r="AC2" s="151"/>
      <c r="AD2" s="151"/>
      <c r="AE2" s="151"/>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row>
    <row r="3" spans="1:58" ht="15" customHeight="1" x14ac:dyDescent="0.2">
      <c r="A3" s="152"/>
      <c r="B3" s="153" t="s">
        <v>156</v>
      </c>
      <c r="C3" s="154"/>
      <c r="D3" s="155"/>
      <c r="E3" s="155"/>
      <c r="F3" s="155"/>
      <c r="G3" s="155"/>
      <c r="H3" s="155"/>
      <c r="I3" s="155"/>
      <c r="J3" s="155"/>
      <c r="K3" s="155"/>
      <c r="L3" s="155"/>
      <c r="M3" s="155"/>
      <c r="N3" s="155"/>
      <c r="O3" s="155"/>
      <c r="P3" s="155"/>
      <c r="Q3" s="155"/>
      <c r="R3" s="156"/>
      <c r="S3" s="155"/>
      <c r="T3" s="155"/>
      <c r="U3" s="155"/>
      <c r="V3" s="155"/>
      <c r="W3" s="155"/>
      <c r="X3" s="155"/>
      <c r="Y3" s="155"/>
      <c r="Z3" s="155"/>
      <c r="AA3" s="155"/>
      <c r="AB3" s="155"/>
      <c r="AC3" s="155"/>
      <c r="AD3" s="155"/>
      <c r="AE3" s="155"/>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row>
    <row r="4" spans="1:58" ht="19.5" customHeight="1" x14ac:dyDescent="0.2">
      <c r="A4" s="152"/>
      <c r="B4" s="153" t="s">
        <v>358</v>
      </c>
      <c r="C4" s="154"/>
      <c r="D4" s="158" t="s">
        <v>98</v>
      </c>
      <c r="E4" s="158" t="s">
        <v>99</v>
      </c>
      <c r="F4" s="158" t="s">
        <v>100</v>
      </c>
      <c r="G4" s="158" t="s">
        <v>101</v>
      </c>
      <c r="H4" s="159">
        <v>2018</v>
      </c>
      <c r="I4" s="158" t="s">
        <v>102</v>
      </c>
      <c r="J4" s="158" t="s">
        <v>103</v>
      </c>
      <c r="K4" s="158" t="s">
        <v>104</v>
      </c>
      <c r="L4" s="158" t="s">
        <v>105</v>
      </c>
      <c r="M4" s="159">
        <v>2019</v>
      </c>
      <c r="N4" s="158" t="s">
        <v>158</v>
      </c>
      <c r="O4" s="158" t="s">
        <v>107</v>
      </c>
      <c r="P4" s="158" t="s">
        <v>108</v>
      </c>
      <c r="Q4" s="158" t="s">
        <v>109</v>
      </c>
      <c r="R4" s="159">
        <v>2020</v>
      </c>
      <c r="S4" s="158" t="s">
        <v>110</v>
      </c>
      <c r="T4" s="158" t="s">
        <v>111</v>
      </c>
      <c r="U4" s="158" t="s">
        <v>112</v>
      </c>
      <c r="V4" s="158" t="s">
        <v>113</v>
      </c>
      <c r="W4" s="159">
        <v>2021</v>
      </c>
      <c r="X4" s="158" t="s">
        <v>114</v>
      </c>
      <c r="Y4" s="158" t="s">
        <v>115</v>
      </c>
      <c r="Z4" s="158" t="s">
        <v>116</v>
      </c>
      <c r="AA4" s="158" t="s">
        <v>117</v>
      </c>
      <c r="AB4" s="160">
        <v>2022</v>
      </c>
      <c r="AC4" s="158" t="s">
        <v>118</v>
      </c>
      <c r="AD4" s="158" t="s">
        <v>119</v>
      </c>
      <c r="AE4" s="158" t="s">
        <v>120</v>
      </c>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row>
    <row r="5" spans="1:58" ht="12.75" customHeight="1" x14ac:dyDescent="0.2">
      <c r="A5" s="162"/>
      <c r="B5" s="162"/>
      <c r="C5" s="206" t="s">
        <v>188</v>
      </c>
      <c r="D5" s="207">
        <v>45.543284300000046</v>
      </c>
      <c r="E5" s="207">
        <v>55.018506735000003</v>
      </c>
      <c r="F5" s="207">
        <v>60.500835120000005</v>
      </c>
      <c r="G5" s="207">
        <v>53.005799379999999</v>
      </c>
      <c r="H5" s="207">
        <v>214.06842553500007</v>
      </c>
      <c r="I5" s="207">
        <v>53.047292710000001</v>
      </c>
      <c r="J5" s="207">
        <v>62.198129510000001</v>
      </c>
      <c r="K5" s="207">
        <v>69.55662851999999</v>
      </c>
      <c r="L5" s="207">
        <v>74.222275709999991</v>
      </c>
      <c r="M5" s="207">
        <v>259.02432644999999</v>
      </c>
      <c r="N5" s="207">
        <v>71.762140689999995</v>
      </c>
      <c r="O5" s="207">
        <v>75.137318930000006</v>
      </c>
      <c r="P5" s="207">
        <v>82.237296349999994</v>
      </c>
      <c r="Q5" s="207">
        <v>83.615037939999993</v>
      </c>
      <c r="R5" s="207">
        <v>312.75179391</v>
      </c>
      <c r="S5" s="207">
        <v>65.927066960000005</v>
      </c>
      <c r="T5" s="207">
        <v>69.220521989999995</v>
      </c>
      <c r="U5" s="207">
        <v>71.69754666</v>
      </c>
      <c r="V5" s="207">
        <v>91.492122140000006</v>
      </c>
      <c r="W5" s="207">
        <f>SUM(S5:V5)</f>
        <v>298.33725774999999</v>
      </c>
      <c r="X5" s="207">
        <v>83.206670310000007</v>
      </c>
      <c r="Y5" s="207">
        <v>111.11852593</v>
      </c>
      <c r="Z5" s="207">
        <v>132.86129724</v>
      </c>
      <c r="AA5" s="207">
        <v>144.45057291000001</v>
      </c>
      <c r="AB5" s="207">
        <f>SUM(X5:AA5)</f>
        <v>471.63706639000003</v>
      </c>
      <c r="AC5" s="207">
        <v>134.65695319</v>
      </c>
      <c r="AD5" s="207">
        <v>133.79465450000001</v>
      </c>
      <c r="AE5" s="207">
        <v>134.69075384000001</v>
      </c>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row>
    <row r="6" spans="1:58" ht="12.75" customHeight="1" x14ac:dyDescent="0.2">
      <c r="A6" s="162"/>
      <c r="B6" s="189"/>
      <c r="C6" s="217" t="s">
        <v>160</v>
      </c>
      <c r="D6" s="172">
        <f t="shared" ref="D6:AC6" si="0">D11-D5</f>
        <v>-24.330185534956499</v>
      </c>
      <c r="E6" s="172">
        <f t="shared" si="0"/>
        <v>-28.749563498005003</v>
      </c>
      <c r="F6" s="172">
        <f t="shared" si="0"/>
        <v>-33.935735144249449</v>
      </c>
      <c r="G6" s="172">
        <f t="shared" si="0"/>
        <v>-35.049660127015443</v>
      </c>
      <c r="H6" s="172">
        <f t="shared" si="0"/>
        <v>-122.06514430422641</v>
      </c>
      <c r="I6" s="172">
        <f t="shared" si="0"/>
        <v>-30.61125191</v>
      </c>
      <c r="J6" s="172">
        <f t="shared" si="0"/>
        <v>-27.461735860000005</v>
      </c>
      <c r="K6" s="172">
        <f t="shared" si="0"/>
        <v>-32.75427015999999</v>
      </c>
      <c r="L6" s="172">
        <f t="shared" si="0"/>
        <v>-33.85187573999999</v>
      </c>
      <c r="M6" s="172">
        <f t="shared" si="0"/>
        <v>-124.67913367</v>
      </c>
      <c r="N6" s="172">
        <f t="shared" si="0"/>
        <v>-33.736382729999995</v>
      </c>
      <c r="O6" s="172">
        <f t="shared" si="0"/>
        <v>-37.278745800000003</v>
      </c>
      <c r="P6" s="172">
        <f t="shared" si="0"/>
        <v>-39.196573759999993</v>
      </c>
      <c r="Q6" s="172">
        <f t="shared" si="0"/>
        <v>-42.430386679999998</v>
      </c>
      <c r="R6" s="172">
        <f t="shared" si="0"/>
        <v>-152.64208897</v>
      </c>
      <c r="S6" s="172">
        <f t="shared" si="0"/>
        <v>-44.1738821</v>
      </c>
      <c r="T6" s="172">
        <f t="shared" si="0"/>
        <v>-39.434111119999997</v>
      </c>
      <c r="U6" s="172">
        <f t="shared" si="0"/>
        <v>-47.079424580000001</v>
      </c>
      <c r="V6" s="172">
        <f t="shared" si="0"/>
        <v>-56.692122140000009</v>
      </c>
      <c r="W6" s="172">
        <f t="shared" si="0"/>
        <v>-187.37953993999997</v>
      </c>
      <c r="X6" s="172">
        <f t="shared" si="0"/>
        <v>-51.256901930000012</v>
      </c>
      <c r="Y6" s="172">
        <f t="shared" si="0"/>
        <v>-47.720036560000004</v>
      </c>
      <c r="Z6" s="172">
        <f t="shared" si="0"/>
        <v>-62.678884510000003</v>
      </c>
      <c r="AA6" s="172">
        <f t="shared" si="0"/>
        <v>-138.87531641000001</v>
      </c>
      <c r="AB6" s="172">
        <f t="shared" si="0"/>
        <v>-300.53113941000004</v>
      </c>
      <c r="AC6" s="172">
        <f t="shared" si="0"/>
        <v>-86.010930009999996</v>
      </c>
      <c r="AD6" s="172">
        <v>-78.510235280000003</v>
      </c>
      <c r="AE6" s="172">
        <v>-88.173556680000004</v>
      </c>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row>
    <row r="7" spans="1:58" ht="12.75" customHeight="1" x14ac:dyDescent="0.2">
      <c r="A7" s="162"/>
      <c r="B7" s="189"/>
      <c r="C7" s="190" t="s">
        <v>161</v>
      </c>
      <c r="D7" s="172">
        <f>((-5.882)/2)</f>
        <v>-2.9409999999999998</v>
      </c>
      <c r="E7" s="172">
        <f>-8.187/2</f>
        <v>-4.0934999999999997</v>
      </c>
      <c r="F7" s="172">
        <f>-9.915/2</f>
        <v>-4.9574999999999996</v>
      </c>
      <c r="G7" s="172">
        <f>(-36.146/2)-SUM(D7:F7)</f>
        <v>-6.0810000000000013</v>
      </c>
      <c r="H7" s="172">
        <f t="shared" ref="H7:H10" si="1">SUM(D7:G7)</f>
        <v>-18.073</v>
      </c>
      <c r="I7" s="172">
        <f>((-7.213)/2)</f>
        <v>-3.6065</v>
      </c>
      <c r="J7" s="172">
        <f>-6.893/2</f>
        <v>-3.4464999999999999</v>
      </c>
      <c r="K7" s="172">
        <f>-8.843/2</f>
        <v>-4.4215</v>
      </c>
      <c r="L7" s="172">
        <f>(-29.71/2)-SUM(I7:K7)</f>
        <v>-3.3805000000000014</v>
      </c>
      <c r="M7" s="172">
        <f t="shared" ref="M7:M9" si="2">SUM(I7:L7)</f>
        <v>-14.855</v>
      </c>
      <c r="N7" s="172">
        <f>-8.798/2</f>
        <v>-4.399</v>
      </c>
      <c r="O7" s="172">
        <f>-8.25/2</f>
        <v>-4.125</v>
      </c>
      <c r="P7" s="172">
        <f>-8.677/2</f>
        <v>-4.3384999999999998</v>
      </c>
      <c r="Q7" s="172">
        <f>(-36.245/2)-SUM(N7:P7)</f>
        <v>-5.259999999999998</v>
      </c>
      <c r="R7" s="172">
        <f t="shared" ref="R7:R9" si="3">SUM(N7:Q7)</f>
        <v>-18.122499999999999</v>
      </c>
      <c r="S7" s="172">
        <v>-5.9180866600000002</v>
      </c>
      <c r="T7" s="172">
        <v>-5.8498152699999997</v>
      </c>
      <c r="U7" s="172">
        <v>-6.8392602900000004</v>
      </c>
      <c r="V7" s="172">
        <v>-5.8835171800000001</v>
      </c>
      <c r="W7" s="172">
        <f t="shared" ref="W7:W11" si="4">SUM(S7:V7)</f>
        <v>-24.490679399999998</v>
      </c>
      <c r="X7" s="172">
        <v>-7.4741474400000003</v>
      </c>
      <c r="Y7" s="172">
        <v>-4.45102273</v>
      </c>
      <c r="Z7" s="172">
        <v>-9.4513050199999995</v>
      </c>
      <c r="AA7" s="172">
        <v>-6.4039461799999993</v>
      </c>
      <c r="AB7" s="172">
        <f t="shared" ref="AB7:AB11" si="5">SUM(X7:AA7)</f>
        <v>-27.780421369999999</v>
      </c>
      <c r="AC7" s="172">
        <v>-6.4374939500000004</v>
      </c>
      <c r="AD7" s="172">
        <v>-5.0705624799999995</v>
      </c>
      <c r="AE7" s="172">
        <v>-6.2319947899999999</v>
      </c>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89"/>
      <c r="BE7" s="189"/>
      <c r="BF7" s="189"/>
    </row>
    <row r="8" spans="1:58" ht="12.75" customHeight="1" x14ac:dyDescent="0.2">
      <c r="A8" s="162"/>
      <c r="B8" s="189"/>
      <c r="C8" s="190" t="s">
        <v>162</v>
      </c>
      <c r="D8" s="172">
        <f>((-31.548)/2)</f>
        <v>-15.773999999999999</v>
      </c>
      <c r="E8" s="172">
        <f>-33.974/2</f>
        <v>-16.986999999999998</v>
      </c>
      <c r="F8" s="172">
        <f>-41.806/2</f>
        <v>-20.902999999999999</v>
      </c>
      <c r="G8" s="172">
        <f>(-148.214/2)-SUM(D8:F8)</f>
        <v>-20.443000000000005</v>
      </c>
      <c r="H8" s="172">
        <f t="shared" si="1"/>
        <v>-74.106999999999999</v>
      </c>
      <c r="I8" s="172">
        <f>-39.473/2</f>
        <v>-19.736499999999999</v>
      </c>
      <c r="J8" s="172">
        <f>-39.206/2</f>
        <v>-19.603000000000002</v>
      </c>
      <c r="K8" s="172">
        <f>-41.069/2</f>
        <v>-20.534500000000001</v>
      </c>
      <c r="L8" s="172">
        <f>(-159.986/2)-SUM(I8:K8)</f>
        <v>-20.118999999999993</v>
      </c>
      <c r="M8" s="172">
        <f t="shared" si="2"/>
        <v>-79.992999999999995</v>
      </c>
      <c r="N8" s="172">
        <f>-42.022/2</f>
        <v>-21.010999999999999</v>
      </c>
      <c r="O8" s="172">
        <f>-44.85/2</f>
        <v>-22.425000000000001</v>
      </c>
      <c r="P8" s="172">
        <f>-48.171/2</f>
        <v>-24.0855</v>
      </c>
      <c r="Q8" s="172">
        <f>(-184.897/2)-SUM(N8:P8)</f>
        <v>-24.926999999999992</v>
      </c>
      <c r="R8" s="172">
        <f t="shared" si="3"/>
        <v>-92.448499999999996</v>
      </c>
      <c r="S8" s="172">
        <v>-26.223962629999999</v>
      </c>
      <c r="T8" s="172">
        <v>-23.53386339</v>
      </c>
      <c r="U8" s="172">
        <v>-28.99819849</v>
      </c>
      <c r="V8" s="172">
        <v>-31.240848789999998</v>
      </c>
      <c r="W8" s="172">
        <f t="shared" si="4"/>
        <v>-109.9968733</v>
      </c>
      <c r="X8" s="172">
        <v>-30.612853219999998</v>
      </c>
      <c r="Y8" s="172">
        <v>-30.721348679999998</v>
      </c>
      <c r="Z8" s="172">
        <v>-30.37301519</v>
      </c>
      <c r="AA8" s="172">
        <v>-29.45431185</v>
      </c>
      <c r="AB8" s="172">
        <f t="shared" si="5"/>
        <v>-121.16152894</v>
      </c>
      <c r="AC8" s="172">
        <v>-29.824096770000001</v>
      </c>
      <c r="AD8" s="172">
        <v>-31.759516820000002</v>
      </c>
      <c r="AE8" s="172">
        <v>-35.297861300000001</v>
      </c>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89"/>
      <c r="BE8" s="189"/>
      <c r="BF8" s="189"/>
    </row>
    <row r="9" spans="1:58" ht="12.75" customHeight="1" x14ac:dyDescent="0.2">
      <c r="A9" s="162"/>
      <c r="B9" s="189"/>
      <c r="C9" s="190" t="s">
        <v>163</v>
      </c>
      <c r="D9" s="172">
        <f>((-11.285)/2)</f>
        <v>-5.6425000000000001</v>
      </c>
      <c r="E9" s="172">
        <f>-15.326/2</f>
        <v>-7.6630000000000003</v>
      </c>
      <c r="F9" s="172">
        <f>-16.216/2</f>
        <v>-8.1080000000000005</v>
      </c>
      <c r="G9" s="172">
        <f>(-59.908/2)-SUM(D9:F9)</f>
        <v>-8.5405000000000015</v>
      </c>
      <c r="H9" s="172">
        <f t="shared" si="1"/>
        <v>-29.954000000000001</v>
      </c>
      <c r="I9" s="172">
        <f>-14.537/2</f>
        <v>-7.2685000000000004</v>
      </c>
      <c r="J9" s="172">
        <f>-8.819/2</f>
        <v>-4.4095000000000004</v>
      </c>
      <c r="K9" s="172">
        <f>-15.596/2</f>
        <v>-7.798</v>
      </c>
      <c r="L9" s="172">
        <f>(-59.655/2)-SUM(I9:K9)</f>
        <v>-10.351500000000001</v>
      </c>
      <c r="M9" s="172">
        <f t="shared" si="2"/>
        <v>-29.827500000000001</v>
      </c>
      <c r="N9" s="172">
        <f>-16.653/2</f>
        <v>-8.3264999999999993</v>
      </c>
      <c r="O9" s="172">
        <f>-21.458/2</f>
        <v>-10.728999999999999</v>
      </c>
      <c r="P9" s="172">
        <f>-21.545/2</f>
        <v>-10.772500000000001</v>
      </c>
      <c r="Q9" s="172">
        <f>(-84.143/2)-SUM(N9:P9)</f>
        <v>-12.243500000000001</v>
      </c>
      <c r="R9" s="172">
        <f t="shared" si="3"/>
        <v>-42.0715</v>
      </c>
      <c r="S9" s="172">
        <v>-12.03183282</v>
      </c>
      <c r="T9" s="172">
        <v>-10.051909140000001</v>
      </c>
      <c r="U9" s="172">
        <v>-11.244340800000002</v>
      </c>
      <c r="V9" s="172">
        <v>-19.55155345</v>
      </c>
      <c r="W9" s="172">
        <f t="shared" si="4"/>
        <v>-52.879636210000001</v>
      </c>
      <c r="X9" s="172">
        <v>-13.181134179999999</v>
      </c>
      <c r="Y9" s="172">
        <v>-12.603264039999999</v>
      </c>
      <c r="Z9" s="172">
        <v>-22.87796226</v>
      </c>
      <c r="AA9" s="172">
        <v>-102.93782173000001</v>
      </c>
      <c r="AB9" s="172">
        <f t="shared" si="5"/>
        <v>-151.60018221000001</v>
      </c>
      <c r="AC9" s="172">
        <v>-49.748527899999999</v>
      </c>
      <c r="AD9" s="172">
        <v>-41.680155980000002</v>
      </c>
      <c r="AE9" s="172">
        <v>-46.643700590000002</v>
      </c>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89"/>
      <c r="BE9" s="189"/>
      <c r="BF9" s="189"/>
    </row>
    <row r="10" spans="1:58" ht="12.75" customHeight="1" x14ac:dyDescent="0.2">
      <c r="A10" s="162"/>
      <c r="B10" s="189"/>
      <c r="C10" s="190" t="s">
        <v>348</v>
      </c>
      <c r="D10" s="172">
        <v>0</v>
      </c>
      <c r="E10" s="172">
        <f>-70/2/10^3</f>
        <v>-3.5000000000000003E-2</v>
      </c>
      <c r="F10" s="172">
        <v>0</v>
      </c>
      <c r="G10" s="172">
        <f>(-96/2)/10^3</f>
        <v>-4.8000000000000001E-2</v>
      </c>
      <c r="H10" s="172">
        <f t="shared" si="1"/>
        <v>-8.3000000000000004E-2</v>
      </c>
      <c r="I10" s="172">
        <v>0</v>
      </c>
      <c r="J10" s="172">
        <f>(-3/1000)/2</f>
        <v>-1.5E-3</v>
      </c>
      <c r="K10" s="172">
        <f>-4/2/10^3</f>
        <v>-2E-3</v>
      </c>
      <c r="L10" s="172">
        <v>0</v>
      </c>
      <c r="M10" s="172">
        <v>0</v>
      </c>
      <c r="N10" s="172">
        <v>0</v>
      </c>
      <c r="O10" s="172">
        <v>0</v>
      </c>
      <c r="P10" s="172">
        <v>0</v>
      </c>
      <c r="Q10" s="172">
        <v>0</v>
      </c>
      <c r="R10" s="172">
        <v>0</v>
      </c>
      <c r="S10" s="172">
        <v>0</v>
      </c>
      <c r="T10" s="172">
        <v>1.47667E-3</v>
      </c>
      <c r="U10" s="172">
        <v>2.3749999999999999E-3</v>
      </c>
      <c r="V10" s="172">
        <v>2.2000000000000001E-3</v>
      </c>
      <c r="W10" s="172">
        <f t="shared" si="4"/>
        <v>6.0516700000000003E-3</v>
      </c>
      <c r="X10" s="172">
        <v>0</v>
      </c>
      <c r="Y10" s="172">
        <v>0</v>
      </c>
      <c r="Z10" s="172">
        <v>0</v>
      </c>
      <c r="AA10" s="172">
        <v>0</v>
      </c>
      <c r="AB10" s="172">
        <f t="shared" si="5"/>
        <v>0</v>
      </c>
      <c r="AC10" s="172">
        <v>0</v>
      </c>
      <c r="AD10" s="172">
        <v>0</v>
      </c>
      <c r="AE10" s="172">
        <v>0</v>
      </c>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89"/>
      <c r="BE10" s="189"/>
      <c r="BF10" s="189"/>
    </row>
    <row r="11" spans="1:58" ht="12.75" customHeight="1" x14ac:dyDescent="0.2">
      <c r="A11" s="162"/>
      <c r="B11" s="162"/>
      <c r="C11" s="206" t="s">
        <v>189</v>
      </c>
      <c r="D11" s="207">
        <v>21.213098765043547</v>
      </c>
      <c r="E11" s="207">
        <v>26.268943236995</v>
      </c>
      <c r="F11" s="207">
        <v>26.565099975750559</v>
      </c>
      <c r="G11" s="207">
        <v>17.956139252984553</v>
      </c>
      <c r="H11" s="207">
        <v>92.003281230773666</v>
      </c>
      <c r="I11" s="207">
        <v>22.436040800000001</v>
      </c>
      <c r="J11" s="207">
        <v>34.736393649999997</v>
      </c>
      <c r="K11" s="207">
        <v>36.802358359999999</v>
      </c>
      <c r="L11" s="207">
        <v>40.370399970000001</v>
      </c>
      <c r="M11" s="207">
        <v>134.34519277999999</v>
      </c>
      <c r="N11" s="207">
        <v>38.02575796</v>
      </c>
      <c r="O11" s="207">
        <v>37.858573130000003</v>
      </c>
      <c r="P11" s="207">
        <v>43.040722590000001</v>
      </c>
      <c r="Q11" s="207">
        <v>41.184651259999995</v>
      </c>
      <c r="R11" s="207">
        <v>160.10970494</v>
      </c>
      <c r="S11" s="207">
        <v>21.753184860000001</v>
      </c>
      <c r="T11" s="207">
        <v>29.786410870000001</v>
      </c>
      <c r="U11" s="207">
        <v>24.618122079999999</v>
      </c>
      <c r="V11" s="207">
        <v>34.799999999999997</v>
      </c>
      <c r="W11" s="207">
        <f t="shared" si="4"/>
        <v>110.95771781000001</v>
      </c>
      <c r="X11" s="207">
        <v>31.949768379999998</v>
      </c>
      <c r="Y11" s="207">
        <v>63.39848937</v>
      </c>
      <c r="Z11" s="207">
        <v>70.182412729999996</v>
      </c>
      <c r="AA11" s="207">
        <v>5.5752565000000001</v>
      </c>
      <c r="AB11" s="207">
        <f t="shared" si="5"/>
        <v>171.10592697999999</v>
      </c>
      <c r="AC11" s="207">
        <v>48.64602318</v>
      </c>
      <c r="AD11" s="207">
        <v>55.284419220000004</v>
      </c>
      <c r="AE11" s="207">
        <v>46.517197160000002</v>
      </c>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89"/>
      <c r="BE11" s="189"/>
      <c r="BF11" s="189"/>
    </row>
    <row r="12" spans="1:58" ht="12.75" customHeight="1" x14ac:dyDescent="0.2">
      <c r="A12" s="162"/>
      <c r="B12" s="147"/>
      <c r="C12" s="217" t="s">
        <v>169</v>
      </c>
      <c r="D12" s="172">
        <f t="shared" ref="D12:Y12" si="6">D13-D11</f>
        <v>-15.879129524595504</v>
      </c>
      <c r="E12" s="172">
        <f t="shared" si="6"/>
        <v>-17.092326571709499</v>
      </c>
      <c r="F12" s="172">
        <f t="shared" si="6"/>
        <v>-20.336871927365998</v>
      </c>
      <c r="G12" s="172">
        <f t="shared" si="6"/>
        <v>-23.692452315744003</v>
      </c>
      <c r="H12" s="172">
        <f t="shared" si="6"/>
        <v>-77.000780339415002</v>
      </c>
      <c r="I12" s="172">
        <f t="shared" si="6"/>
        <v>-23.592013050000002</v>
      </c>
      <c r="J12" s="172">
        <f t="shared" si="6"/>
        <v>-24.575776469999997</v>
      </c>
      <c r="K12" s="172">
        <f t="shared" si="6"/>
        <v>-24.105052109999999</v>
      </c>
      <c r="L12" s="172">
        <f t="shared" si="6"/>
        <v>-26.1858042</v>
      </c>
      <c r="M12" s="172">
        <f t="shared" si="6"/>
        <v>-98.458645829999995</v>
      </c>
      <c r="N12" s="172">
        <f t="shared" si="6"/>
        <v>-28.781826540000001</v>
      </c>
      <c r="O12" s="172">
        <f t="shared" si="6"/>
        <v>-34.568145950000002</v>
      </c>
      <c r="P12" s="172">
        <f t="shared" si="6"/>
        <v>-33.100297620000006</v>
      </c>
      <c r="Q12" s="172">
        <f t="shared" si="6"/>
        <v>-35.447828829999992</v>
      </c>
      <c r="R12" s="172">
        <f t="shared" si="6"/>
        <v>-131.89809894000001</v>
      </c>
      <c r="S12" s="172">
        <f t="shared" si="6"/>
        <v>-30.465779590000004</v>
      </c>
      <c r="T12" s="172">
        <f t="shared" si="6"/>
        <v>-29.531896790000001</v>
      </c>
      <c r="U12" s="172">
        <f t="shared" si="6"/>
        <v>-30.224177839999999</v>
      </c>
      <c r="V12" s="172">
        <f t="shared" si="6"/>
        <v>-37.299999999999997</v>
      </c>
      <c r="W12" s="172">
        <f t="shared" si="6"/>
        <v>-127.52185422000001</v>
      </c>
      <c r="X12" s="172">
        <f t="shared" si="6"/>
        <v>-32.62286022</v>
      </c>
      <c r="Y12" s="172">
        <f t="shared" si="6"/>
        <v>-46.947782349999997</v>
      </c>
      <c r="Z12" s="172">
        <v>-59.371826499999997</v>
      </c>
      <c r="AA12" s="172">
        <v>2.240834</v>
      </c>
      <c r="AB12" s="172">
        <f>AB13-AB11</f>
        <v>-136.72383302</v>
      </c>
      <c r="AC12" s="172">
        <v>-32.020534600000005</v>
      </c>
      <c r="AD12" s="172">
        <v>-32.059878999999995</v>
      </c>
      <c r="AE12" s="172">
        <v>-31.264356169999999</v>
      </c>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89"/>
      <c r="BE12" s="189"/>
      <c r="BF12" s="189"/>
    </row>
    <row r="13" spans="1:58" ht="12.75" customHeight="1" x14ac:dyDescent="0.2">
      <c r="A13" s="162"/>
      <c r="B13" s="189"/>
      <c r="C13" s="206" t="s">
        <v>190</v>
      </c>
      <c r="D13" s="207">
        <v>5.3339692404480434</v>
      </c>
      <c r="E13" s="207">
        <v>9.1766166652855024</v>
      </c>
      <c r="F13" s="207">
        <v>6.2282280483845618</v>
      </c>
      <c r="G13" s="207">
        <v>-5.7363130627594501</v>
      </c>
      <c r="H13" s="207">
        <v>15.002500891358657</v>
      </c>
      <c r="I13" s="207">
        <v>-1.15597225</v>
      </c>
      <c r="J13" s="207">
        <v>10.160617179999999</v>
      </c>
      <c r="K13" s="207">
        <v>12.69730625</v>
      </c>
      <c r="L13" s="207">
        <v>14.18459577</v>
      </c>
      <c r="M13" s="207">
        <v>35.886546950000003</v>
      </c>
      <c r="N13" s="207">
        <v>9.2439314199999991</v>
      </c>
      <c r="O13" s="207">
        <v>3.29042718</v>
      </c>
      <c r="P13" s="207">
        <v>9.9404249699999987</v>
      </c>
      <c r="Q13" s="207">
        <v>5.7368224300000001</v>
      </c>
      <c r="R13" s="207">
        <v>28.211606</v>
      </c>
      <c r="S13" s="207">
        <v>-8.7125947300000011</v>
      </c>
      <c r="T13" s="207">
        <v>0.25451407999999998</v>
      </c>
      <c r="U13" s="207">
        <v>-5.6060557599999994</v>
      </c>
      <c r="V13" s="207">
        <v>-2.5</v>
      </c>
      <c r="W13" s="207">
        <f t="shared" ref="W13:W17" si="7">SUM(S13:V13)</f>
        <v>-16.56413641</v>
      </c>
      <c r="X13" s="207">
        <v>-0.67309184</v>
      </c>
      <c r="Y13" s="207">
        <v>16.450707019999999</v>
      </c>
      <c r="Z13" s="207">
        <v>10.788388279999999</v>
      </c>
      <c r="AA13" s="207">
        <v>7.8160904999999996</v>
      </c>
      <c r="AB13" s="207">
        <f t="shared" ref="AB13:AB16" si="8">SUM(X13:AA13)</f>
        <v>34.382093959999999</v>
      </c>
      <c r="AC13" s="207">
        <v>16.62548859</v>
      </c>
      <c r="AD13" s="207">
        <v>23.224540219999998</v>
      </c>
      <c r="AE13" s="207">
        <v>15.25284098</v>
      </c>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89"/>
      <c r="BE13" s="189"/>
      <c r="BF13" s="189"/>
    </row>
    <row r="14" spans="1:58" ht="12.75" customHeight="1" x14ac:dyDescent="0.2">
      <c r="A14" s="162"/>
      <c r="B14" s="189"/>
      <c r="C14" s="190" t="s">
        <v>359</v>
      </c>
      <c r="D14" s="172">
        <f>2.872/2</f>
        <v>1.4359999999999999</v>
      </c>
      <c r="E14" s="172">
        <f>1.365/2</f>
        <v>0.6825</v>
      </c>
      <c r="F14" s="172">
        <f>(204/1000)/2</f>
        <v>0.10199999999999999</v>
      </c>
      <c r="G14" s="172">
        <f>((966/1000)/2)-SUM(D14:F14)</f>
        <v>-1.7374999999999998</v>
      </c>
      <c r="H14" s="172">
        <f t="shared" ref="H14:H18" si="9">SUM(D14:G14)</f>
        <v>0.4830000000000001</v>
      </c>
      <c r="I14" s="172">
        <f>0.364/2</f>
        <v>0.182</v>
      </c>
      <c r="J14" s="172">
        <f>1.365/2</f>
        <v>0.6825</v>
      </c>
      <c r="K14" s="172">
        <f>0.539/2</f>
        <v>0.26950000000000002</v>
      </c>
      <c r="L14" s="172">
        <f>(2.901/2)-SUM(I14:K14)</f>
        <v>0.31649999999999978</v>
      </c>
      <c r="M14" s="172">
        <f t="shared" ref="M14:M18" si="10">SUM(I14:L14)</f>
        <v>1.4504999999999999</v>
      </c>
      <c r="N14" s="172">
        <f>-1.189/2</f>
        <v>-0.59450000000000003</v>
      </c>
      <c r="O14" s="172">
        <f>-0.452/2</f>
        <v>-0.22600000000000001</v>
      </c>
      <c r="P14" s="172">
        <f>(-0.948/2)/1000</f>
        <v>-4.7399999999999997E-4</v>
      </c>
      <c r="Q14" s="172">
        <f>(0.313/2)-SUM(N14:P14)</f>
        <v>0.97747399999999995</v>
      </c>
      <c r="R14" s="172">
        <f t="shared" ref="R14:R18" si="11">SUM(N14:Q14)</f>
        <v>0.15649999999999997</v>
      </c>
      <c r="S14" s="172">
        <v>3.8248370000000004E-2</v>
      </c>
      <c r="T14" s="172">
        <v>8.9737070000000002E-2</v>
      </c>
      <c r="U14" s="172">
        <v>0.12632125</v>
      </c>
      <c r="V14" s="172">
        <v>1.8338844699999999</v>
      </c>
      <c r="W14" s="172">
        <f t="shared" si="7"/>
        <v>2.08819116</v>
      </c>
      <c r="X14" s="172">
        <v>5.9273355900000002</v>
      </c>
      <c r="Y14" s="172">
        <v>0.74959841000000005</v>
      </c>
      <c r="Z14" s="172">
        <v>0.36284171999999998</v>
      </c>
      <c r="AA14" s="172">
        <v>0.93990377000000003</v>
      </c>
      <c r="AB14" s="172">
        <f t="shared" si="8"/>
        <v>7.9796794899999997</v>
      </c>
      <c r="AC14" s="172">
        <v>1.86332327</v>
      </c>
      <c r="AD14" s="172">
        <v>0.56678233999999994</v>
      </c>
      <c r="AE14" s="172">
        <v>0.30777525999999999</v>
      </c>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89"/>
      <c r="BE14" s="189"/>
      <c r="BF14" s="189"/>
    </row>
    <row r="15" spans="1:58" ht="12.75" customHeight="1" x14ac:dyDescent="0.2">
      <c r="A15" s="162"/>
      <c r="B15" s="189"/>
      <c r="C15" s="190" t="s">
        <v>351</v>
      </c>
      <c r="D15" s="172">
        <f>-15.816/2</f>
        <v>-7.9080000000000004</v>
      </c>
      <c r="E15" s="172">
        <f>-16.931/2</f>
        <v>-8.4655000000000005</v>
      </c>
      <c r="F15" s="172">
        <f>-16.644/2</f>
        <v>-8.3219999999999992</v>
      </c>
      <c r="G15" s="172">
        <f>(-63.108/2)-SUM(D15:F15)</f>
        <v>-6.8584999999999994</v>
      </c>
      <c r="H15" s="172">
        <f t="shared" si="9"/>
        <v>-31.553999999999998</v>
      </c>
      <c r="I15" s="172">
        <f>(16.519/2)+(-561/10^3)</f>
        <v>7.6984999999999992</v>
      </c>
      <c r="J15" s="172">
        <f>(-16.931/2)+(-738.5/10^3)</f>
        <v>-9.2040000000000006</v>
      </c>
      <c r="K15" s="172">
        <f>(-18.052/2)+(-595.5/10^3)</f>
        <v>-9.6214999999999993</v>
      </c>
      <c r="L15" s="172">
        <f>((-67.313/2)-SUM(16.519/2+-16.931/2+-18.052/2))+(-0.3855)</f>
        <v>-24.810000000000002</v>
      </c>
      <c r="M15" s="172">
        <f t="shared" si="10"/>
        <v>-35.937000000000005</v>
      </c>
      <c r="N15" s="172">
        <f>(-19.049/2)+(-949/2/10^3)</f>
        <v>-9.9990000000000006</v>
      </c>
      <c r="O15" s="172">
        <f>(-21.531/2)+(-717/2/10^3)</f>
        <v>-11.123999999999999</v>
      </c>
      <c r="P15" s="172">
        <f>(-22.691/2)+(-652/2/10^3)</f>
        <v>-11.6715</v>
      </c>
      <c r="Q15" s="172">
        <f>(-86.794/2)-(SUM(-19.049/2+-21.531/2+-22.691/2))-0.2545</f>
        <v>-12.015999999999998</v>
      </c>
      <c r="R15" s="172">
        <f t="shared" si="11"/>
        <v>-44.810499999999998</v>
      </c>
      <c r="S15" s="172">
        <v>-10.256780560000001</v>
      </c>
      <c r="T15" s="172">
        <v>-9.8259235</v>
      </c>
      <c r="U15" s="172">
        <v>-10.39187858</v>
      </c>
      <c r="V15" s="172">
        <v>-10.41836736</v>
      </c>
      <c r="W15" s="172">
        <f t="shared" si="7"/>
        <v>-40.892949999999999</v>
      </c>
      <c r="X15" s="172">
        <v>-9.5962848100000002</v>
      </c>
      <c r="Y15" s="172">
        <v>-14.23864899</v>
      </c>
      <c r="Z15" s="172">
        <v>-19.368550389999999</v>
      </c>
      <c r="AA15" s="172">
        <v>4.2050312000000005</v>
      </c>
      <c r="AB15" s="172">
        <f t="shared" si="8"/>
        <v>-38.998452989999997</v>
      </c>
      <c r="AC15" s="172">
        <v>-6.7204367399999994</v>
      </c>
      <c r="AD15" s="172">
        <v>-7.8549779500000003</v>
      </c>
      <c r="AE15" s="172">
        <v>-7.7991821999999997</v>
      </c>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89"/>
      <c r="BE15" s="189"/>
      <c r="BF15" s="189"/>
    </row>
    <row r="16" spans="1:58" ht="12.75" customHeight="1" x14ac:dyDescent="0.2">
      <c r="A16" s="162"/>
      <c r="B16" s="189"/>
      <c r="C16" s="190" t="s">
        <v>176</v>
      </c>
      <c r="D16" s="172">
        <f>(505/1000)/2</f>
        <v>0.2525</v>
      </c>
      <c r="E16" s="172">
        <f>(-30.302/2)</f>
        <v>-15.151</v>
      </c>
      <c r="F16" s="172">
        <f>-10.57/2</f>
        <v>-5.2850000000000001</v>
      </c>
      <c r="G16" s="172">
        <f>(-33.799/2)-SUM(D16:F16)</f>
        <v>3.2840000000000025</v>
      </c>
      <c r="H16" s="172">
        <f t="shared" si="9"/>
        <v>-16.8995</v>
      </c>
      <c r="I16" s="172">
        <f>2.786/2</f>
        <v>1.393</v>
      </c>
      <c r="J16" s="172">
        <f>(270/1000)/2</f>
        <v>0.13500000000000001</v>
      </c>
      <c r="K16" s="172">
        <f>(-18.389/2)</f>
        <v>-9.1944999999999997</v>
      </c>
      <c r="L16" s="172">
        <f>(-9.336/2)-SUM(I16:K16)</f>
        <v>2.9984999999999991</v>
      </c>
      <c r="M16" s="172">
        <f t="shared" si="10"/>
        <v>-4.6680000000000001</v>
      </c>
      <c r="N16" s="172">
        <f>(-84.055/2)</f>
        <v>-42.027500000000003</v>
      </c>
      <c r="O16" s="172">
        <f>-17.571/2</f>
        <v>-8.7855000000000008</v>
      </c>
      <c r="P16" s="172">
        <f>(-11.73/2)</f>
        <v>-5.8650000000000002</v>
      </c>
      <c r="Q16" s="172">
        <f>(-77.974/2)-SUM(N16:P16)</f>
        <v>17.691000000000003</v>
      </c>
      <c r="R16" s="172">
        <f t="shared" si="11"/>
        <v>-38.987000000000002</v>
      </c>
      <c r="S16" s="172">
        <v>-19.73324199</v>
      </c>
      <c r="T16" s="172">
        <v>30.584365179999999</v>
      </c>
      <c r="U16" s="172">
        <v>-15.787440140000001</v>
      </c>
      <c r="V16" s="172">
        <v>-5.6884205799999998</v>
      </c>
      <c r="W16" s="172">
        <f t="shared" si="7"/>
        <v>-10.624737530000001</v>
      </c>
      <c r="X16" s="172">
        <v>37.1987533</v>
      </c>
      <c r="Y16" s="172">
        <v>-20.149644540000001</v>
      </c>
      <c r="Z16" s="172">
        <v>-7.8902662699999997</v>
      </c>
      <c r="AA16" s="172">
        <v>4.7725653000000001</v>
      </c>
      <c r="AB16" s="172">
        <f t="shared" si="8"/>
        <v>13.93140779</v>
      </c>
      <c r="AC16" s="172">
        <v>5.6279017900000001</v>
      </c>
      <c r="AD16" s="172">
        <v>9.94882475</v>
      </c>
      <c r="AE16" s="172">
        <v>-5.5535019700000001</v>
      </c>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89"/>
      <c r="BE16" s="189"/>
      <c r="BF16" s="189"/>
    </row>
    <row r="17" spans="1:58" ht="12.75" customHeight="1" x14ac:dyDescent="0.2">
      <c r="A17" s="162"/>
      <c r="B17" s="47"/>
      <c r="C17" s="375" t="s">
        <v>177</v>
      </c>
      <c r="D17" s="181">
        <f>-1.825/2</f>
        <v>-0.91249999999999998</v>
      </c>
      <c r="E17" s="181">
        <f>-5.849/2</f>
        <v>-2.9245000000000001</v>
      </c>
      <c r="F17" s="181">
        <f>-14.621/2</f>
        <v>-7.3105000000000002</v>
      </c>
      <c r="G17" s="181">
        <f>(-66.17/2)-SUM(D17:F17)</f>
        <v>-21.9375</v>
      </c>
      <c r="H17" s="181">
        <f t="shared" si="9"/>
        <v>-33.085000000000001</v>
      </c>
      <c r="I17" s="181">
        <f>-16.744/2</f>
        <v>-8.3719999999999999</v>
      </c>
      <c r="J17" s="181">
        <f>5.08/2</f>
        <v>2.54</v>
      </c>
      <c r="K17" s="181">
        <f>-11.637/2</f>
        <v>-5.8185000000000002</v>
      </c>
      <c r="L17" s="181">
        <f>(-6.305/2)-SUM(I17:K17)</f>
        <v>8.4980000000000011</v>
      </c>
      <c r="M17" s="181">
        <f t="shared" si="10"/>
        <v>-3.1524999999999999</v>
      </c>
      <c r="N17" s="181">
        <f>-86.696/2</f>
        <v>-43.347999999999999</v>
      </c>
      <c r="O17" s="181">
        <f>-33.651/2</f>
        <v>-16.825500000000002</v>
      </c>
      <c r="P17" s="181">
        <f>-16.055/2</f>
        <v>-8.0274999999999999</v>
      </c>
      <c r="Q17" s="181">
        <f>(-110.617/2)-SUM(N17:P17)</f>
        <v>12.892500000000005</v>
      </c>
      <c r="R17" s="181">
        <f t="shared" si="11"/>
        <v>-55.308500000000002</v>
      </c>
      <c r="S17" s="181">
        <f>-77.876/2</f>
        <v>-38.938000000000002</v>
      </c>
      <c r="T17" s="181">
        <f>42.208/2</f>
        <v>21.103999999999999</v>
      </c>
      <c r="U17" s="181">
        <f>-63.318/2</f>
        <v>-31.658999999999999</v>
      </c>
      <c r="V17" s="181">
        <f>-33.163/2</f>
        <v>-16.581499999999998</v>
      </c>
      <c r="W17" s="181">
        <f t="shared" si="7"/>
        <v>-66.0745</v>
      </c>
      <c r="X17" s="181">
        <v>32.85671224</v>
      </c>
      <c r="Y17" s="181">
        <v>-17.187988099999998</v>
      </c>
      <c r="Z17" s="181">
        <v>-16.107586649999998</v>
      </c>
      <c r="AA17" s="181">
        <v>17.733590759999998</v>
      </c>
      <c r="AB17" s="181">
        <v>17.294728249999999</v>
      </c>
      <c r="AC17" s="181">
        <v>17.396276929999999</v>
      </c>
      <c r="AD17" s="181">
        <v>25.885169359999999</v>
      </c>
      <c r="AE17" s="181">
        <v>2.2079320600000001</v>
      </c>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row>
    <row r="18" spans="1:58" ht="12.75" customHeight="1" x14ac:dyDescent="0.2">
      <c r="A18" s="162"/>
      <c r="B18" s="47"/>
      <c r="C18" s="177" t="s">
        <v>178</v>
      </c>
      <c r="D18" s="181">
        <f>-1.354/2</f>
        <v>-0.67700000000000005</v>
      </c>
      <c r="E18" s="181">
        <f>22.726/2</f>
        <v>11.363</v>
      </c>
      <c r="F18" s="181">
        <f>10.434/2</f>
        <v>5.2169999999999996</v>
      </c>
      <c r="G18" s="181">
        <f>(35.87/2)-SUM(D18:F18)</f>
        <v>2.032</v>
      </c>
      <c r="H18" s="181">
        <f t="shared" si="9"/>
        <v>17.934999999999999</v>
      </c>
      <c r="I18" s="181">
        <f>7.164/2</f>
        <v>3.5819999999999999</v>
      </c>
      <c r="J18" s="181">
        <f>(-84/1000)/2</f>
        <v>-4.2000000000000003E-2</v>
      </c>
      <c r="K18" s="181">
        <f>7.341/2</f>
        <v>3.6705000000000001</v>
      </c>
      <c r="L18" s="181">
        <f>(10.925/2)-SUM(I18:K18)</f>
        <v>-1.7479999999999993</v>
      </c>
      <c r="M18" s="181">
        <f t="shared" si="10"/>
        <v>5.4625000000000004</v>
      </c>
      <c r="N18" s="181">
        <f>49.016/2</f>
        <v>24.507999999999999</v>
      </c>
      <c r="O18" s="181">
        <f>-21.611/2</f>
        <v>-10.8055</v>
      </c>
      <c r="P18" s="181">
        <f>166.771/2</f>
        <v>83.385499999999993</v>
      </c>
      <c r="Q18" s="181">
        <f>(72.193/2)-SUM(N18:P18)</f>
        <v>-60.991499999999995</v>
      </c>
      <c r="R18" s="181">
        <f t="shared" si="11"/>
        <v>36.096499999999999</v>
      </c>
      <c r="S18" s="181">
        <v>28.416499290000001</v>
      </c>
      <c r="T18" s="181">
        <v>-18.919739069999999</v>
      </c>
      <c r="U18" s="181">
        <v>15.956581809999998</v>
      </c>
      <c r="V18" s="181">
        <v>8.7265241800000002</v>
      </c>
      <c r="W18" s="181">
        <v>34.17986621</v>
      </c>
      <c r="X18" s="181">
        <v>-11.439669480000001</v>
      </c>
      <c r="Y18" s="181">
        <v>-1.0543020100000029</v>
      </c>
      <c r="Z18" s="181">
        <v>3.2483147899999998</v>
      </c>
      <c r="AA18" s="181">
        <v>8.9639770799999994</v>
      </c>
      <c r="AB18" s="181">
        <v>-0.28167962000000002</v>
      </c>
      <c r="AC18" s="181">
        <v>-5.3288733300000004</v>
      </c>
      <c r="AD18" s="181">
        <v>-7.5654187000000004</v>
      </c>
      <c r="AE18" s="181">
        <v>-1.64605924</v>
      </c>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row>
    <row r="19" spans="1:58" ht="12.75" customHeight="1" x14ac:dyDescent="0.2">
      <c r="A19" s="162"/>
      <c r="B19" s="47"/>
      <c r="C19" s="376" t="s">
        <v>352</v>
      </c>
      <c r="D19" s="181">
        <f t="shared" ref="D19:R19" si="12">D17+D18</f>
        <v>-1.5895000000000001</v>
      </c>
      <c r="E19" s="181">
        <f t="shared" si="12"/>
        <v>8.4384999999999994</v>
      </c>
      <c r="F19" s="181">
        <f t="shared" si="12"/>
        <v>-2.0935000000000006</v>
      </c>
      <c r="G19" s="181">
        <f t="shared" si="12"/>
        <v>-19.9055</v>
      </c>
      <c r="H19" s="181">
        <f t="shared" si="12"/>
        <v>-15.150000000000002</v>
      </c>
      <c r="I19" s="181">
        <f t="shared" si="12"/>
        <v>-4.79</v>
      </c>
      <c r="J19" s="181">
        <f t="shared" si="12"/>
        <v>2.4980000000000002</v>
      </c>
      <c r="K19" s="181">
        <f t="shared" si="12"/>
        <v>-2.1480000000000001</v>
      </c>
      <c r="L19" s="181">
        <f t="shared" si="12"/>
        <v>6.7500000000000018</v>
      </c>
      <c r="M19" s="181">
        <f t="shared" si="12"/>
        <v>2.3100000000000005</v>
      </c>
      <c r="N19" s="181">
        <f t="shared" si="12"/>
        <v>-18.84</v>
      </c>
      <c r="O19" s="181">
        <f t="shared" si="12"/>
        <v>-27.631</v>
      </c>
      <c r="P19" s="181">
        <f t="shared" si="12"/>
        <v>75.35799999999999</v>
      </c>
      <c r="Q19" s="181">
        <f t="shared" si="12"/>
        <v>-48.09899999999999</v>
      </c>
      <c r="R19" s="181">
        <f t="shared" si="12"/>
        <v>-19.212000000000003</v>
      </c>
      <c r="S19" s="181">
        <v>-10.24786963</v>
      </c>
      <c r="T19" s="181">
        <v>2.1829537599999997</v>
      </c>
      <c r="U19" s="181">
        <v>-15.702471409999999</v>
      </c>
      <c r="V19" s="181">
        <v>-8.0383282699999992</v>
      </c>
      <c r="W19" s="181">
        <f t="shared" ref="W19:W20" si="13">SUM(S19:V19)</f>
        <v>-31.805715550000002</v>
      </c>
      <c r="X19" s="181">
        <v>21.417042760000001</v>
      </c>
      <c r="Y19" s="181">
        <v>-18.24229012</v>
      </c>
      <c r="Z19" s="181">
        <v>-12.85927186</v>
      </c>
      <c r="AA19" s="181">
        <v>26.697567840000001</v>
      </c>
      <c r="AB19" s="181">
        <f t="shared" ref="AB19:AB20" si="14">SUM(X19:AA19)</f>
        <v>17.013048620000003</v>
      </c>
      <c r="AC19" s="181">
        <v>12.0674036</v>
      </c>
      <c r="AD19" s="181">
        <v>18.319750650000003</v>
      </c>
      <c r="AE19" s="181">
        <v>0.56187282000000005</v>
      </c>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row>
    <row r="20" spans="1:58" ht="12.75" customHeight="1" x14ac:dyDescent="0.2">
      <c r="A20" s="162"/>
      <c r="B20" s="47"/>
      <c r="C20" s="177" t="s">
        <v>180</v>
      </c>
      <c r="D20" s="181">
        <v>-1.35816662</v>
      </c>
      <c r="E20" s="181">
        <v>-6.08622044</v>
      </c>
      <c r="F20" s="181">
        <v>-1.5219939</v>
      </c>
      <c r="G20" s="181">
        <v>-0.28268135999999999</v>
      </c>
      <c r="H20" s="181">
        <f>SUM(D20:G20)</f>
        <v>-9.2490623200000002</v>
      </c>
      <c r="I20" s="181">
        <v>0.38954853</v>
      </c>
      <c r="J20" s="181">
        <v>-0.82781638999999996</v>
      </c>
      <c r="K20" s="181">
        <v>-3.9375699800000001</v>
      </c>
      <c r="L20" s="181">
        <v>0.74447726000000003</v>
      </c>
      <c r="M20" s="181">
        <f>SUM(I20:L20)</f>
        <v>-3.6313605799999999</v>
      </c>
      <c r="N20" s="181">
        <v>-14.97110943</v>
      </c>
      <c r="O20" s="181">
        <v>3.3240529200000002</v>
      </c>
      <c r="P20" s="181">
        <v>7.9823695600000004</v>
      </c>
      <c r="Q20" s="181">
        <v>3.5091888600000001</v>
      </c>
      <c r="R20" s="181">
        <f>SUM(N20:Q20)</f>
        <v>-0.15549809000000003</v>
      </c>
      <c r="S20" s="181">
        <v>-19.509241190000001</v>
      </c>
      <c r="T20" s="181">
        <v>66.293123690000002</v>
      </c>
      <c r="U20" s="181">
        <v>-31.634366059999998</v>
      </c>
      <c r="V20" s="181">
        <v>-14.111370450000001</v>
      </c>
      <c r="W20" s="181">
        <f t="shared" si="13"/>
        <v>1.0381459900000056</v>
      </c>
      <c r="X20" s="181">
        <v>63.477705489999998</v>
      </c>
      <c r="Y20" s="181">
        <v>-49.614617809999999</v>
      </c>
      <c r="Z20" s="181">
        <v>-16.764578229999998</v>
      </c>
      <c r="AA20" s="181">
        <v>25.492572930000001</v>
      </c>
      <c r="AB20" s="181">
        <f t="shared" si="14"/>
        <v>22.591082380000003</v>
      </c>
      <c r="AC20" s="181">
        <v>9.2261911800000007</v>
      </c>
      <c r="AD20" s="181">
        <v>22.409603474365461</v>
      </c>
      <c r="AE20" s="181">
        <v>-15.0181735</v>
      </c>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row>
    <row r="21" spans="1:58" ht="12.75" customHeight="1" x14ac:dyDescent="0.2">
      <c r="A21" s="162"/>
      <c r="B21" s="189"/>
      <c r="C21" s="376" t="s">
        <v>360</v>
      </c>
      <c r="D21" s="377">
        <f t="shared" ref="D21:AE21" si="15">D19-D20</f>
        <v>-0.23133338000000014</v>
      </c>
      <c r="E21" s="377">
        <f t="shared" si="15"/>
        <v>14.524720439999999</v>
      </c>
      <c r="F21" s="377">
        <f t="shared" si="15"/>
        <v>-0.57150610000000057</v>
      </c>
      <c r="G21" s="377">
        <f t="shared" si="15"/>
        <v>-19.622818639999998</v>
      </c>
      <c r="H21" s="377">
        <f t="shared" si="15"/>
        <v>-5.900937680000002</v>
      </c>
      <c r="I21" s="377">
        <f t="shared" si="15"/>
        <v>-5.1795485299999999</v>
      </c>
      <c r="J21" s="377">
        <f t="shared" si="15"/>
        <v>3.32581639</v>
      </c>
      <c r="K21" s="377">
        <f t="shared" si="15"/>
        <v>1.78956998</v>
      </c>
      <c r="L21" s="377">
        <f t="shared" si="15"/>
        <v>6.0055227400000017</v>
      </c>
      <c r="M21" s="377">
        <f t="shared" si="15"/>
        <v>5.9413605800000004</v>
      </c>
      <c r="N21" s="377">
        <f t="shared" si="15"/>
        <v>-3.8688905699999996</v>
      </c>
      <c r="O21" s="377">
        <f t="shared" si="15"/>
        <v>-30.95505292</v>
      </c>
      <c r="P21" s="377">
        <f t="shared" si="15"/>
        <v>67.375630439999995</v>
      </c>
      <c r="Q21" s="377">
        <f t="shared" si="15"/>
        <v>-51.608188859999991</v>
      </c>
      <c r="R21" s="377">
        <f t="shared" si="15"/>
        <v>-19.056501910000001</v>
      </c>
      <c r="S21" s="377">
        <f t="shared" si="15"/>
        <v>9.2613715600000006</v>
      </c>
      <c r="T21" s="377">
        <f t="shared" si="15"/>
        <v>-64.110169929999998</v>
      </c>
      <c r="U21" s="377">
        <f t="shared" si="15"/>
        <v>15.931894649999998</v>
      </c>
      <c r="V21" s="377">
        <f t="shared" si="15"/>
        <v>6.0730421800000016</v>
      </c>
      <c r="W21" s="377">
        <f t="shared" si="15"/>
        <v>-32.843861540000006</v>
      </c>
      <c r="X21" s="377">
        <f t="shared" si="15"/>
        <v>-42.060662729999997</v>
      </c>
      <c r="Y21" s="377">
        <f t="shared" si="15"/>
        <v>31.372327689999999</v>
      </c>
      <c r="Z21" s="377">
        <f t="shared" si="15"/>
        <v>3.9053063699999981</v>
      </c>
      <c r="AA21" s="377">
        <f t="shared" si="15"/>
        <v>1.2049949099999999</v>
      </c>
      <c r="AB21" s="377">
        <f t="shared" si="15"/>
        <v>-5.5780337600000003</v>
      </c>
      <c r="AC21" s="377">
        <f t="shared" si="15"/>
        <v>2.8412124199999997</v>
      </c>
      <c r="AD21" s="377">
        <f t="shared" si="15"/>
        <v>-4.0898528243654582</v>
      </c>
      <c r="AE21" s="377">
        <f t="shared" si="15"/>
        <v>15.580046319999999</v>
      </c>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row>
    <row r="22" spans="1:58" ht="12.75" customHeight="1" x14ac:dyDescent="0.2">
      <c r="A22" s="162"/>
      <c r="B22" s="147"/>
      <c r="C22" s="217"/>
      <c r="D22" s="84"/>
      <c r="E22" s="378"/>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row>
    <row r="23" spans="1:58" ht="12.75" customHeight="1" x14ac:dyDescent="0.2">
      <c r="A23" s="147"/>
      <c r="B23" s="147"/>
      <c r="C23" s="217" t="s">
        <v>222</v>
      </c>
      <c r="D23" s="243">
        <f t="shared" ref="D23:AE23" si="16">D11/D5</f>
        <v>0.46577885392080792</v>
      </c>
      <c r="E23" s="243">
        <f t="shared" si="16"/>
        <v>0.47745649229487397</v>
      </c>
      <c r="F23" s="243">
        <f t="shared" si="16"/>
        <v>0.4390865005922675</v>
      </c>
      <c r="G23" s="243">
        <f t="shared" si="16"/>
        <v>0.33875801257625621</v>
      </c>
      <c r="H23" s="243">
        <f t="shared" si="16"/>
        <v>0.42978445326927106</v>
      </c>
      <c r="I23" s="243">
        <f t="shared" si="16"/>
        <v>0.42294412502168199</v>
      </c>
      <c r="J23" s="243">
        <f t="shared" si="16"/>
        <v>0.5584797151241534</v>
      </c>
      <c r="K23" s="243">
        <f t="shared" si="16"/>
        <v>0.52909922667424891</v>
      </c>
      <c r="L23" s="243">
        <f t="shared" si="16"/>
        <v>0.54391218247921336</v>
      </c>
      <c r="M23" s="243">
        <f t="shared" si="16"/>
        <v>0.5186585932728327</v>
      </c>
      <c r="N23" s="243">
        <f t="shared" si="16"/>
        <v>0.52988605961832547</v>
      </c>
      <c r="O23" s="243">
        <f t="shared" si="16"/>
        <v>0.50385845102178972</v>
      </c>
      <c r="P23" s="243">
        <f t="shared" si="16"/>
        <v>0.5233722957868131</v>
      </c>
      <c r="Q23" s="243">
        <f t="shared" si="16"/>
        <v>0.49255076927134861</v>
      </c>
      <c r="R23" s="243">
        <f t="shared" si="16"/>
        <v>0.5119385661655852</v>
      </c>
      <c r="S23" s="243">
        <f t="shared" si="16"/>
        <v>0.32995832915179335</v>
      </c>
      <c r="T23" s="243">
        <f t="shared" si="16"/>
        <v>0.43031184992079546</v>
      </c>
      <c r="U23" s="243">
        <f t="shared" si="16"/>
        <v>0.34336073166830444</v>
      </c>
      <c r="V23" s="243">
        <f t="shared" si="16"/>
        <v>0.38036061669604199</v>
      </c>
      <c r="W23" s="243">
        <f t="shared" si="16"/>
        <v>0.3719204186792523</v>
      </c>
      <c r="X23" s="243">
        <f t="shared" si="16"/>
        <v>0.38398085467145759</v>
      </c>
      <c r="Y23" s="243">
        <f t="shared" si="16"/>
        <v>0.57054832971721003</v>
      </c>
      <c r="Z23" s="243">
        <f t="shared" si="16"/>
        <v>0.5282382017031102</v>
      </c>
      <c r="AA23" s="243">
        <f t="shared" si="16"/>
        <v>3.8596292058139955E-2</v>
      </c>
      <c r="AB23" s="243">
        <f t="shared" si="16"/>
        <v>0.36279151740484977</v>
      </c>
      <c r="AC23" s="243">
        <f t="shared" si="16"/>
        <v>0.36125890292022877</v>
      </c>
      <c r="AD23" s="243">
        <f t="shared" si="16"/>
        <v>0.41320349775259518</v>
      </c>
      <c r="AE23" s="243">
        <f t="shared" si="16"/>
        <v>0.34536295798936628</v>
      </c>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row>
    <row r="24" spans="1:58" ht="12.75" customHeight="1" x14ac:dyDescent="0.2">
      <c r="A24" s="147"/>
      <c r="B24" s="147"/>
      <c r="C24" s="217" t="s">
        <v>244</v>
      </c>
      <c r="D24" s="243">
        <f t="shared" ref="D24:AE24" si="17">D13/D5</f>
        <v>0.11711867781235176</v>
      </c>
      <c r="E24" s="243">
        <f t="shared" si="17"/>
        <v>0.16679145272853799</v>
      </c>
      <c r="F24" s="243">
        <f t="shared" si="17"/>
        <v>0.10294449714671247</v>
      </c>
      <c r="G24" s="243">
        <f t="shared" si="17"/>
        <v>-0.1082204802088856</v>
      </c>
      <c r="H24" s="243">
        <f t="shared" si="17"/>
        <v>7.0082735713426159E-2</v>
      </c>
      <c r="I24" s="243">
        <f t="shared" si="17"/>
        <v>-2.1791352413015538E-2</v>
      </c>
      <c r="J24" s="243">
        <f t="shared" si="17"/>
        <v>0.1633588865138848</v>
      </c>
      <c r="K24" s="243">
        <f t="shared" si="17"/>
        <v>0.18254631542914815</v>
      </c>
      <c r="L24" s="243">
        <f t="shared" si="17"/>
        <v>0.19110968552650973</v>
      </c>
      <c r="M24" s="243">
        <f t="shared" si="17"/>
        <v>0.13854508355193912</v>
      </c>
      <c r="N24" s="243">
        <f t="shared" si="17"/>
        <v>0.12881348481411919</v>
      </c>
      <c r="O24" s="243">
        <f t="shared" si="17"/>
        <v>4.3792182458166393E-2</v>
      </c>
      <c r="P24" s="243">
        <f t="shared" si="17"/>
        <v>0.12087489996866853</v>
      </c>
      <c r="Q24" s="243">
        <f t="shared" si="17"/>
        <v>6.8609936338444255E-2</v>
      </c>
      <c r="R24" s="243">
        <f t="shared" si="17"/>
        <v>9.0204457813976277E-2</v>
      </c>
      <c r="S24" s="243">
        <f t="shared" si="17"/>
        <v>-0.13215504847631401</v>
      </c>
      <c r="T24" s="243">
        <f t="shared" si="17"/>
        <v>3.6768587217063833E-3</v>
      </c>
      <c r="U24" s="243">
        <f t="shared" si="17"/>
        <v>-7.8190342921839656E-2</v>
      </c>
      <c r="V24" s="243">
        <f t="shared" si="17"/>
        <v>-2.7324756946554739E-2</v>
      </c>
      <c r="W24" s="243">
        <f t="shared" si="17"/>
        <v>-5.5521514593662918E-2</v>
      </c>
      <c r="X24" s="243">
        <f t="shared" si="17"/>
        <v>-8.0893976106997997E-3</v>
      </c>
      <c r="Y24" s="243">
        <f t="shared" si="17"/>
        <v>0.14804648353923677</v>
      </c>
      <c r="Z24" s="243">
        <f t="shared" si="17"/>
        <v>8.1200383438315427E-2</v>
      </c>
      <c r="AA24" s="243">
        <f t="shared" si="17"/>
        <v>5.4109100037075093E-2</v>
      </c>
      <c r="AB24" s="243">
        <f t="shared" si="17"/>
        <v>7.2899473790656658E-2</v>
      </c>
      <c r="AC24" s="243">
        <f t="shared" si="17"/>
        <v>0.12346550397989144</v>
      </c>
      <c r="AD24" s="243">
        <f t="shared" si="17"/>
        <v>0.17358346868783159</v>
      </c>
      <c r="AE24" s="243">
        <f t="shared" si="17"/>
        <v>0.11324341534326064</v>
      </c>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row>
    <row r="25" spans="1:58" ht="12.75" customHeight="1" x14ac:dyDescent="0.2">
      <c r="A25" s="147"/>
      <c r="B25" s="147"/>
      <c r="C25" s="217" t="s">
        <v>345</v>
      </c>
      <c r="D25" s="243">
        <f t="shared" ref="D25:AE25" si="18">D19/D5</f>
        <v>-3.4900864626488927E-2</v>
      </c>
      <c r="E25" s="243">
        <f t="shared" si="18"/>
        <v>0.1533756639496697</v>
      </c>
      <c r="F25" s="243">
        <f t="shared" si="18"/>
        <v>-3.4602828140267175E-2</v>
      </c>
      <c r="G25" s="243">
        <f t="shared" si="18"/>
        <v>-0.37553437987600063</v>
      </c>
      <c r="H25" s="243">
        <f t="shared" si="18"/>
        <v>-7.0771763571096963E-2</v>
      </c>
      <c r="I25" s="243">
        <f t="shared" si="18"/>
        <v>-9.0296785289045153E-2</v>
      </c>
      <c r="J25" s="243">
        <f t="shared" si="18"/>
        <v>4.0161979462716484E-2</v>
      </c>
      <c r="K25" s="243">
        <f t="shared" si="18"/>
        <v>-3.0881312762052207E-2</v>
      </c>
      <c r="L25" s="243">
        <f t="shared" si="18"/>
        <v>9.0943048234919208E-2</v>
      </c>
      <c r="M25" s="243">
        <f t="shared" si="18"/>
        <v>8.9180812924376223E-3</v>
      </c>
      <c r="N25" s="243">
        <f t="shared" si="18"/>
        <v>-0.26253397430527514</v>
      </c>
      <c r="O25" s="243">
        <f t="shared" si="18"/>
        <v>-0.36774003109881787</v>
      </c>
      <c r="P25" s="243">
        <f t="shared" si="18"/>
        <v>0.91634821844431902</v>
      </c>
      <c r="Q25" s="243">
        <f t="shared" si="18"/>
        <v>-0.57524341535926349</v>
      </c>
      <c r="R25" s="243">
        <f t="shared" si="18"/>
        <v>-6.142890424324346E-2</v>
      </c>
      <c r="S25" s="243">
        <f t="shared" si="18"/>
        <v>-0.15544252311751863</v>
      </c>
      <c r="T25" s="243">
        <f t="shared" si="18"/>
        <v>3.1536222167110529E-2</v>
      </c>
      <c r="U25" s="243">
        <f t="shared" si="18"/>
        <v>-0.21900988445899494</v>
      </c>
      <c r="V25" s="243">
        <f t="shared" si="18"/>
        <v>-8.785814649374793E-2</v>
      </c>
      <c r="W25" s="243">
        <f t="shared" si="18"/>
        <v>-0.10660993464199663</v>
      </c>
      <c r="X25" s="243">
        <f t="shared" si="18"/>
        <v>0.25739574339662097</v>
      </c>
      <c r="Y25" s="243">
        <f t="shared" si="18"/>
        <v>-0.16416965548563769</v>
      </c>
      <c r="Z25" s="243">
        <f t="shared" si="18"/>
        <v>-9.6787191809297735E-2</v>
      </c>
      <c r="AA25" s="243">
        <f t="shared" si="18"/>
        <v>0.18482147423973136</v>
      </c>
      <c r="AB25" s="243">
        <f t="shared" si="18"/>
        <v>3.6072331528607622E-2</v>
      </c>
      <c r="AC25" s="243">
        <f t="shared" si="18"/>
        <v>8.9615896647928614E-2</v>
      </c>
      <c r="AD25" s="243">
        <f t="shared" si="18"/>
        <v>0.13692438400070761</v>
      </c>
      <c r="AE25" s="243">
        <f t="shared" si="18"/>
        <v>4.1715767710933764E-3</v>
      </c>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row>
    <row r="26" spans="1:58" ht="12.75" customHeight="1" x14ac:dyDescent="0.2">
      <c r="A26" s="147"/>
      <c r="B26" s="147"/>
      <c r="C26" s="217" t="s">
        <v>353</v>
      </c>
      <c r="D26" s="201">
        <f t="shared" ref="D26:AE26" si="19">((D5*10^6)*2)/D27</f>
        <v>77571.529282077448</v>
      </c>
      <c r="E26" s="201">
        <f t="shared" si="19"/>
        <v>80993.694973175807</v>
      </c>
      <c r="F26" s="201">
        <f t="shared" si="19"/>
        <v>83910.559059568288</v>
      </c>
      <c r="G26" s="201">
        <f t="shared" si="19"/>
        <v>92075.156782532082</v>
      </c>
      <c r="H26" s="201">
        <f t="shared" si="19"/>
        <v>83519.25849150162</v>
      </c>
      <c r="I26" s="201">
        <f t="shared" si="19"/>
        <v>101643.90380412861</v>
      </c>
      <c r="J26" s="201">
        <f t="shared" si="19"/>
        <v>101894.46652635267</v>
      </c>
      <c r="K26" s="201">
        <f t="shared" si="19"/>
        <v>101378.94478284175</v>
      </c>
      <c r="L26" s="201">
        <f t="shared" si="19"/>
        <v>99520.708522275425</v>
      </c>
      <c r="M26" s="201">
        <f t="shared" si="19"/>
        <v>101015.1279690322</v>
      </c>
      <c r="N26" s="201">
        <f t="shared" si="19"/>
        <v>108161.87268665353</v>
      </c>
      <c r="O26" s="201">
        <f t="shared" si="19"/>
        <v>122582.28825273951</v>
      </c>
      <c r="P26" s="201">
        <f t="shared" si="19"/>
        <v>119413.89020002281</v>
      </c>
      <c r="Q26" s="201">
        <f t="shared" si="19"/>
        <v>117281.81090944768</v>
      </c>
      <c r="R26" s="201">
        <f t="shared" si="19"/>
        <v>116783.85488116583</v>
      </c>
      <c r="S26" s="201">
        <f t="shared" si="19"/>
        <v>105731.00720111957</v>
      </c>
      <c r="T26" s="201">
        <f t="shared" si="19"/>
        <v>104401.29547878796</v>
      </c>
      <c r="U26" s="201">
        <f t="shared" si="19"/>
        <v>106078.3206739</v>
      </c>
      <c r="V26" s="201">
        <f t="shared" si="19"/>
        <v>124069.69989176841</v>
      </c>
      <c r="W26" s="201">
        <f t="shared" si="19"/>
        <v>110500.30955198774</v>
      </c>
      <c r="X26" s="201">
        <f t="shared" si="19"/>
        <v>118897.80611122886</v>
      </c>
      <c r="Y26" s="201">
        <f t="shared" si="19"/>
        <v>130406.08082749344</v>
      </c>
      <c r="Z26" s="201">
        <f t="shared" si="19"/>
        <v>166156.6802243756</v>
      </c>
      <c r="AA26" s="201">
        <f t="shared" si="19"/>
        <v>161806.60866419316</v>
      </c>
      <c r="AB26" s="201">
        <f t="shared" si="19"/>
        <v>145375.70261201158</v>
      </c>
      <c r="AC26" s="201">
        <f t="shared" si="19"/>
        <v>154425.56816689883</v>
      </c>
      <c r="AD26" s="201">
        <f t="shared" si="19"/>
        <v>139850.21950591906</v>
      </c>
      <c r="AE26" s="201">
        <f t="shared" si="19"/>
        <v>145466.48167647212</v>
      </c>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row>
    <row r="27" spans="1:58" ht="12.75" customHeight="1" x14ac:dyDescent="0.2">
      <c r="A27" s="147"/>
      <c r="B27" s="147"/>
      <c r="C27" s="217" t="s">
        <v>354</v>
      </c>
      <c r="D27" s="247">
        <v>1174.2267999999999</v>
      </c>
      <c r="E27" s="247">
        <v>1358.5874000000001</v>
      </c>
      <c r="F27" s="247">
        <v>1442.0315106481494</v>
      </c>
      <c r="G27" s="247">
        <v>1151.359416203697</v>
      </c>
      <c r="H27" s="247">
        <f>SUM(D27:G27)</f>
        <v>5126.2051268518462</v>
      </c>
      <c r="I27" s="247">
        <v>1043.787</v>
      </c>
      <c r="J27" s="247">
        <v>1220.834293173592</v>
      </c>
      <c r="K27" s="247">
        <v>1372.2105446844691</v>
      </c>
      <c r="L27" s="247">
        <v>1491.5945999999999</v>
      </c>
      <c r="M27" s="247">
        <f>SUM(I27:L27)</f>
        <v>5128.426437858061</v>
      </c>
      <c r="N27" s="247">
        <v>1326.9396859999999</v>
      </c>
      <c r="O27" s="247">
        <v>1225.9082450000001</v>
      </c>
      <c r="P27" s="247">
        <v>1377.3489199999999</v>
      </c>
      <c r="Q27" s="247">
        <v>1425.8824500000001</v>
      </c>
      <c r="R27" s="247">
        <f>SUM(N27:Q27)</f>
        <v>5356.0793009999998</v>
      </c>
      <c r="S27" s="247">
        <v>1247.071577301723</v>
      </c>
      <c r="T27" s="247">
        <v>1326.0471849999999</v>
      </c>
      <c r="U27" s="247">
        <v>1351.7851000000001</v>
      </c>
      <c r="V27" s="247">
        <v>1474.8503820000001</v>
      </c>
      <c r="W27" s="247">
        <f>SUM(S27:V27)</f>
        <v>5399.7542443017228</v>
      </c>
      <c r="X27" s="247">
        <f>'Operational Data'!BT47</f>
        <v>1399.6333999999999</v>
      </c>
      <c r="Y27" s="247">
        <f>'Operational Data'!BU47</f>
        <v>1704.1923999999999</v>
      </c>
      <c r="Z27" s="247">
        <f>'Operational Data'!BV47</f>
        <v>1599.2290777666719</v>
      </c>
      <c r="AA27" s="247">
        <f>'Operational Data'!BW47</f>
        <v>1785.4718556</v>
      </c>
      <c r="AB27" s="247">
        <f>SUM(X27:AA27)</f>
        <v>6488.5267333666716</v>
      </c>
      <c r="AC27" s="247">
        <f>'Operational Data'!BY47</f>
        <v>1743.9722552222249</v>
      </c>
      <c r="AD27" s="247">
        <f>'Operational Data'!BZ47</f>
        <v>1913.3992777799999</v>
      </c>
      <c r="AE27" s="247">
        <f>'Operational Data'!CA47</f>
        <v>1851.8459</v>
      </c>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row>
    <row r="28" spans="1:58" ht="12.75" customHeight="1" x14ac:dyDescent="0.2">
      <c r="A28" s="162"/>
      <c r="B28" s="162"/>
      <c r="C28" s="217" t="s">
        <v>184</v>
      </c>
      <c r="D28" s="140">
        <f t="shared" ref="D28:AE28" si="20">D18/D13</f>
        <v>-0.12692236671824778</v>
      </c>
      <c r="E28" s="140">
        <f t="shared" si="20"/>
        <v>1.2382559296592863</v>
      </c>
      <c r="F28" s="140">
        <f t="shared" si="20"/>
        <v>0.83763792196933962</v>
      </c>
      <c r="G28" s="140">
        <f t="shared" si="20"/>
        <v>-0.3542345018077705</v>
      </c>
      <c r="H28" s="140">
        <f t="shared" si="20"/>
        <v>1.1954673510688103</v>
      </c>
      <c r="I28" s="140">
        <f t="shared" si="20"/>
        <v>-3.0986903016054232</v>
      </c>
      <c r="J28" s="140">
        <f t="shared" si="20"/>
        <v>-4.1336071673551628E-3</v>
      </c>
      <c r="K28" s="140">
        <f t="shared" si="20"/>
        <v>0.28907706309753695</v>
      </c>
      <c r="L28" s="140">
        <f t="shared" si="20"/>
        <v>-0.12323227452818696</v>
      </c>
      <c r="M28" s="140">
        <f t="shared" si="20"/>
        <v>0.15221581523602118</v>
      </c>
      <c r="N28" s="140">
        <f t="shared" si="20"/>
        <v>2.6512529016577235</v>
      </c>
      <c r="O28" s="140">
        <f t="shared" si="20"/>
        <v>-3.2839201139834979</v>
      </c>
      <c r="P28" s="140">
        <f t="shared" si="20"/>
        <v>8.3885246608324842</v>
      </c>
      <c r="Q28" s="140">
        <f t="shared" si="20"/>
        <v>-10.63158233398554</v>
      </c>
      <c r="R28" s="140">
        <f t="shared" si="20"/>
        <v>1.2794911427587639</v>
      </c>
      <c r="S28" s="140">
        <f t="shared" si="20"/>
        <v>-3.2615426483862171</v>
      </c>
      <c r="T28" s="140">
        <f t="shared" si="20"/>
        <v>-74.336708876774125</v>
      </c>
      <c r="U28" s="140">
        <f t="shared" si="20"/>
        <v>-2.8463116481738311</v>
      </c>
      <c r="V28" s="140">
        <f t="shared" si="20"/>
        <v>-3.4906096720000002</v>
      </c>
      <c r="W28" s="140">
        <f t="shared" si="20"/>
        <v>-2.0634861585277178</v>
      </c>
      <c r="X28" s="140">
        <f t="shared" si="20"/>
        <v>16.995703706644253</v>
      </c>
      <c r="Y28" s="140">
        <f t="shared" si="20"/>
        <v>-6.4088553076669094E-2</v>
      </c>
      <c r="Z28" s="140">
        <f t="shared" si="20"/>
        <v>0.30109361154732189</v>
      </c>
      <c r="AA28" s="140">
        <f t="shared" si="20"/>
        <v>1.1468619868206491</v>
      </c>
      <c r="AB28" s="140">
        <f t="shared" si="20"/>
        <v>-8.1926255081410989E-3</v>
      </c>
      <c r="AC28" s="140">
        <f t="shared" si="20"/>
        <v>-0.32052431428723505</v>
      </c>
      <c r="AD28" s="140">
        <f t="shared" si="20"/>
        <v>-0.32575106453496028</v>
      </c>
      <c r="AE28" s="140">
        <f t="shared" si="20"/>
        <v>-0.10791820633011018</v>
      </c>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row>
    <row r="29" spans="1:58" ht="12.75" customHeight="1" x14ac:dyDescent="0.2">
      <c r="A29" s="147"/>
      <c r="B29" s="147"/>
      <c r="C29" s="379"/>
      <c r="D29" s="187"/>
      <c r="E29" s="187"/>
      <c r="F29" s="187"/>
      <c r="G29" s="187"/>
      <c r="H29" s="187"/>
      <c r="I29" s="187"/>
      <c r="J29" s="187"/>
      <c r="K29" s="187"/>
      <c r="L29" s="187"/>
      <c r="M29" s="187"/>
      <c r="N29" s="243"/>
      <c r="O29" s="243"/>
      <c r="P29" s="187"/>
      <c r="Q29" s="187"/>
      <c r="R29" s="188"/>
      <c r="S29" s="187"/>
      <c r="T29" s="187"/>
      <c r="U29" s="187"/>
      <c r="V29" s="187"/>
      <c r="W29" s="187"/>
      <c r="X29" s="187"/>
      <c r="Y29" s="187"/>
      <c r="Z29" s="187"/>
      <c r="AA29" s="187"/>
      <c r="AB29" s="187"/>
      <c r="AC29" s="187"/>
      <c r="AD29" s="187"/>
      <c r="AE29" s="18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row>
    <row r="30" spans="1:58" ht="18" customHeight="1" x14ac:dyDescent="0.2">
      <c r="A30" s="152"/>
      <c r="B30" s="380" t="s">
        <v>187</v>
      </c>
      <c r="C30" s="154"/>
      <c r="D30" s="158" t="s">
        <v>98</v>
      </c>
      <c r="E30" s="158" t="s">
        <v>99</v>
      </c>
      <c r="F30" s="158" t="s">
        <v>100</v>
      </c>
      <c r="G30" s="158" t="s">
        <v>101</v>
      </c>
      <c r="H30" s="159">
        <v>2018</v>
      </c>
      <c r="I30" s="158" t="s">
        <v>102</v>
      </c>
      <c r="J30" s="158" t="s">
        <v>103</v>
      </c>
      <c r="K30" s="158" t="s">
        <v>104</v>
      </c>
      <c r="L30" s="158" t="s">
        <v>105</v>
      </c>
      <c r="M30" s="159">
        <v>2019</v>
      </c>
      <c r="N30" s="158" t="s">
        <v>158</v>
      </c>
      <c r="O30" s="158" t="s">
        <v>107</v>
      </c>
      <c r="P30" s="158" t="s">
        <v>108</v>
      </c>
      <c r="Q30" s="158" t="s">
        <v>109</v>
      </c>
      <c r="R30" s="159">
        <v>2020</v>
      </c>
      <c r="S30" s="158" t="s">
        <v>110</v>
      </c>
      <c r="T30" s="158" t="s">
        <v>111</v>
      </c>
      <c r="U30" s="158" t="s">
        <v>112</v>
      </c>
      <c r="V30" s="158" t="s">
        <v>113</v>
      </c>
      <c r="W30" s="159">
        <v>2021</v>
      </c>
      <c r="X30" s="158" t="s">
        <v>114</v>
      </c>
      <c r="Y30" s="158" t="s">
        <v>115</v>
      </c>
      <c r="Z30" s="158" t="str">
        <f>$Z$4</f>
        <v>3Q22</v>
      </c>
      <c r="AA30" s="158" t="str">
        <f>$AA$4</f>
        <v>4Q22</v>
      </c>
      <c r="AB30" s="160">
        <v>2022</v>
      </c>
      <c r="AC30" s="158" t="str">
        <f t="shared" ref="AC30:AE30" si="21">AC$4</f>
        <v>1Q23</v>
      </c>
      <c r="AD30" s="158" t="str">
        <f t="shared" si="21"/>
        <v>2Q23</v>
      </c>
      <c r="AE30" s="158" t="str">
        <f t="shared" si="21"/>
        <v>3Q23</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row>
    <row r="31" spans="1:58" ht="12.75" customHeight="1" x14ac:dyDescent="0.2">
      <c r="A31" s="189"/>
      <c r="B31" s="189"/>
      <c r="C31" s="190" t="s">
        <v>159</v>
      </c>
      <c r="D31" s="187" t="s">
        <v>146</v>
      </c>
      <c r="E31" s="187" t="s">
        <v>146</v>
      </c>
      <c r="F31" s="187" t="s">
        <v>146</v>
      </c>
      <c r="G31" s="187" t="s">
        <v>146</v>
      </c>
      <c r="H31" s="187" t="s">
        <v>146</v>
      </c>
      <c r="I31" s="140">
        <f t="shared" ref="I31:AE31" si="22">I5/D5-1</f>
        <v>0.16476651882569548</v>
      </c>
      <c r="J31" s="140">
        <f t="shared" si="22"/>
        <v>0.13049468626222605</v>
      </c>
      <c r="K31" s="140">
        <f t="shared" si="22"/>
        <v>0.14968046940241941</v>
      </c>
      <c r="L31" s="140">
        <f t="shared" si="22"/>
        <v>0.40026707602121991</v>
      </c>
      <c r="M31" s="140">
        <f t="shared" si="22"/>
        <v>0.21000715450046448</v>
      </c>
      <c r="N31" s="140">
        <f t="shared" si="22"/>
        <v>0.35279553439815858</v>
      </c>
      <c r="O31" s="140">
        <f t="shared" si="22"/>
        <v>0.20803180934757348</v>
      </c>
      <c r="P31" s="140">
        <f t="shared" si="22"/>
        <v>0.18230710860797195</v>
      </c>
      <c r="Q31" s="140">
        <f t="shared" si="22"/>
        <v>0.12654910052474322</v>
      </c>
      <c r="R31" s="140">
        <f t="shared" si="22"/>
        <v>0.20742247724895124</v>
      </c>
      <c r="S31" s="140">
        <f t="shared" si="22"/>
        <v>-8.1311310865244346E-2</v>
      </c>
      <c r="T31" s="140">
        <f t="shared" si="22"/>
        <v>-7.8746447494516869E-2</v>
      </c>
      <c r="U31" s="140">
        <f t="shared" si="22"/>
        <v>-0.12816264830914514</v>
      </c>
      <c r="V31" s="140">
        <f t="shared" si="22"/>
        <v>9.4206549372762405E-2</v>
      </c>
      <c r="W31" s="140">
        <f t="shared" si="22"/>
        <v>-4.6089379631657823E-2</v>
      </c>
      <c r="X31" s="140">
        <f t="shared" si="22"/>
        <v>0.26210180653849013</v>
      </c>
      <c r="Y31" s="140">
        <f t="shared" si="22"/>
        <v>0.60528298162866845</v>
      </c>
      <c r="Z31" s="140">
        <f t="shared" si="22"/>
        <v>0.85308010426140846</v>
      </c>
      <c r="AA31" s="140">
        <f t="shared" si="22"/>
        <v>0.57883071822253385</v>
      </c>
      <c r="AB31" s="140">
        <f t="shared" si="22"/>
        <v>0.58088557207702651</v>
      </c>
      <c r="AC31" s="140">
        <f t="shared" si="22"/>
        <v>0.61834324926491568</v>
      </c>
      <c r="AD31" s="140">
        <f t="shared" si="22"/>
        <v>0.20407153874849815</v>
      </c>
      <c r="AE31" s="140">
        <f t="shared" si="22"/>
        <v>1.3769672869408334E-2</v>
      </c>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93"/>
      <c r="BE31" s="193"/>
      <c r="BF31" s="193"/>
    </row>
    <row r="32" spans="1:58" ht="12.75" customHeight="1" x14ac:dyDescent="0.2">
      <c r="A32" s="189"/>
      <c r="B32" s="189"/>
      <c r="C32" s="190" t="s">
        <v>168</v>
      </c>
      <c r="D32" s="187" t="s">
        <v>146</v>
      </c>
      <c r="E32" s="187" t="s">
        <v>146</v>
      </c>
      <c r="F32" s="187" t="s">
        <v>146</v>
      </c>
      <c r="G32" s="187" t="s">
        <v>146</v>
      </c>
      <c r="H32" s="187" t="s">
        <v>146</v>
      </c>
      <c r="I32" s="140">
        <f t="shared" ref="I32:AE32" si="23">I11/D11-1</f>
        <v>5.7650324853609103E-2</v>
      </c>
      <c r="J32" s="140">
        <f t="shared" si="23"/>
        <v>0.32233692602754349</v>
      </c>
      <c r="K32" s="140">
        <f t="shared" si="23"/>
        <v>0.38536494850741487</v>
      </c>
      <c r="L32" s="140">
        <f t="shared" si="23"/>
        <v>1.2482783966653574</v>
      </c>
      <c r="M32" s="140">
        <f t="shared" si="23"/>
        <v>0.46022175495044859</v>
      </c>
      <c r="N32" s="140">
        <f t="shared" si="23"/>
        <v>0.69485152478417667</v>
      </c>
      <c r="O32" s="140">
        <f t="shared" si="23"/>
        <v>8.9882084808766693E-2</v>
      </c>
      <c r="P32" s="140">
        <f t="shared" si="23"/>
        <v>0.16950990392997189</v>
      </c>
      <c r="Q32" s="140">
        <f t="shared" si="23"/>
        <v>2.0169512578648741E-2</v>
      </c>
      <c r="R32" s="140">
        <f t="shared" si="23"/>
        <v>0.19177844496595631</v>
      </c>
      <c r="S32" s="140">
        <f t="shared" si="23"/>
        <v>-0.4279355356208131</v>
      </c>
      <c r="T32" s="140">
        <f t="shared" si="23"/>
        <v>-0.21321887204468981</v>
      </c>
      <c r="U32" s="140">
        <f t="shared" si="23"/>
        <v>-0.42802721240280184</v>
      </c>
      <c r="V32" s="140">
        <f t="shared" si="23"/>
        <v>-0.15502501695822302</v>
      </c>
      <c r="W32" s="140">
        <f t="shared" si="23"/>
        <v>-0.30698943045594496</v>
      </c>
      <c r="X32" s="140">
        <f t="shared" si="23"/>
        <v>0.46873979997060511</v>
      </c>
      <c r="Y32" s="140">
        <f t="shared" si="23"/>
        <v>1.12843667693623</v>
      </c>
      <c r="Z32" s="140">
        <f t="shared" si="23"/>
        <v>1.8508434762786745</v>
      </c>
      <c r="AA32" s="140">
        <f t="shared" si="23"/>
        <v>-0.83979147988505742</v>
      </c>
      <c r="AB32" s="140">
        <f t="shared" si="23"/>
        <v>0.54208224860027854</v>
      </c>
      <c r="AC32" s="140">
        <f t="shared" si="23"/>
        <v>0.52257827353927144</v>
      </c>
      <c r="AD32" s="140">
        <f t="shared" si="23"/>
        <v>-0.12798522852248828</v>
      </c>
      <c r="AE32" s="140">
        <f t="shared" si="23"/>
        <v>-0.33719581087989758</v>
      </c>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93"/>
      <c r="BE32" s="193"/>
      <c r="BF32" s="193"/>
    </row>
    <row r="33" spans="1:58" ht="12.75" customHeight="1" x14ac:dyDescent="0.2">
      <c r="A33" s="195"/>
      <c r="B33" s="195"/>
      <c r="C33" s="196" t="s">
        <v>192</v>
      </c>
      <c r="D33" s="140">
        <f t="shared" ref="D33:AE33" si="24">D11/D5</f>
        <v>0.46577885392080792</v>
      </c>
      <c r="E33" s="140">
        <f t="shared" si="24"/>
        <v>0.47745649229487397</v>
      </c>
      <c r="F33" s="140">
        <f t="shared" si="24"/>
        <v>0.4390865005922675</v>
      </c>
      <c r="G33" s="140">
        <f t="shared" si="24"/>
        <v>0.33875801257625621</v>
      </c>
      <c r="H33" s="140">
        <f t="shared" si="24"/>
        <v>0.42978445326927106</v>
      </c>
      <c r="I33" s="140">
        <f t="shared" si="24"/>
        <v>0.42294412502168199</v>
      </c>
      <c r="J33" s="140">
        <f t="shared" si="24"/>
        <v>0.5584797151241534</v>
      </c>
      <c r="K33" s="140">
        <f t="shared" si="24"/>
        <v>0.52909922667424891</v>
      </c>
      <c r="L33" s="140">
        <f t="shared" si="24"/>
        <v>0.54391218247921336</v>
      </c>
      <c r="M33" s="140">
        <f t="shared" si="24"/>
        <v>0.5186585932728327</v>
      </c>
      <c r="N33" s="140">
        <f t="shared" si="24"/>
        <v>0.52988605961832547</v>
      </c>
      <c r="O33" s="140">
        <f t="shared" si="24"/>
        <v>0.50385845102178972</v>
      </c>
      <c r="P33" s="140">
        <f t="shared" si="24"/>
        <v>0.5233722957868131</v>
      </c>
      <c r="Q33" s="140">
        <f t="shared" si="24"/>
        <v>0.49255076927134861</v>
      </c>
      <c r="R33" s="140">
        <f t="shared" si="24"/>
        <v>0.5119385661655852</v>
      </c>
      <c r="S33" s="140">
        <f t="shared" si="24"/>
        <v>0.32995832915179335</v>
      </c>
      <c r="T33" s="140">
        <f t="shared" si="24"/>
        <v>0.43031184992079546</v>
      </c>
      <c r="U33" s="140">
        <f t="shared" si="24"/>
        <v>0.34336073166830444</v>
      </c>
      <c r="V33" s="140">
        <f t="shared" si="24"/>
        <v>0.38036061669604199</v>
      </c>
      <c r="W33" s="140">
        <f t="shared" si="24"/>
        <v>0.3719204186792523</v>
      </c>
      <c r="X33" s="140">
        <f t="shared" si="24"/>
        <v>0.38398085467145759</v>
      </c>
      <c r="Y33" s="140">
        <f t="shared" si="24"/>
        <v>0.57054832971721003</v>
      </c>
      <c r="Z33" s="140">
        <f t="shared" si="24"/>
        <v>0.5282382017031102</v>
      </c>
      <c r="AA33" s="140">
        <f t="shared" si="24"/>
        <v>3.8596292058139955E-2</v>
      </c>
      <c r="AB33" s="140">
        <f t="shared" si="24"/>
        <v>0.36279151740484977</v>
      </c>
      <c r="AC33" s="140">
        <f t="shared" si="24"/>
        <v>0.36125890292022877</v>
      </c>
      <c r="AD33" s="140">
        <f t="shared" si="24"/>
        <v>0.41320349775259518</v>
      </c>
      <c r="AE33" s="140">
        <f t="shared" si="24"/>
        <v>0.34536295798936628</v>
      </c>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93"/>
      <c r="BE33" s="193"/>
      <c r="BF33" s="193"/>
    </row>
    <row r="34" spans="1:58" ht="12.75" customHeight="1" x14ac:dyDescent="0.2">
      <c r="A34" s="189"/>
      <c r="B34" s="189"/>
      <c r="C34" s="190" t="s">
        <v>190</v>
      </c>
      <c r="D34" s="187" t="s">
        <v>146</v>
      </c>
      <c r="E34" s="187" t="s">
        <v>146</v>
      </c>
      <c r="F34" s="187" t="s">
        <v>146</v>
      </c>
      <c r="G34" s="187" t="s">
        <v>146</v>
      </c>
      <c r="H34" s="187" t="s">
        <v>146</v>
      </c>
      <c r="I34" s="140">
        <f t="shared" ref="I34:AE34" si="25">I13/D13-1</f>
        <v>-1.2167189569137635</v>
      </c>
      <c r="J34" s="140">
        <f t="shared" si="25"/>
        <v>0.10722911837833449</v>
      </c>
      <c r="K34" s="140">
        <f t="shared" si="25"/>
        <v>1.0386707344945965</v>
      </c>
      <c r="L34" s="140">
        <f t="shared" si="25"/>
        <v>-3.4727722519343303</v>
      </c>
      <c r="M34" s="140">
        <f t="shared" si="25"/>
        <v>1.3920376482477277</v>
      </c>
      <c r="N34" s="140">
        <f t="shared" si="25"/>
        <v>-8.9966724287715376</v>
      </c>
      <c r="O34" s="140">
        <f t="shared" si="25"/>
        <v>-0.67615872916885156</v>
      </c>
      <c r="P34" s="140">
        <f t="shared" si="25"/>
        <v>-0.2171233193654758</v>
      </c>
      <c r="Q34" s="140">
        <f t="shared" si="25"/>
        <v>-0.59555968157138395</v>
      </c>
      <c r="R34" s="140">
        <f t="shared" si="25"/>
        <v>-0.21386679974234757</v>
      </c>
      <c r="S34" s="140">
        <f t="shared" si="25"/>
        <v>-1.9425204855100495</v>
      </c>
      <c r="T34" s="140">
        <f t="shared" si="25"/>
        <v>-0.9226501405206603</v>
      </c>
      <c r="U34" s="140">
        <f t="shared" si="25"/>
        <v>-1.5639654015717599</v>
      </c>
      <c r="V34" s="140">
        <f t="shared" si="25"/>
        <v>-1.4357813110837387</v>
      </c>
      <c r="W34" s="140">
        <f t="shared" si="25"/>
        <v>-1.587139080632276</v>
      </c>
      <c r="X34" s="140">
        <f t="shared" si="25"/>
        <v>-0.92274496164932951</v>
      </c>
      <c r="Y34" s="140">
        <f t="shared" si="25"/>
        <v>63.635744395752099</v>
      </c>
      <c r="Z34" s="140">
        <f t="shared" si="25"/>
        <v>-2.9244168702310587</v>
      </c>
      <c r="AA34" s="140">
        <f t="shared" si="25"/>
        <v>-4.1264361999999997</v>
      </c>
      <c r="AB34" s="140">
        <f t="shared" si="25"/>
        <v>-3.0756949296338232</v>
      </c>
      <c r="AC34" s="140">
        <f t="shared" si="25"/>
        <v>-25.700178492729908</v>
      </c>
      <c r="AD34" s="140">
        <f t="shared" si="25"/>
        <v>0.41176547559716981</v>
      </c>
      <c r="AE34" s="140">
        <f t="shared" si="25"/>
        <v>0.41382017259022863</v>
      </c>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93"/>
      <c r="BE34" s="193"/>
      <c r="BF34" s="193"/>
    </row>
    <row r="35" spans="1:58" ht="12.75" customHeight="1" x14ac:dyDescent="0.2">
      <c r="A35" s="147"/>
      <c r="B35" s="147"/>
      <c r="C35" s="381" t="s">
        <v>177</v>
      </c>
      <c r="D35" s="187" t="s">
        <v>146</v>
      </c>
      <c r="E35" s="187" t="s">
        <v>146</v>
      </c>
      <c r="F35" s="187" t="s">
        <v>146</v>
      </c>
      <c r="G35" s="187" t="s">
        <v>146</v>
      </c>
      <c r="H35" s="187" t="s">
        <v>146</v>
      </c>
      <c r="I35" s="140">
        <f t="shared" ref="I35:AE35" si="26">I17/D17-1</f>
        <v>8.1747945205479446</v>
      </c>
      <c r="J35" s="140">
        <f t="shared" si="26"/>
        <v>-1.8685245341083947</v>
      </c>
      <c r="K35" s="140">
        <f t="shared" si="26"/>
        <v>-0.20409000752342521</v>
      </c>
      <c r="L35" s="140">
        <f t="shared" si="26"/>
        <v>-1.3873732193732193</v>
      </c>
      <c r="M35" s="140">
        <f t="shared" si="26"/>
        <v>-0.9047151277013753</v>
      </c>
      <c r="N35" s="140">
        <f t="shared" si="26"/>
        <v>4.1777353081700905</v>
      </c>
      <c r="O35" s="140">
        <f t="shared" si="26"/>
        <v>-7.6242125984251974</v>
      </c>
      <c r="P35" s="140">
        <f t="shared" si="26"/>
        <v>0.37965111282976705</v>
      </c>
      <c r="Q35" s="140">
        <f t="shared" si="26"/>
        <v>0.51712167568839762</v>
      </c>
      <c r="R35" s="140">
        <f t="shared" si="26"/>
        <v>16.544329896907218</v>
      </c>
      <c r="S35" s="140">
        <f t="shared" si="26"/>
        <v>-0.1017347974531696</v>
      </c>
      <c r="T35" s="140">
        <f t="shared" si="26"/>
        <v>-2.2542866482422514</v>
      </c>
      <c r="U35" s="140">
        <f t="shared" si="26"/>
        <v>2.9438181251946434</v>
      </c>
      <c r="V35" s="140">
        <f t="shared" si="26"/>
        <v>-2.2861353500096948</v>
      </c>
      <c r="W35" s="140">
        <f t="shared" si="26"/>
        <v>0.19465362466890257</v>
      </c>
      <c r="X35" s="140">
        <f t="shared" si="26"/>
        <v>-1.8438212604653552</v>
      </c>
      <c r="Y35" s="140">
        <f t="shared" si="26"/>
        <v>-1.814442195792267</v>
      </c>
      <c r="Z35" s="140">
        <f t="shared" si="26"/>
        <v>-0.49121618970908754</v>
      </c>
      <c r="AA35" s="140">
        <f t="shared" si="26"/>
        <v>-2.0694804909085427</v>
      </c>
      <c r="AB35" s="140">
        <f t="shared" si="26"/>
        <v>-1.261745881542804</v>
      </c>
      <c r="AC35" s="140">
        <f t="shared" si="26"/>
        <v>-0.47054115448527301</v>
      </c>
      <c r="AD35" s="140">
        <f t="shared" si="26"/>
        <v>-2.5060034490016898</v>
      </c>
      <c r="AE35" s="140">
        <f t="shared" si="26"/>
        <v>-1.1370740451674057</v>
      </c>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93"/>
      <c r="BE35" s="193"/>
      <c r="BF35" s="193"/>
    </row>
    <row r="36" spans="1:58" ht="12.75" customHeight="1" x14ac:dyDescent="0.2">
      <c r="A36" s="147"/>
      <c r="B36" s="147"/>
      <c r="C36" s="381" t="s">
        <v>179</v>
      </c>
      <c r="D36" s="187" t="s">
        <v>146</v>
      </c>
      <c r="E36" s="187" t="s">
        <v>146</v>
      </c>
      <c r="F36" s="187" t="s">
        <v>146</v>
      </c>
      <c r="G36" s="187" t="s">
        <v>146</v>
      </c>
      <c r="H36" s="187" t="s">
        <v>146</v>
      </c>
      <c r="I36" s="140">
        <f t="shared" ref="I36:AE36" si="27">I19/D19-1</f>
        <v>2.0135262661214215</v>
      </c>
      <c r="J36" s="140">
        <f t="shared" si="27"/>
        <v>-0.70397582508739698</v>
      </c>
      <c r="K36" s="140">
        <f t="shared" si="27"/>
        <v>2.6032959159302482E-2</v>
      </c>
      <c r="L36" s="140">
        <f t="shared" si="27"/>
        <v>-1.3391022581698526</v>
      </c>
      <c r="M36" s="140">
        <f t="shared" si="27"/>
        <v>-1.1524752475247526</v>
      </c>
      <c r="N36" s="140">
        <f t="shared" si="27"/>
        <v>2.9331941544885178</v>
      </c>
      <c r="O36" s="140">
        <f t="shared" si="27"/>
        <v>-12.061248999199359</v>
      </c>
      <c r="P36" s="140">
        <f t="shared" si="27"/>
        <v>-36.082867783985094</v>
      </c>
      <c r="Q36" s="140">
        <f t="shared" si="27"/>
        <v>-8.125777777777774</v>
      </c>
      <c r="R36" s="140">
        <f t="shared" si="27"/>
        <v>-9.3168831168831172</v>
      </c>
      <c r="S36" s="140">
        <f t="shared" si="27"/>
        <v>-0.45605787526539276</v>
      </c>
      <c r="T36" s="140">
        <f t="shared" si="27"/>
        <v>-1.0790037913937245</v>
      </c>
      <c r="U36" s="140">
        <f t="shared" si="27"/>
        <v>-1.2083716580854056</v>
      </c>
      <c r="V36" s="140">
        <f t="shared" si="27"/>
        <v>-0.83287951371130375</v>
      </c>
      <c r="W36" s="140">
        <f t="shared" si="27"/>
        <v>0.65551298927753465</v>
      </c>
      <c r="X36" s="140">
        <f t="shared" si="27"/>
        <v>-3.0899019536024288</v>
      </c>
      <c r="Y36" s="140">
        <f t="shared" si="27"/>
        <v>-9.3567001987252372</v>
      </c>
      <c r="Z36" s="140">
        <f t="shared" si="27"/>
        <v>-0.1810670101388836</v>
      </c>
      <c r="AA36" s="140">
        <f t="shared" si="27"/>
        <v>-4.3212835981877618</v>
      </c>
      <c r="AB36" s="140">
        <f t="shared" si="27"/>
        <v>-1.5349053880977692</v>
      </c>
      <c r="AC36" s="140">
        <f t="shared" si="27"/>
        <v>-0.43655136074444667</v>
      </c>
      <c r="AD36" s="140">
        <f t="shared" si="27"/>
        <v>-2.0042462064516275</v>
      </c>
      <c r="AE36" s="140">
        <f t="shared" si="27"/>
        <v>-1.0436939840853476</v>
      </c>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93"/>
      <c r="BE36" s="193"/>
      <c r="BF36" s="193"/>
    </row>
    <row r="37" spans="1:58" ht="12.75" customHeight="1" x14ac:dyDescent="0.2">
      <c r="A37" s="195"/>
      <c r="B37" s="195"/>
      <c r="C37" s="196" t="s">
        <v>191</v>
      </c>
      <c r="D37" s="140">
        <f t="shared" ref="D37:AE37" si="28">D13/D5</f>
        <v>0.11711867781235176</v>
      </c>
      <c r="E37" s="140">
        <f t="shared" si="28"/>
        <v>0.16679145272853799</v>
      </c>
      <c r="F37" s="140">
        <f t="shared" si="28"/>
        <v>0.10294449714671247</v>
      </c>
      <c r="G37" s="140">
        <f t="shared" si="28"/>
        <v>-0.1082204802088856</v>
      </c>
      <c r="H37" s="140">
        <f t="shared" si="28"/>
        <v>7.0082735713426159E-2</v>
      </c>
      <c r="I37" s="140">
        <f t="shared" si="28"/>
        <v>-2.1791352413015538E-2</v>
      </c>
      <c r="J37" s="140">
        <f t="shared" si="28"/>
        <v>0.1633588865138848</v>
      </c>
      <c r="K37" s="140">
        <f t="shared" si="28"/>
        <v>0.18254631542914815</v>
      </c>
      <c r="L37" s="140">
        <f t="shared" si="28"/>
        <v>0.19110968552650973</v>
      </c>
      <c r="M37" s="140">
        <f t="shared" si="28"/>
        <v>0.13854508355193912</v>
      </c>
      <c r="N37" s="140">
        <f t="shared" si="28"/>
        <v>0.12881348481411919</v>
      </c>
      <c r="O37" s="140">
        <f t="shared" si="28"/>
        <v>4.3792182458166393E-2</v>
      </c>
      <c r="P37" s="140">
        <f t="shared" si="28"/>
        <v>0.12087489996866853</v>
      </c>
      <c r="Q37" s="140">
        <f t="shared" si="28"/>
        <v>6.8609936338444255E-2</v>
      </c>
      <c r="R37" s="140">
        <f t="shared" si="28"/>
        <v>9.0204457813976277E-2</v>
      </c>
      <c r="S37" s="140">
        <f t="shared" si="28"/>
        <v>-0.13215504847631401</v>
      </c>
      <c r="T37" s="140">
        <f t="shared" si="28"/>
        <v>3.6768587217063833E-3</v>
      </c>
      <c r="U37" s="140">
        <f t="shared" si="28"/>
        <v>-7.8190342921839656E-2</v>
      </c>
      <c r="V37" s="140">
        <f t="shared" si="28"/>
        <v>-2.7324756946554739E-2</v>
      </c>
      <c r="W37" s="140">
        <f t="shared" si="28"/>
        <v>-5.5521514593662918E-2</v>
      </c>
      <c r="X37" s="140">
        <f t="shared" si="28"/>
        <v>-8.0893976106997997E-3</v>
      </c>
      <c r="Y37" s="140">
        <f t="shared" si="28"/>
        <v>0.14804648353923677</v>
      </c>
      <c r="Z37" s="140">
        <f t="shared" si="28"/>
        <v>8.1200383438315427E-2</v>
      </c>
      <c r="AA37" s="140">
        <f t="shared" si="28"/>
        <v>5.4109100037075093E-2</v>
      </c>
      <c r="AB37" s="140">
        <f t="shared" si="28"/>
        <v>7.2899473790656658E-2</v>
      </c>
      <c r="AC37" s="140">
        <f t="shared" si="28"/>
        <v>0.12346550397989144</v>
      </c>
      <c r="AD37" s="140">
        <f t="shared" si="28"/>
        <v>0.17358346868783159</v>
      </c>
      <c r="AE37" s="140">
        <f t="shared" si="28"/>
        <v>0.11324341534326064</v>
      </c>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93"/>
      <c r="BE37" s="193"/>
      <c r="BF37" s="193"/>
    </row>
    <row r="38" spans="1:58" ht="12.75" customHeight="1" x14ac:dyDescent="0.2">
      <c r="A38" s="189"/>
      <c r="B38" s="189"/>
      <c r="C38" s="190"/>
      <c r="D38" s="140"/>
      <c r="E38" s="140"/>
      <c r="F38" s="140"/>
      <c r="G38" s="140"/>
      <c r="H38" s="140"/>
      <c r="I38" s="140"/>
      <c r="J38" s="140"/>
      <c r="K38" s="140"/>
      <c r="L38" s="140"/>
      <c r="M38" s="140"/>
      <c r="N38" s="243"/>
      <c r="O38" s="243"/>
      <c r="P38" s="140"/>
      <c r="Q38" s="140"/>
      <c r="R38" s="140"/>
      <c r="S38" s="140"/>
      <c r="T38" s="140"/>
      <c r="U38" s="140"/>
      <c r="V38" s="140"/>
      <c r="W38" s="140"/>
      <c r="X38" s="140"/>
      <c r="Y38" s="140"/>
      <c r="Z38" s="140"/>
      <c r="AA38" s="140"/>
      <c r="AB38" s="140"/>
      <c r="AC38" s="140"/>
      <c r="AD38" s="140"/>
      <c r="AE38" s="140"/>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93"/>
      <c r="BE38" s="193"/>
      <c r="BF38" s="193"/>
    </row>
    <row r="39" spans="1:58" ht="18" customHeight="1" x14ac:dyDescent="0.2">
      <c r="A39" s="152"/>
      <c r="B39" s="380" t="s">
        <v>361</v>
      </c>
      <c r="C39" s="154"/>
      <c r="D39" s="158" t="s">
        <v>98</v>
      </c>
      <c r="E39" s="158" t="s">
        <v>99</v>
      </c>
      <c r="F39" s="158" t="s">
        <v>100</v>
      </c>
      <c r="G39" s="158" t="s">
        <v>101</v>
      </c>
      <c r="H39" s="159">
        <v>2018</v>
      </c>
      <c r="I39" s="158" t="s">
        <v>102</v>
      </c>
      <c r="J39" s="158" t="s">
        <v>103</v>
      </c>
      <c r="K39" s="158" t="s">
        <v>104</v>
      </c>
      <c r="L39" s="158" t="s">
        <v>105</v>
      </c>
      <c r="M39" s="159">
        <v>2019</v>
      </c>
      <c r="N39" s="158" t="s">
        <v>158</v>
      </c>
      <c r="O39" s="158" t="s">
        <v>107</v>
      </c>
      <c r="P39" s="158" t="s">
        <v>108</v>
      </c>
      <c r="Q39" s="158" t="s">
        <v>109</v>
      </c>
      <c r="R39" s="159">
        <v>2020</v>
      </c>
      <c r="S39" s="158" t="s">
        <v>110</v>
      </c>
      <c r="T39" s="158" t="s">
        <v>111</v>
      </c>
      <c r="U39" s="158" t="s">
        <v>112</v>
      </c>
      <c r="V39" s="158" t="s">
        <v>113</v>
      </c>
      <c r="W39" s="159">
        <v>2021</v>
      </c>
      <c r="X39" s="158" t="s">
        <v>114</v>
      </c>
      <c r="Y39" s="158" t="s">
        <v>115</v>
      </c>
      <c r="Z39" s="158" t="str">
        <f>$Z$4</f>
        <v>3Q22</v>
      </c>
      <c r="AA39" s="158" t="str">
        <f>$AA$4</f>
        <v>4Q22</v>
      </c>
      <c r="AB39" s="160">
        <v>2022</v>
      </c>
      <c r="AC39" s="158" t="str">
        <f t="shared" ref="AC39:AE39" si="29">AC$4</f>
        <v>1Q23</v>
      </c>
      <c r="AD39" s="158" t="str">
        <f t="shared" si="29"/>
        <v>2Q23</v>
      </c>
      <c r="AE39" s="158" t="str">
        <f t="shared" si="29"/>
        <v>3Q23</v>
      </c>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row>
    <row r="40" spans="1:58" ht="12.75" customHeight="1" x14ac:dyDescent="0.2">
      <c r="A40" s="382"/>
      <c r="B40" s="382"/>
      <c r="C40" s="242" t="s">
        <v>362</v>
      </c>
      <c r="D40" s="201">
        <f t="shared" ref="D40:R40" si="30">D42-D41</f>
        <v>724.19999999999993</v>
      </c>
      <c r="E40" s="201">
        <f t="shared" si="30"/>
        <v>839.5</v>
      </c>
      <c r="F40" s="201">
        <f t="shared" si="30"/>
        <v>878.7</v>
      </c>
      <c r="G40" s="201">
        <f t="shared" si="30"/>
        <v>849.30000000000007</v>
      </c>
      <c r="H40" s="201">
        <f t="shared" si="30"/>
        <v>849.30000000000007</v>
      </c>
      <c r="I40" s="201">
        <f t="shared" si="30"/>
        <v>846.4</v>
      </c>
      <c r="J40" s="201">
        <f t="shared" si="30"/>
        <v>824.7</v>
      </c>
      <c r="K40" s="201">
        <f t="shared" si="30"/>
        <v>881.7</v>
      </c>
      <c r="L40" s="201">
        <f t="shared" si="30"/>
        <v>882.5</v>
      </c>
      <c r="M40" s="201">
        <f t="shared" si="30"/>
        <v>882.5</v>
      </c>
      <c r="N40" s="201">
        <f t="shared" si="30"/>
        <v>882.5</v>
      </c>
      <c r="O40" s="201">
        <f t="shared" si="30"/>
        <v>882.5</v>
      </c>
      <c r="P40" s="201">
        <f t="shared" si="30"/>
        <v>882.5</v>
      </c>
      <c r="Q40" s="201">
        <f t="shared" si="30"/>
        <v>1082.2</v>
      </c>
      <c r="R40" s="201">
        <f t="shared" si="30"/>
        <v>1082.2</v>
      </c>
      <c r="S40" s="201">
        <v>1180.2</v>
      </c>
      <c r="T40" s="201">
        <v>984.7</v>
      </c>
      <c r="U40" s="201">
        <v>1020.2</v>
      </c>
      <c r="V40" s="201">
        <f t="shared" ref="V40:AE40" si="31">V42-V41</f>
        <v>1052.8</v>
      </c>
      <c r="W40" s="201">
        <f t="shared" si="31"/>
        <v>1052.8</v>
      </c>
      <c r="X40" s="201">
        <f t="shared" si="31"/>
        <v>828.72265090999997</v>
      </c>
      <c r="Y40" s="201">
        <f t="shared" si="31"/>
        <v>910.98647227000004</v>
      </c>
      <c r="Z40" s="201">
        <f t="shared" si="31"/>
        <v>900.63307559999998</v>
      </c>
      <c r="AA40" s="201">
        <f t="shared" si="31"/>
        <v>847.57602276</v>
      </c>
      <c r="AB40" s="201">
        <f t="shared" si="31"/>
        <v>847.57602276</v>
      </c>
      <c r="AC40" s="201">
        <f t="shared" si="31"/>
        <v>770.59743386000002</v>
      </c>
      <c r="AD40" s="201">
        <f t="shared" si="31"/>
        <v>698.56122602999994</v>
      </c>
      <c r="AE40" s="201">
        <f t="shared" si="31"/>
        <v>715.47802651000006</v>
      </c>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202"/>
      <c r="BE40" s="202"/>
      <c r="BF40" s="202"/>
    </row>
    <row r="41" spans="1:58" ht="12.75" customHeight="1" x14ac:dyDescent="0.2">
      <c r="A41" s="382"/>
      <c r="B41" s="382"/>
      <c r="C41" s="242" t="s">
        <v>363</v>
      </c>
      <c r="D41" s="201">
        <v>44.7</v>
      </c>
      <c r="E41" s="201">
        <v>34.4</v>
      </c>
      <c r="F41" s="201">
        <v>30.3</v>
      </c>
      <c r="G41" s="201">
        <v>39.4</v>
      </c>
      <c r="H41" s="201">
        <f t="shared" ref="H41:H42" si="32">G41</f>
        <v>39.4</v>
      </c>
      <c r="I41" s="201">
        <v>29.5</v>
      </c>
      <c r="J41" s="201">
        <v>26.8</v>
      </c>
      <c r="K41" s="201">
        <v>22.3</v>
      </c>
      <c r="L41" s="201">
        <v>47.1</v>
      </c>
      <c r="M41" s="201">
        <f t="shared" ref="M41:P41" si="33">L41</f>
        <v>47.1</v>
      </c>
      <c r="N41" s="201">
        <f t="shared" si="33"/>
        <v>47.1</v>
      </c>
      <c r="O41" s="201">
        <f t="shared" si="33"/>
        <v>47.1</v>
      </c>
      <c r="P41" s="201">
        <f t="shared" si="33"/>
        <v>47.1</v>
      </c>
      <c r="Q41" s="201">
        <v>45.1</v>
      </c>
      <c r="R41" s="201">
        <f t="shared" ref="R41:R42" si="34">Q41</f>
        <v>45.1</v>
      </c>
      <c r="S41" s="201">
        <v>49</v>
      </c>
      <c r="T41" s="201">
        <v>77</v>
      </c>
      <c r="U41" s="201">
        <v>36</v>
      </c>
      <c r="V41" s="201">
        <v>27</v>
      </c>
      <c r="W41" s="201">
        <f t="shared" ref="W41:W42" si="35">V41</f>
        <v>27</v>
      </c>
      <c r="X41" s="201">
        <v>30.471244609999999</v>
      </c>
      <c r="Y41" s="201">
        <v>20.36519371</v>
      </c>
      <c r="Z41" s="201">
        <v>23.691876870000002</v>
      </c>
      <c r="AA41" s="201">
        <v>18.891522080000001</v>
      </c>
      <c r="AB41" s="201">
        <f t="shared" ref="AB41:AB42" si="36">AA41</f>
        <v>18.891522080000001</v>
      </c>
      <c r="AC41" s="201">
        <v>37.775443860000003</v>
      </c>
      <c r="AD41" s="201">
        <v>45.350030690000004</v>
      </c>
      <c r="AE41" s="201">
        <v>48.572380469999999</v>
      </c>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202"/>
      <c r="BE41" s="202"/>
      <c r="BF41" s="202"/>
    </row>
    <row r="42" spans="1:58" ht="12.75" customHeight="1" x14ac:dyDescent="0.2">
      <c r="A42" s="382"/>
      <c r="B42" s="382"/>
      <c r="C42" s="242" t="s">
        <v>349</v>
      </c>
      <c r="D42" s="201">
        <v>768.9</v>
      </c>
      <c r="E42" s="201">
        <v>873.9</v>
      </c>
      <c r="F42" s="201">
        <v>909</v>
      </c>
      <c r="G42" s="201">
        <v>888.7</v>
      </c>
      <c r="H42" s="201">
        <f t="shared" si="32"/>
        <v>888.7</v>
      </c>
      <c r="I42" s="201">
        <v>875.9</v>
      </c>
      <c r="J42" s="201">
        <v>851.5</v>
      </c>
      <c r="K42" s="201">
        <v>904</v>
      </c>
      <c r="L42" s="201">
        <v>929.6</v>
      </c>
      <c r="M42" s="201">
        <f t="shared" ref="M42:P42" si="37">L42</f>
        <v>929.6</v>
      </c>
      <c r="N42" s="201">
        <f t="shared" si="37"/>
        <v>929.6</v>
      </c>
      <c r="O42" s="201">
        <f t="shared" si="37"/>
        <v>929.6</v>
      </c>
      <c r="P42" s="201">
        <f t="shared" si="37"/>
        <v>929.6</v>
      </c>
      <c r="Q42" s="201">
        <v>1127.3</v>
      </c>
      <c r="R42" s="201">
        <f t="shared" si="34"/>
        <v>1127.3</v>
      </c>
      <c r="S42" s="201">
        <v>1229.2</v>
      </c>
      <c r="T42" s="201">
        <v>1061.7</v>
      </c>
      <c r="U42" s="201">
        <v>1056.2</v>
      </c>
      <c r="V42" s="201">
        <v>1079.8</v>
      </c>
      <c r="W42" s="201">
        <f t="shared" si="35"/>
        <v>1079.8</v>
      </c>
      <c r="X42" s="201">
        <v>859.19389551999996</v>
      </c>
      <c r="Y42" s="201">
        <v>931.35166598000001</v>
      </c>
      <c r="Z42" s="201">
        <v>924.32495246999997</v>
      </c>
      <c r="AA42" s="201">
        <v>866.46754483999996</v>
      </c>
      <c r="AB42" s="201">
        <f t="shared" si="36"/>
        <v>866.46754483999996</v>
      </c>
      <c r="AC42" s="201">
        <v>808.37287772000002</v>
      </c>
      <c r="AD42" s="201">
        <v>743.91125671999998</v>
      </c>
      <c r="AE42" s="201">
        <v>764.05040698000005</v>
      </c>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202"/>
      <c r="BE42" s="202"/>
      <c r="BF42" s="202"/>
    </row>
    <row r="43" spans="1:58" ht="12.75" customHeight="1" x14ac:dyDescent="0.2">
      <c r="A43" s="209"/>
      <c r="B43" s="209"/>
      <c r="C43" s="383"/>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row>
    <row r="44" spans="1:58" ht="12.75" customHeight="1" x14ac:dyDescent="0.2">
      <c r="A44" s="382"/>
      <c r="B44" s="382"/>
      <c r="C44" s="242" t="s">
        <v>350</v>
      </c>
      <c r="D44" s="384">
        <f t="shared" ref="D44:AE44" si="38">D40/D11</f>
        <v>34.139283846327451</v>
      </c>
      <c r="E44" s="384">
        <f t="shared" si="38"/>
        <v>31.957890061512558</v>
      </c>
      <c r="F44" s="384">
        <f t="shared" si="38"/>
        <v>33.077232941043114</v>
      </c>
      <c r="G44" s="384">
        <f t="shared" si="38"/>
        <v>47.298586184601731</v>
      </c>
      <c r="H44" s="384">
        <f t="shared" si="38"/>
        <v>9.2311925035552154</v>
      </c>
      <c r="I44" s="384">
        <f t="shared" si="38"/>
        <v>37.725016082160089</v>
      </c>
      <c r="J44" s="384">
        <f t="shared" si="38"/>
        <v>23.741670143123798</v>
      </c>
      <c r="K44" s="384">
        <f t="shared" si="38"/>
        <v>23.957703780155246</v>
      </c>
      <c r="L44" s="384">
        <f t="shared" si="38"/>
        <v>21.860075715271641</v>
      </c>
      <c r="M44" s="384">
        <f t="shared" si="38"/>
        <v>6.5688989813365177</v>
      </c>
      <c r="N44" s="384">
        <f t="shared" si="38"/>
        <v>23.207952907298207</v>
      </c>
      <c r="O44" s="384">
        <f t="shared" si="38"/>
        <v>23.310440067818792</v>
      </c>
      <c r="P44" s="384">
        <f t="shared" si="38"/>
        <v>20.503837921276869</v>
      </c>
      <c r="Q44" s="384">
        <f t="shared" si="38"/>
        <v>26.276779501373884</v>
      </c>
      <c r="R44" s="384">
        <f t="shared" si="38"/>
        <v>6.7591155726977759</v>
      </c>
      <c r="S44" s="384">
        <f t="shared" si="38"/>
        <v>54.254124515356139</v>
      </c>
      <c r="T44" s="384">
        <f t="shared" si="38"/>
        <v>33.058699294038178</v>
      </c>
      <c r="U44" s="384">
        <f t="shared" si="38"/>
        <v>41.44101636529053</v>
      </c>
      <c r="V44" s="384">
        <f t="shared" si="38"/>
        <v>30.25287356321839</v>
      </c>
      <c r="W44" s="384">
        <f t="shared" si="38"/>
        <v>9.4882989735132863</v>
      </c>
      <c r="X44" s="384">
        <f t="shared" si="38"/>
        <v>25.938299178054951</v>
      </c>
      <c r="Y44" s="384">
        <f t="shared" si="38"/>
        <v>14.369214177224173</v>
      </c>
      <c r="Z44" s="384">
        <f t="shared" si="38"/>
        <v>12.832745991005488</v>
      </c>
      <c r="AA44" s="384">
        <f t="shared" si="38"/>
        <v>152.02457909515016</v>
      </c>
      <c r="AB44" s="384">
        <f t="shared" si="38"/>
        <v>4.9535164428235756</v>
      </c>
      <c r="AC44" s="384">
        <f t="shared" si="38"/>
        <v>15.840913264556809</v>
      </c>
      <c r="AD44" s="384">
        <f t="shared" si="38"/>
        <v>12.635770365066699</v>
      </c>
      <c r="AE44" s="384">
        <f t="shared" si="38"/>
        <v>15.380935873007358</v>
      </c>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202"/>
      <c r="BE44" s="202"/>
      <c r="BF44" s="202"/>
    </row>
    <row r="45" spans="1:58" ht="12.75" x14ac:dyDescent="0.2">
      <c r="A45" s="147"/>
      <c r="B45" s="84"/>
      <c r="C45" s="84"/>
      <c r="D45" s="84"/>
      <c r="E45" s="84"/>
      <c r="F45" s="84"/>
      <c r="G45" s="84"/>
      <c r="H45" s="84"/>
      <c r="I45" s="84"/>
      <c r="J45" s="84"/>
      <c r="K45" s="84"/>
      <c r="L45" s="84"/>
      <c r="M45" s="84"/>
      <c r="N45" s="243"/>
      <c r="O45" s="243"/>
      <c r="P45" s="84"/>
      <c r="Q45" s="84"/>
      <c r="R45" s="84"/>
      <c r="S45" s="84"/>
      <c r="T45" s="84"/>
      <c r="U45" s="84"/>
      <c r="V45" s="84"/>
      <c r="W45" s="84"/>
      <c r="X45" s="84"/>
      <c r="Y45" s="84"/>
      <c r="Z45" s="84"/>
      <c r="AA45" s="84"/>
      <c r="AB45" s="84"/>
      <c r="AC45" s="84"/>
      <c r="AD45" s="84"/>
      <c r="AE45" s="84"/>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row>
    <row r="46" spans="1:58" ht="21" customHeight="1" x14ac:dyDescent="0.2">
      <c r="A46" s="256"/>
      <c r="B46" s="211" t="s">
        <v>213</v>
      </c>
      <c r="C46" s="211"/>
      <c r="D46" s="158" t="s">
        <v>98</v>
      </c>
      <c r="E46" s="158" t="s">
        <v>99</v>
      </c>
      <c r="F46" s="158" t="s">
        <v>100</v>
      </c>
      <c r="G46" s="158" t="s">
        <v>101</v>
      </c>
      <c r="H46" s="159">
        <v>2018</v>
      </c>
      <c r="I46" s="158" t="s">
        <v>102</v>
      </c>
      <c r="J46" s="158" t="s">
        <v>103</v>
      </c>
      <c r="K46" s="158" t="s">
        <v>104</v>
      </c>
      <c r="L46" s="158" t="s">
        <v>105</v>
      </c>
      <c r="M46" s="159">
        <v>2019</v>
      </c>
      <c r="N46" s="158" t="s">
        <v>158</v>
      </c>
      <c r="O46" s="158" t="s">
        <v>107</v>
      </c>
      <c r="P46" s="158" t="s">
        <v>108</v>
      </c>
      <c r="Q46" s="158" t="s">
        <v>109</v>
      </c>
      <c r="R46" s="159">
        <v>2020</v>
      </c>
      <c r="S46" s="158" t="s">
        <v>110</v>
      </c>
      <c r="T46" s="158" t="s">
        <v>111</v>
      </c>
      <c r="U46" s="158" t="s">
        <v>112</v>
      </c>
      <c r="V46" s="158" t="s">
        <v>113</v>
      </c>
      <c r="W46" s="159">
        <v>2021</v>
      </c>
      <c r="X46" s="158" t="s">
        <v>114</v>
      </c>
      <c r="Y46" s="158" t="s">
        <v>115</v>
      </c>
      <c r="Z46" s="158" t="str">
        <f>$Z$4</f>
        <v>3Q22</v>
      </c>
      <c r="AA46" s="158" t="str">
        <f>$AA$4</f>
        <v>4Q22</v>
      </c>
      <c r="AB46" s="160">
        <v>2022</v>
      </c>
      <c r="AC46" s="158" t="str">
        <f t="shared" ref="AC46:AE46" si="39">AC$4</f>
        <v>1Q23</v>
      </c>
      <c r="AD46" s="158" t="str">
        <f t="shared" si="39"/>
        <v>2Q23</v>
      </c>
      <c r="AE46" s="158" t="str">
        <f t="shared" si="39"/>
        <v>3Q23</v>
      </c>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row>
    <row r="47" spans="1:58" ht="12.75" customHeight="1" x14ac:dyDescent="0.2">
      <c r="A47" s="382"/>
      <c r="B47" s="382"/>
      <c r="C47" s="385" t="s">
        <v>364</v>
      </c>
      <c r="D47" s="386">
        <f>'Financials - IFRS'!D14</f>
        <v>132.58230541999995</v>
      </c>
      <c r="E47" s="386">
        <f>'Financials - IFRS'!E14</f>
        <v>129.37024279499892</v>
      </c>
      <c r="F47" s="386">
        <f>'Financials - IFRS'!F14</f>
        <v>178.83237634500128</v>
      </c>
      <c r="G47" s="386">
        <f>'Financials - IFRS'!G14</f>
        <v>129.98488874000026</v>
      </c>
      <c r="H47" s="386">
        <f>'Financials - IFRS'!H14</f>
        <v>570.76981330000046</v>
      </c>
      <c r="I47" s="386">
        <f>'Financials - IFRS'!I14</f>
        <v>136.04580550999998</v>
      </c>
      <c r="J47" s="386">
        <f>'Financials - IFRS'!J14</f>
        <v>131.66014074000003</v>
      </c>
      <c r="K47" s="386">
        <f>'Financials - IFRS'!K14</f>
        <v>179.54964608000003</v>
      </c>
      <c r="L47" s="386">
        <f>'Financials - IFRS'!L14</f>
        <v>109.07026023000002</v>
      </c>
      <c r="M47" s="386">
        <f>'Financials - IFRS'!M14</f>
        <v>556.32585256000004</v>
      </c>
      <c r="N47" s="386">
        <f>'Financials - IFRS'!N14</f>
        <v>141.32273723385333</v>
      </c>
      <c r="O47" s="386">
        <f>'Financials - IFRS'!O14</f>
        <v>192.08856570170511</v>
      </c>
      <c r="P47" s="386">
        <f>'Financials - IFRS'!P14</f>
        <v>202.53347135089939</v>
      </c>
      <c r="Q47" s="386">
        <f>'Financials - IFRS'!Q14</f>
        <v>172.67415686880008</v>
      </c>
      <c r="R47" s="386">
        <f>'Financials - IFRS'!R14</f>
        <v>708.61893115525788</v>
      </c>
      <c r="S47" s="386">
        <f>'Financials - IFRS'!S14</f>
        <v>229.48144902999999</v>
      </c>
      <c r="T47" s="386">
        <f>'Financials - IFRS'!T14</f>
        <v>220.59656956999999</v>
      </c>
      <c r="U47" s="386">
        <f>'Financials - IFRS'!U14</f>
        <v>219.09142583000002</v>
      </c>
      <c r="V47" s="386">
        <f>'Financials - IFRS'!V14</f>
        <v>189.63891305000001</v>
      </c>
      <c r="W47" s="386">
        <f>'Financials - IFRS'!W14</f>
        <v>858.80835748000004</v>
      </c>
      <c r="X47" s="386">
        <f>'Financials - IFRS'!X14</f>
        <v>239.01264623</v>
      </c>
      <c r="Y47" s="386">
        <f>'Financials - IFRS'!Y14</f>
        <v>201.20064794000001</v>
      </c>
      <c r="Z47" s="386">
        <f>'Financials - IFRS'!Z14</f>
        <v>248.02250831999999</v>
      </c>
      <c r="AA47" s="386">
        <f>'Financials - IFRS'!AA14</f>
        <v>250.71721364000001</v>
      </c>
      <c r="AB47" s="164">
        <f>SUM(X47:AA47)</f>
        <v>938.95301612999992</v>
      </c>
      <c r="AC47" s="386">
        <f>'Financials - IFRS'!AC14</f>
        <v>239.53447352999999</v>
      </c>
      <c r="AD47" s="386">
        <f>'Financials - IFRS'!AD14</f>
        <v>257.198315557363</v>
      </c>
      <c r="AE47" s="386">
        <f>'Financials - IFRS'!AE14</f>
        <v>268.39054135999999</v>
      </c>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row>
    <row r="48" spans="1:58" ht="12.75" customHeight="1" x14ac:dyDescent="0.2">
      <c r="A48" s="162"/>
      <c r="B48" s="162"/>
      <c r="C48" s="206"/>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89"/>
      <c r="BE48" s="189"/>
      <c r="BF48" s="189"/>
    </row>
    <row r="49" spans="1:58" ht="12.75" customHeight="1" x14ac:dyDescent="0.2">
      <c r="A49" s="382"/>
      <c r="B49" s="382"/>
      <c r="C49" s="190" t="str">
        <f t="shared" ref="C49:AE49" si="40">C57</f>
        <v xml:space="preserve">EBITDA </v>
      </c>
      <c r="D49" s="172">
        <f t="shared" si="40"/>
        <v>21.213098765043547</v>
      </c>
      <c r="E49" s="172">
        <f t="shared" si="40"/>
        <v>26.268943236995</v>
      </c>
      <c r="F49" s="172">
        <f t="shared" si="40"/>
        <v>26.565099975750559</v>
      </c>
      <c r="G49" s="172">
        <f t="shared" si="40"/>
        <v>17.956139252984553</v>
      </c>
      <c r="H49" s="172">
        <f t="shared" si="40"/>
        <v>92.003281230773666</v>
      </c>
      <c r="I49" s="172">
        <f t="shared" si="40"/>
        <v>22.436040800000001</v>
      </c>
      <c r="J49" s="172">
        <f t="shared" si="40"/>
        <v>34.736393649999997</v>
      </c>
      <c r="K49" s="172">
        <f t="shared" si="40"/>
        <v>36.802358359999999</v>
      </c>
      <c r="L49" s="172">
        <f t="shared" si="40"/>
        <v>40.370399970000001</v>
      </c>
      <c r="M49" s="172">
        <f t="shared" si="40"/>
        <v>134.34519277999999</v>
      </c>
      <c r="N49" s="172">
        <f t="shared" si="40"/>
        <v>134.34519277999999</v>
      </c>
      <c r="O49" s="172">
        <f t="shared" si="40"/>
        <v>134.34519277999999</v>
      </c>
      <c r="P49" s="172">
        <f t="shared" si="40"/>
        <v>43.040722590000001</v>
      </c>
      <c r="Q49" s="172">
        <f t="shared" si="40"/>
        <v>41.184651259999995</v>
      </c>
      <c r="R49" s="172">
        <f t="shared" si="40"/>
        <v>160.10970494</v>
      </c>
      <c r="S49" s="172">
        <f t="shared" si="40"/>
        <v>21.753184860000001</v>
      </c>
      <c r="T49" s="172">
        <f t="shared" si="40"/>
        <v>29.786410870000001</v>
      </c>
      <c r="U49" s="172">
        <f t="shared" si="40"/>
        <v>24.618122079999999</v>
      </c>
      <c r="V49" s="172">
        <f t="shared" si="40"/>
        <v>34.799999999999997</v>
      </c>
      <c r="W49" s="172">
        <f t="shared" si="40"/>
        <v>110.95771781000001</v>
      </c>
      <c r="X49" s="172">
        <f t="shared" si="40"/>
        <v>31.949768379999998</v>
      </c>
      <c r="Y49" s="172">
        <f t="shared" si="40"/>
        <v>63.342890479999994</v>
      </c>
      <c r="Z49" s="172">
        <f t="shared" si="40"/>
        <v>70.160214769999996</v>
      </c>
      <c r="AA49" s="172">
        <f t="shared" si="40"/>
        <v>5.5752565000000001</v>
      </c>
      <c r="AB49" s="172">
        <f t="shared" si="40"/>
        <v>171.02813012999999</v>
      </c>
      <c r="AC49" s="172">
        <f t="shared" si="40"/>
        <v>48.64602318</v>
      </c>
      <c r="AD49" s="172">
        <f t="shared" si="40"/>
        <v>55.284419220000004</v>
      </c>
      <c r="AE49" s="172">
        <f t="shared" si="40"/>
        <v>46.517197160000002</v>
      </c>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row>
    <row r="50" spans="1:58" ht="12.75" customHeight="1" x14ac:dyDescent="0.2">
      <c r="A50" s="382"/>
      <c r="B50" s="382"/>
      <c r="C50" s="190" t="s">
        <v>365</v>
      </c>
      <c r="D50" s="172">
        <f t="shared" ref="D50:AE50" si="41">D47+D49</f>
        <v>153.79540418504351</v>
      </c>
      <c r="E50" s="172">
        <f t="shared" si="41"/>
        <v>155.63918603199392</v>
      </c>
      <c r="F50" s="172">
        <f t="shared" si="41"/>
        <v>205.39747632075185</v>
      </c>
      <c r="G50" s="172">
        <f t="shared" si="41"/>
        <v>147.9410279929848</v>
      </c>
      <c r="H50" s="172">
        <f t="shared" si="41"/>
        <v>662.77309453077419</v>
      </c>
      <c r="I50" s="172">
        <f t="shared" si="41"/>
        <v>158.48184630999998</v>
      </c>
      <c r="J50" s="172">
        <f t="shared" si="41"/>
        <v>166.39653439000003</v>
      </c>
      <c r="K50" s="172">
        <f t="shared" si="41"/>
        <v>216.35200444000003</v>
      </c>
      <c r="L50" s="172">
        <f t="shared" si="41"/>
        <v>149.44066020000002</v>
      </c>
      <c r="M50" s="172">
        <f t="shared" si="41"/>
        <v>690.67104534000009</v>
      </c>
      <c r="N50" s="172">
        <f t="shared" si="41"/>
        <v>275.66793001385332</v>
      </c>
      <c r="O50" s="172">
        <f t="shared" si="41"/>
        <v>326.43375848170513</v>
      </c>
      <c r="P50" s="172">
        <f t="shared" si="41"/>
        <v>245.57419394089939</v>
      </c>
      <c r="Q50" s="172">
        <f t="shared" si="41"/>
        <v>213.85880812880009</v>
      </c>
      <c r="R50" s="172">
        <f t="shared" si="41"/>
        <v>868.72863609525791</v>
      </c>
      <c r="S50" s="172">
        <f t="shared" si="41"/>
        <v>251.23463389</v>
      </c>
      <c r="T50" s="172">
        <f t="shared" si="41"/>
        <v>250.38298043999998</v>
      </c>
      <c r="U50" s="172">
        <f t="shared" si="41"/>
        <v>243.70954791000003</v>
      </c>
      <c r="V50" s="172">
        <f t="shared" si="41"/>
        <v>224.43891305</v>
      </c>
      <c r="W50" s="172">
        <f t="shared" si="41"/>
        <v>969.76607529</v>
      </c>
      <c r="X50" s="172">
        <f t="shared" si="41"/>
        <v>270.96241461</v>
      </c>
      <c r="Y50" s="172">
        <f t="shared" si="41"/>
        <v>264.54353842</v>
      </c>
      <c r="Z50" s="172">
        <f t="shared" si="41"/>
        <v>318.18272308999997</v>
      </c>
      <c r="AA50" s="172">
        <f t="shared" si="41"/>
        <v>256.29247014000003</v>
      </c>
      <c r="AB50" s="172">
        <f t="shared" si="41"/>
        <v>1109.9811462599998</v>
      </c>
      <c r="AC50" s="172">
        <f t="shared" si="41"/>
        <v>288.18049671</v>
      </c>
      <c r="AD50" s="172">
        <f t="shared" si="41"/>
        <v>312.48273477736302</v>
      </c>
      <c r="AE50" s="172">
        <f t="shared" si="41"/>
        <v>314.90773852000001</v>
      </c>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89"/>
      <c r="BE50" s="189"/>
      <c r="BF50" s="189"/>
    </row>
    <row r="51" spans="1:58" ht="12.75" customHeight="1" x14ac:dyDescent="0.2">
      <c r="A51" s="382"/>
      <c r="B51" s="382"/>
      <c r="C51" s="190" t="s">
        <v>366</v>
      </c>
      <c r="D51" s="140">
        <f t="shared" ref="D51:AE51" si="42">D49/D50</f>
        <v>0.1379306415393296</v>
      </c>
      <c r="E51" s="140">
        <f t="shared" si="42"/>
        <v>0.16878103713286596</v>
      </c>
      <c r="F51" s="140">
        <f t="shared" si="42"/>
        <v>0.1293350845960059</v>
      </c>
      <c r="G51" s="140">
        <f t="shared" si="42"/>
        <v>0.12137362769870717</v>
      </c>
      <c r="H51" s="140">
        <f t="shared" si="42"/>
        <v>0.1388156549956355</v>
      </c>
      <c r="I51" s="140">
        <f t="shared" si="42"/>
        <v>0.14156852234112519</v>
      </c>
      <c r="J51" s="140">
        <f t="shared" si="42"/>
        <v>0.20875671345765454</v>
      </c>
      <c r="K51" s="140">
        <f t="shared" si="42"/>
        <v>0.17010407856057669</v>
      </c>
      <c r="L51" s="140">
        <f t="shared" si="42"/>
        <v>0.27014334596736472</v>
      </c>
      <c r="M51" s="140">
        <f t="shared" si="42"/>
        <v>0.19451400733596008</v>
      </c>
      <c r="N51" s="140">
        <f t="shared" si="42"/>
        <v>0.48734429417759495</v>
      </c>
      <c r="O51" s="140">
        <f t="shared" si="42"/>
        <v>0.41155422590133039</v>
      </c>
      <c r="P51" s="140">
        <f t="shared" si="42"/>
        <v>0.17526565759738708</v>
      </c>
      <c r="Q51" s="140">
        <f t="shared" si="42"/>
        <v>0.19257870003276106</v>
      </c>
      <c r="R51" s="140">
        <f t="shared" si="42"/>
        <v>0.18430347324529042</v>
      </c>
      <c r="S51" s="140">
        <f t="shared" si="42"/>
        <v>8.6585135668533528E-2</v>
      </c>
      <c r="T51" s="140">
        <f t="shared" si="42"/>
        <v>0.11896340085758268</v>
      </c>
      <c r="U51" s="140">
        <f t="shared" si="42"/>
        <v>0.10101418795906705</v>
      </c>
      <c r="V51" s="140">
        <f t="shared" si="42"/>
        <v>0.15505332621285389</v>
      </c>
      <c r="W51" s="140">
        <f t="shared" si="42"/>
        <v>0.11441699254824837</v>
      </c>
      <c r="X51" s="140">
        <f t="shared" si="42"/>
        <v>0.11791217769440736</v>
      </c>
      <c r="Y51" s="140">
        <f t="shared" si="42"/>
        <v>0.23944221377818822</v>
      </c>
      <c r="Z51" s="140">
        <f t="shared" si="42"/>
        <v>0.22050290502465383</v>
      </c>
      <c r="AA51" s="140">
        <f t="shared" si="42"/>
        <v>2.1753493175021919E-2</v>
      </c>
      <c r="AB51" s="140">
        <f t="shared" si="42"/>
        <v>0.1540820136506523</v>
      </c>
      <c r="AC51" s="140">
        <f t="shared" si="42"/>
        <v>0.16880400906850113</v>
      </c>
      <c r="AD51" s="140">
        <f t="shared" si="42"/>
        <v>0.17691991610156932</v>
      </c>
      <c r="AE51" s="140">
        <f t="shared" si="42"/>
        <v>0.1477169071126071</v>
      </c>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row>
    <row r="52" spans="1:58" ht="12.75" customHeight="1" x14ac:dyDescent="0.2">
      <c r="A52" s="209"/>
      <c r="B52" s="209"/>
      <c r="C52" s="230"/>
      <c r="D52" s="223"/>
      <c r="E52" s="223"/>
      <c r="F52" s="223"/>
      <c r="G52" s="223"/>
      <c r="H52" s="223"/>
      <c r="I52" s="223"/>
      <c r="J52" s="223"/>
      <c r="K52" s="223"/>
      <c r="L52" s="223"/>
      <c r="M52" s="223"/>
      <c r="N52" s="243"/>
      <c r="O52" s="243"/>
      <c r="P52" s="223"/>
      <c r="Q52" s="223"/>
      <c r="R52" s="223"/>
      <c r="S52" s="223"/>
      <c r="T52" s="223"/>
      <c r="U52" s="223"/>
      <c r="V52" s="223"/>
      <c r="W52" s="223"/>
      <c r="X52" s="223"/>
      <c r="Y52" s="223"/>
      <c r="Z52" s="223"/>
      <c r="AA52" s="223"/>
      <c r="AB52" s="223"/>
      <c r="AC52" s="223"/>
      <c r="AD52" s="223"/>
      <c r="AE52" s="223"/>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row>
    <row r="53" spans="1:58" ht="12.75" x14ac:dyDescent="0.2">
      <c r="A53" s="256"/>
      <c r="B53" s="211" t="s">
        <v>367</v>
      </c>
      <c r="C53" s="211"/>
      <c r="D53" s="158" t="s">
        <v>98</v>
      </c>
      <c r="E53" s="158" t="s">
        <v>99</v>
      </c>
      <c r="F53" s="158" t="s">
        <v>100</v>
      </c>
      <c r="G53" s="158" t="s">
        <v>101</v>
      </c>
      <c r="H53" s="159">
        <v>2018</v>
      </c>
      <c r="I53" s="158" t="s">
        <v>102</v>
      </c>
      <c r="J53" s="158" t="s">
        <v>103</v>
      </c>
      <c r="K53" s="158" t="s">
        <v>104</v>
      </c>
      <c r="L53" s="158" t="s">
        <v>105</v>
      </c>
      <c r="M53" s="159">
        <v>2019</v>
      </c>
      <c r="N53" s="158" t="s">
        <v>158</v>
      </c>
      <c r="O53" s="158" t="s">
        <v>107</v>
      </c>
      <c r="P53" s="158" t="s">
        <v>108</v>
      </c>
      <c r="Q53" s="158" t="s">
        <v>109</v>
      </c>
      <c r="R53" s="159">
        <v>2020</v>
      </c>
      <c r="S53" s="158" t="s">
        <v>110</v>
      </c>
      <c r="T53" s="158" t="s">
        <v>111</v>
      </c>
      <c r="U53" s="158" t="s">
        <v>112</v>
      </c>
      <c r="V53" s="158" t="s">
        <v>113</v>
      </c>
      <c r="W53" s="159">
        <v>2021</v>
      </c>
      <c r="X53" s="158" t="s">
        <v>114</v>
      </c>
      <c r="Y53" s="158" t="s">
        <v>115</v>
      </c>
      <c r="Z53" s="158" t="str">
        <f>$Z$4</f>
        <v>3Q22</v>
      </c>
      <c r="AA53" s="158" t="str">
        <f>$AA$4</f>
        <v>4Q22</v>
      </c>
      <c r="AB53" s="160">
        <v>2022</v>
      </c>
      <c r="AC53" s="158" t="str">
        <f t="shared" ref="AC53:AE53" si="43">AC$4</f>
        <v>1Q23</v>
      </c>
      <c r="AD53" s="158" t="str">
        <f t="shared" si="43"/>
        <v>2Q23</v>
      </c>
      <c r="AE53" s="158" t="str">
        <f t="shared" si="43"/>
        <v>3Q23</v>
      </c>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row>
    <row r="54" spans="1:58" ht="12.75" x14ac:dyDescent="0.2">
      <c r="A54" s="387"/>
      <c r="B54" s="387"/>
      <c r="C54" s="190" t="s">
        <v>188</v>
      </c>
      <c r="D54" s="172">
        <v>45.543284300000046</v>
      </c>
      <c r="E54" s="172">
        <v>55.018506735000003</v>
      </c>
      <c r="F54" s="172">
        <v>60.500835120000005</v>
      </c>
      <c r="G54" s="172">
        <v>53.005799379999999</v>
      </c>
      <c r="H54" s="172">
        <v>214.06842553500007</v>
      </c>
      <c r="I54" s="172">
        <v>53.047292710000001</v>
      </c>
      <c r="J54" s="172">
        <v>62.198129510000001</v>
      </c>
      <c r="K54" s="172">
        <v>69.55662851999999</v>
      </c>
      <c r="L54" s="172">
        <v>74.222275709999991</v>
      </c>
      <c r="M54" s="172">
        <v>259.02432644999999</v>
      </c>
      <c r="N54" s="172">
        <v>259.02432644999999</v>
      </c>
      <c r="O54" s="172">
        <v>259.02432644999999</v>
      </c>
      <c r="P54" s="172">
        <v>82.237296349999994</v>
      </c>
      <c r="Q54" s="172">
        <v>83.615037939999993</v>
      </c>
      <c r="R54" s="172">
        <v>312.75179391</v>
      </c>
      <c r="S54" s="172">
        <v>65.927066960000005</v>
      </c>
      <c r="T54" s="172">
        <v>69.220521989999995</v>
      </c>
      <c r="U54" s="172">
        <v>71.69754666</v>
      </c>
      <c r="V54" s="172">
        <v>91.5</v>
      </c>
      <c r="W54" s="172">
        <f>SUM(S54:V54)</f>
        <v>298.34513561</v>
      </c>
      <c r="X54" s="172">
        <v>83.206670310000007</v>
      </c>
      <c r="Y54" s="172">
        <v>111.11852593</v>
      </c>
      <c r="Z54" s="172">
        <v>132.86129724</v>
      </c>
      <c r="AA54" s="172">
        <v>144.45057291000001</v>
      </c>
      <c r="AB54" s="172">
        <f>SUM(X54:AA54)</f>
        <v>471.63706639000003</v>
      </c>
      <c r="AC54" s="172">
        <f t="shared" ref="AC54:AE54" si="44">AC5</f>
        <v>134.65695319</v>
      </c>
      <c r="AD54" s="172">
        <f t="shared" si="44"/>
        <v>133.79465450000001</v>
      </c>
      <c r="AE54" s="172">
        <f t="shared" si="44"/>
        <v>134.69075384000001</v>
      </c>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89"/>
      <c r="BE54" s="189"/>
      <c r="BF54" s="189"/>
    </row>
    <row r="55" spans="1:58" ht="12.75" x14ac:dyDescent="0.2">
      <c r="A55" s="387"/>
      <c r="B55" s="387"/>
      <c r="C55" s="190" t="s">
        <v>240</v>
      </c>
      <c r="D55" s="140" t="s">
        <v>146</v>
      </c>
      <c r="E55" s="140" t="s">
        <v>146</v>
      </c>
      <c r="F55" s="140" t="s">
        <v>146</v>
      </c>
      <c r="G55" s="140" t="s">
        <v>146</v>
      </c>
      <c r="H55" s="140" t="s">
        <v>146</v>
      </c>
      <c r="I55" s="140">
        <f t="shared" ref="I55:AE55" si="45">I54/D54-1</f>
        <v>0.16476651882569548</v>
      </c>
      <c r="J55" s="140">
        <f t="shared" si="45"/>
        <v>0.13049468626222605</v>
      </c>
      <c r="K55" s="140">
        <f t="shared" si="45"/>
        <v>0.14968046940241941</v>
      </c>
      <c r="L55" s="140">
        <f t="shared" si="45"/>
        <v>0.40026707602121991</v>
      </c>
      <c r="M55" s="140">
        <f t="shared" si="45"/>
        <v>0.21000715450046448</v>
      </c>
      <c r="N55" s="140">
        <f t="shared" si="45"/>
        <v>3.8828943611889741</v>
      </c>
      <c r="O55" s="140">
        <f t="shared" si="45"/>
        <v>3.1645034744711245</v>
      </c>
      <c r="P55" s="140">
        <f t="shared" si="45"/>
        <v>0.18230710860797195</v>
      </c>
      <c r="Q55" s="140">
        <f t="shared" si="45"/>
        <v>0.12654910052474322</v>
      </c>
      <c r="R55" s="140">
        <f t="shared" si="45"/>
        <v>0.20742247724895124</v>
      </c>
      <c r="S55" s="140">
        <f t="shared" si="45"/>
        <v>-0.74547924566179291</v>
      </c>
      <c r="T55" s="140">
        <f t="shared" si="45"/>
        <v>-0.73276439731091525</v>
      </c>
      <c r="U55" s="140">
        <f t="shared" si="45"/>
        <v>-0.12816264830914514</v>
      </c>
      <c r="V55" s="140">
        <f t="shared" si="45"/>
        <v>9.4300765200370451E-2</v>
      </c>
      <c r="W55" s="140">
        <f t="shared" si="45"/>
        <v>-4.6064190775339853E-2</v>
      </c>
      <c r="X55" s="140">
        <f t="shared" si="45"/>
        <v>0.26210180653849013</v>
      </c>
      <c r="Y55" s="140">
        <f t="shared" si="45"/>
        <v>0.60528298162866845</v>
      </c>
      <c r="Z55" s="140">
        <f t="shared" si="45"/>
        <v>0.85308010426140846</v>
      </c>
      <c r="AA55" s="140">
        <f t="shared" si="45"/>
        <v>0.57869478590163936</v>
      </c>
      <c r="AB55" s="140">
        <f t="shared" si="45"/>
        <v>0.58084382849308169</v>
      </c>
      <c r="AC55" s="140">
        <f t="shared" si="45"/>
        <v>0.61834324926491568</v>
      </c>
      <c r="AD55" s="140">
        <f t="shared" si="45"/>
        <v>0.20407153874849815</v>
      </c>
      <c r="AE55" s="140">
        <f t="shared" si="45"/>
        <v>1.3769672869408334E-2</v>
      </c>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95"/>
      <c r="BE55" s="195"/>
      <c r="BF55" s="195"/>
    </row>
    <row r="56" spans="1:58" ht="21" customHeight="1" x14ac:dyDescent="0.2">
      <c r="A56" s="189"/>
      <c r="B56" s="189"/>
      <c r="C56" s="190"/>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89"/>
      <c r="BE56" s="189"/>
      <c r="BF56" s="189"/>
    </row>
    <row r="57" spans="1:58" ht="12.75" customHeight="1" x14ac:dyDescent="0.2">
      <c r="A57" s="387"/>
      <c r="B57" s="387"/>
      <c r="C57" s="190" t="s">
        <v>189</v>
      </c>
      <c r="D57" s="172">
        <v>21.213098765043547</v>
      </c>
      <c r="E57" s="172">
        <v>26.268943236995</v>
      </c>
      <c r="F57" s="172">
        <v>26.565099975750559</v>
      </c>
      <c r="G57" s="172">
        <v>17.956139252984553</v>
      </c>
      <c r="H57" s="172">
        <v>92.003281230773666</v>
      </c>
      <c r="I57" s="172">
        <v>22.436040800000001</v>
      </c>
      <c r="J57" s="172">
        <v>34.736393649999997</v>
      </c>
      <c r="K57" s="172">
        <v>36.802358359999999</v>
      </c>
      <c r="L57" s="172">
        <v>40.370399970000001</v>
      </c>
      <c r="M57" s="172">
        <v>134.34519277999999</v>
      </c>
      <c r="N57" s="172">
        <v>134.34519277999999</v>
      </c>
      <c r="O57" s="172">
        <v>134.34519277999999</v>
      </c>
      <c r="P57" s="172">
        <v>43.040722590000001</v>
      </c>
      <c r="Q57" s="172">
        <v>41.184651259999995</v>
      </c>
      <c r="R57" s="172">
        <v>160.10970494</v>
      </c>
      <c r="S57" s="172">
        <v>21.753184860000001</v>
      </c>
      <c r="T57" s="172">
        <v>29.786410870000001</v>
      </c>
      <c r="U57" s="172">
        <v>24.618122079999999</v>
      </c>
      <c r="V57" s="172">
        <v>34.799999999999997</v>
      </c>
      <c r="W57" s="172">
        <f>SUM(S57:V57)</f>
        <v>110.95771781000001</v>
      </c>
      <c r="X57" s="172">
        <v>31.949768379999998</v>
      </c>
      <c r="Y57" s="172">
        <v>63.342890479999994</v>
      </c>
      <c r="Z57" s="172">
        <v>70.160214769999996</v>
      </c>
      <c r="AA57" s="172">
        <f>AA11</f>
        <v>5.5752565000000001</v>
      </c>
      <c r="AB57" s="172">
        <f>SUM(X57:AA57)</f>
        <v>171.02813012999999</v>
      </c>
      <c r="AC57" s="172">
        <f t="shared" ref="AC57:AE57" si="46">AC11</f>
        <v>48.64602318</v>
      </c>
      <c r="AD57" s="172">
        <f t="shared" si="46"/>
        <v>55.284419220000004</v>
      </c>
      <c r="AE57" s="172">
        <f t="shared" si="46"/>
        <v>46.517197160000002</v>
      </c>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89"/>
      <c r="BE57" s="189"/>
      <c r="BF57" s="189"/>
    </row>
    <row r="58" spans="1:58" ht="12.75" customHeight="1" x14ac:dyDescent="0.2">
      <c r="A58" s="387"/>
      <c r="B58" s="387"/>
      <c r="C58" s="196" t="s">
        <v>222</v>
      </c>
      <c r="D58" s="140">
        <f t="shared" ref="D58:R58" si="47">D57/D54</f>
        <v>0.46577885392080792</v>
      </c>
      <c r="E58" s="140">
        <f t="shared" si="47"/>
        <v>0.47745649229487397</v>
      </c>
      <c r="F58" s="140">
        <f t="shared" si="47"/>
        <v>0.4390865005922675</v>
      </c>
      <c r="G58" s="140">
        <f t="shared" si="47"/>
        <v>0.33875801257625621</v>
      </c>
      <c r="H58" s="140">
        <f t="shared" si="47"/>
        <v>0.42978445326927106</v>
      </c>
      <c r="I58" s="140">
        <f t="shared" si="47"/>
        <v>0.42294412502168199</v>
      </c>
      <c r="J58" s="140">
        <f t="shared" si="47"/>
        <v>0.5584797151241534</v>
      </c>
      <c r="K58" s="140">
        <f t="shared" si="47"/>
        <v>0.52909922667424891</v>
      </c>
      <c r="L58" s="140">
        <f t="shared" si="47"/>
        <v>0.54391218247921336</v>
      </c>
      <c r="M58" s="140">
        <f t="shared" si="47"/>
        <v>0.5186585932728327</v>
      </c>
      <c r="N58" s="140">
        <f t="shared" si="47"/>
        <v>0.5186585932728327</v>
      </c>
      <c r="O58" s="140">
        <f t="shared" si="47"/>
        <v>0.5186585932728327</v>
      </c>
      <c r="P58" s="140">
        <f t="shared" si="47"/>
        <v>0.5233722957868131</v>
      </c>
      <c r="Q58" s="140">
        <f t="shared" si="47"/>
        <v>0.49255076927134861</v>
      </c>
      <c r="R58" s="140">
        <f t="shared" si="47"/>
        <v>0.5119385661655852</v>
      </c>
      <c r="S58" s="140">
        <v>0.32995832915179335</v>
      </c>
      <c r="T58" s="140">
        <v>0.43031184992079546</v>
      </c>
      <c r="U58" s="140">
        <v>0.34336073166830444</v>
      </c>
      <c r="V58" s="140">
        <v>0.4</v>
      </c>
      <c r="W58" s="140">
        <f t="shared" ref="W58:AE58" si="48">W57/W54</f>
        <v>0.37191059804992144</v>
      </c>
      <c r="X58" s="140">
        <f t="shared" si="48"/>
        <v>0.38398085467145759</v>
      </c>
      <c r="Y58" s="140">
        <f t="shared" si="48"/>
        <v>0.57004797309769339</v>
      </c>
      <c r="Z58" s="140">
        <f t="shared" si="48"/>
        <v>0.52807112550815249</v>
      </c>
      <c r="AA58" s="140">
        <f t="shared" si="48"/>
        <v>3.8596292058139955E-2</v>
      </c>
      <c r="AB58" s="140">
        <f t="shared" si="48"/>
        <v>0.36262656673505728</v>
      </c>
      <c r="AC58" s="140">
        <f t="shared" si="48"/>
        <v>0.36125890292022877</v>
      </c>
      <c r="AD58" s="140">
        <f t="shared" si="48"/>
        <v>0.41320349775259518</v>
      </c>
      <c r="AE58" s="140">
        <f t="shared" si="48"/>
        <v>0.34536295798936628</v>
      </c>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95"/>
      <c r="BE58" s="195"/>
      <c r="BF58" s="195"/>
    </row>
    <row r="59" spans="1:58" ht="12.75" customHeight="1" x14ac:dyDescent="0.2">
      <c r="A59" s="387"/>
      <c r="B59" s="387"/>
      <c r="C59" s="190" t="s">
        <v>241</v>
      </c>
      <c r="D59" s="140" t="s">
        <v>146</v>
      </c>
      <c r="E59" s="140" t="s">
        <v>146</v>
      </c>
      <c r="F59" s="140" t="s">
        <v>146</v>
      </c>
      <c r="G59" s="140" t="s">
        <v>146</v>
      </c>
      <c r="H59" s="140" t="s">
        <v>146</v>
      </c>
      <c r="I59" s="140">
        <f t="shared" ref="I59:AE59" si="49">I57/D57-1</f>
        <v>5.7650324853609103E-2</v>
      </c>
      <c r="J59" s="140">
        <f t="shared" si="49"/>
        <v>0.32233692602754349</v>
      </c>
      <c r="K59" s="140">
        <f t="shared" si="49"/>
        <v>0.38536494850741487</v>
      </c>
      <c r="L59" s="140">
        <f t="shared" si="49"/>
        <v>1.2482783966653574</v>
      </c>
      <c r="M59" s="140">
        <f t="shared" si="49"/>
        <v>0.46022175495044859</v>
      </c>
      <c r="N59" s="140">
        <f t="shared" si="49"/>
        <v>4.9879189014489578</v>
      </c>
      <c r="O59" s="140">
        <f t="shared" si="49"/>
        <v>2.8675630560168988</v>
      </c>
      <c r="P59" s="140">
        <f t="shared" si="49"/>
        <v>0.16950990392997189</v>
      </c>
      <c r="Q59" s="140">
        <f t="shared" si="49"/>
        <v>2.0169512578648741E-2</v>
      </c>
      <c r="R59" s="140">
        <f t="shared" si="49"/>
        <v>0.19177844496595631</v>
      </c>
      <c r="S59" s="140">
        <f t="shared" si="49"/>
        <v>-0.83807991629724765</v>
      </c>
      <c r="T59" s="140">
        <f t="shared" si="49"/>
        <v>-0.77828450535794447</v>
      </c>
      <c r="U59" s="140">
        <f t="shared" si="49"/>
        <v>-0.42802721240280184</v>
      </c>
      <c r="V59" s="140">
        <f t="shared" si="49"/>
        <v>-0.15502501695822302</v>
      </c>
      <c r="W59" s="140">
        <f t="shared" si="49"/>
        <v>-0.30698943045594496</v>
      </c>
      <c r="X59" s="140">
        <f t="shared" si="49"/>
        <v>0.46873979997060511</v>
      </c>
      <c r="Y59" s="140">
        <f t="shared" si="49"/>
        <v>1.1265700911887002</v>
      </c>
      <c r="Z59" s="140">
        <f t="shared" si="49"/>
        <v>1.8499417844303743</v>
      </c>
      <c r="AA59" s="140">
        <f t="shared" si="49"/>
        <v>-0.83979147988505742</v>
      </c>
      <c r="AB59" s="140">
        <f t="shared" si="49"/>
        <v>0.5413811089992171</v>
      </c>
      <c r="AC59" s="140">
        <f t="shared" si="49"/>
        <v>0.52257827353927144</v>
      </c>
      <c r="AD59" s="140">
        <f t="shared" si="49"/>
        <v>-0.1272198221289631</v>
      </c>
      <c r="AE59" s="140">
        <f t="shared" si="49"/>
        <v>-0.33698610654922878</v>
      </c>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95"/>
      <c r="BE59" s="195"/>
      <c r="BF59" s="195"/>
    </row>
    <row r="60" spans="1:58" ht="12.75" customHeight="1" x14ac:dyDescent="0.2">
      <c r="A60" s="189"/>
      <c r="B60" s="189"/>
      <c r="C60" s="190"/>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89"/>
      <c r="BE60" s="189"/>
      <c r="BF60" s="189"/>
    </row>
    <row r="61" spans="1:58" ht="12.75" customHeight="1" x14ac:dyDescent="0.2">
      <c r="A61" s="387"/>
      <c r="B61" s="387"/>
      <c r="C61" s="190" t="s">
        <v>190</v>
      </c>
      <c r="D61" s="172">
        <v>5.3339692404480434</v>
      </c>
      <c r="E61" s="172">
        <v>9.1766166652855024</v>
      </c>
      <c r="F61" s="172">
        <v>6.2282280483845618</v>
      </c>
      <c r="G61" s="172">
        <v>-5.7363130627594501</v>
      </c>
      <c r="H61" s="172">
        <v>15.002500891358657</v>
      </c>
      <c r="I61" s="172">
        <v>-1.15597225</v>
      </c>
      <c r="J61" s="172">
        <v>10.160617179999999</v>
      </c>
      <c r="K61" s="172">
        <v>12.69730625</v>
      </c>
      <c r="L61" s="172">
        <v>14.18459577</v>
      </c>
      <c r="M61" s="172">
        <v>35.886546950000003</v>
      </c>
      <c r="N61" s="172">
        <v>35.886546950000003</v>
      </c>
      <c r="O61" s="172">
        <v>35.886546950000003</v>
      </c>
      <c r="P61" s="172">
        <v>9.9404249699999987</v>
      </c>
      <c r="Q61" s="172">
        <v>5.7368224300000001</v>
      </c>
      <c r="R61" s="172">
        <v>28.211606</v>
      </c>
      <c r="S61" s="172">
        <v>-8.7125947300000011</v>
      </c>
      <c r="T61" s="172">
        <v>0.25451407999999998</v>
      </c>
      <c r="U61" s="172">
        <v>-5.6060557599999994</v>
      </c>
      <c r="V61" s="172">
        <v>-2.5</v>
      </c>
      <c r="W61" s="172">
        <f>SUM(S61:V61)</f>
        <v>-16.56413641</v>
      </c>
      <c r="X61" s="172">
        <v>-0.67309184</v>
      </c>
      <c r="Y61" s="172">
        <v>16.450707019999999</v>
      </c>
      <c r="Z61" s="172">
        <v>10.788388279999999</v>
      </c>
      <c r="AA61" s="172">
        <v>7.8160905000000005</v>
      </c>
      <c r="AB61" s="172">
        <f>SUM(X61:AA61)</f>
        <v>34.382093959999999</v>
      </c>
      <c r="AC61" s="172">
        <f t="shared" ref="AC61:AE61" si="50">AC13</f>
        <v>16.62548859</v>
      </c>
      <c r="AD61" s="172">
        <f t="shared" si="50"/>
        <v>23.224540219999998</v>
      </c>
      <c r="AE61" s="172">
        <f t="shared" si="50"/>
        <v>15.25284098</v>
      </c>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89"/>
      <c r="BE61" s="189"/>
      <c r="BF61" s="189"/>
    </row>
    <row r="62" spans="1:58" ht="12.75" customHeight="1" x14ac:dyDescent="0.2">
      <c r="A62" s="387"/>
      <c r="B62" s="387"/>
      <c r="C62" s="196" t="s">
        <v>244</v>
      </c>
      <c r="D62" s="140">
        <f t="shared" ref="D62:AE62" si="51">D61/D54</f>
        <v>0.11711867781235176</v>
      </c>
      <c r="E62" s="140">
        <f t="shared" si="51"/>
        <v>0.16679145272853799</v>
      </c>
      <c r="F62" s="140">
        <f t="shared" si="51"/>
        <v>0.10294449714671247</v>
      </c>
      <c r="G62" s="140">
        <f t="shared" si="51"/>
        <v>-0.1082204802088856</v>
      </c>
      <c r="H62" s="140">
        <f t="shared" si="51"/>
        <v>7.0082735713426159E-2</v>
      </c>
      <c r="I62" s="140">
        <f t="shared" si="51"/>
        <v>-2.1791352413015538E-2</v>
      </c>
      <c r="J62" s="140">
        <f t="shared" si="51"/>
        <v>0.1633588865138848</v>
      </c>
      <c r="K62" s="140">
        <f t="shared" si="51"/>
        <v>0.18254631542914815</v>
      </c>
      <c r="L62" s="140">
        <f t="shared" si="51"/>
        <v>0.19110968552650973</v>
      </c>
      <c r="M62" s="140">
        <f t="shared" si="51"/>
        <v>0.13854508355193912</v>
      </c>
      <c r="N62" s="140">
        <f t="shared" si="51"/>
        <v>0.13854508355193912</v>
      </c>
      <c r="O62" s="140">
        <f t="shared" si="51"/>
        <v>0.13854508355193912</v>
      </c>
      <c r="P62" s="140">
        <f t="shared" si="51"/>
        <v>0.12087489996866853</v>
      </c>
      <c r="Q62" s="140">
        <f t="shared" si="51"/>
        <v>6.8609936338444255E-2</v>
      </c>
      <c r="R62" s="140">
        <f t="shared" si="51"/>
        <v>9.0204457813976277E-2</v>
      </c>
      <c r="S62" s="140">
        <f t="shared" si="51"/>
        <v>-0.13215504847631401</v>
      </c>
      <c r="T62" s="140">
        <f t="shared" si="51"/>
        <v>3.6768587217063833E-3</v>
      </c>
      <c r="U62" s="140">
        <f t="shared" si="51"/>
        <v>-7.8190342921839656E-2</v>
      </c>
      <c r="V62" s="140">
        <f t="shared" si="51"/>
        <v>-2.7322404371584699E-2</v>
      </c>
      <c r="W62" s="140">
        <f t="shared" si="51"/>
        <v>-5.5520048537519372E-2</v>
      </c>
      <c r="X62" s="140">
        <f t="shared" si="51"/>
        <v>-8.0893976106997997E-3</v>
      </c>
      <c r="Y62" s="140">
        <f t="shared" si="51"/>
        <v>0.14804648353923677</v>
      </c>
      <c r="Z62" s="140">
        <f t="shared" si="51"/>
        <v>8.1200383438315427E-2</v>
      </c>
      <c r="AA62" s="140">
        <f t="shared" si="51"/>
        <v>5.41091000370751E-2</v>
      </c>
      <c r="AB62" s="140">
        <f t="shared" si="51"/>
        <v>7.2899473790656658E-2</v>
      </c>
      <c r="AC62" s="140">
        <f t="shared" si="51"/>
        <v>0.12346550397989144</v>
      </c>
      <c r="AD62" s="140">
        <f t="shared" si="51"/>
        <v>0.17358346868783159</v>
      </c>
      <c r="AE62" s="140">
        <f t="shared" si="51"/>
        <v>0.11324341534326064</v>
      </c>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95"/>
      <c r="BE62" s="195"/>
      <c r="BF62" s="195"/>
    </row>
    <row r="63" spans="1:58" ht="12.75" customHeight="1" x14ac:dyDescent="0.2">
      <c r="A63" s="387"/>
      <c r="B63" s="387"/>
      <c r="C63" s="190" t="s">
        <v>245</v>
      </c>
      <c r="D63" s="140" t="s">
        <v>146</v>
      </c>
      <c r="E63" s="140" t="s">
        <v>146</v>
      </c>
      <c r="F63" s="140" t="s">
        <v>146</v>
      </c>
      <c r="G63" s="140" t="s">
        <v>146</v>
      </c>
      <c r="H63" s="140" t="s">
        <v>146</v>
      </c>
      <c r="I63" s="140">
        <f t="shared" ref="I63:AE63" si="52">I61/D61-1</f>
        <v>-1.2167189569137635</v>
      </c>
      <c r="J63" s="140">
        <f t="shared" si="52"/>
        <v>0.10722911837833449</v>
      </c>
      <c r="K63" s="140">
        <f t="shared" si="52"/>
        <v>1.0386707344945965</v>
      </c>
      <c r="L63" s="140">
        <f t="shared" si="52"/>
        <v>-3.4727722519343303</v>
      </c>
      <c r="M63" s="140">
        <f t="shared" si="52"/>
        <v>1.3920376482477277</v>
      </c>
      <c r="N63" s="140">
        <f t="shared" si="52"/>
        <v>-32.044470963727719</v>
      </c>
      <c r="O63" s="140">
        <f t="shared" si="52"/>
        <v>2.5319258972416088</v>
      </c>
      <c r="P63" s="140">
        <f t="shared" si="52"/>
        <v>-0.2171233193654758</v>
      </c>
      <c r="Q63" s="140">
        <f t="shared" si="52"/>
        <v>-0.59555968157138395</v>
      </c>
      <c r="R63" s="140">
        <f t="shared" si="52"/>
        <v>-0.21386679974234757</v>
      </c>
      <c r="S63" s="140">
        <f t="shared" si="52"/>
        <v>-1.2427816402101624</v>
      </c>
      <c r="T63" s="140">
        <f t="shared" si="52"/>
        <v>-0.99290781360617919</v>
      </c>
      <c r="U63" s="140">
        <f t="shared" si="52"/>
        <v>-1.5639654015717599</v>
      </c>
      <c r="V63" s="140">
        <f t="shared" si="52"/>
        <v>-1.4357813110837387</v>
      </c>
      <c r="W63" s="140">
        <f t="shared" si="52"/>
        <v>-1.587139080632276</v>
      </c>
      <c r="X63" s="140">
        <f t="shared" si="52"/>
        <v>-0.92274496164932951</v>
      </c>
      <c r="Y63" s="140">
        <f t="shared" si="52"/>
        <v>63.635744395752099</v>
      </c>
      <c r="Z63" s="140">
        <f t="shared" si="52"/>
        <v>-2.9244168702310587</v>
      </c>
      <c r="AA63" s="140">
        <f t="shared" si="52"/>
        <v>-4.1264362000000006</v>
      </c>
      <c r="AB63" s="140">
        <f t="shared" si="52"/>
        <v>-3.0756949296338232</v>
      </c>
      <c r="AC63" s="140">
        <f t="shared" si="52"/>
        <v>-25.700178492729908</v>
      </c>
      <c r="AD63" s="140">
        <f t="shared" si="52"/>
        <v>0.41176547559716981</v>
      </c>
      <c r="AE63" s="140">
        <f t="shared" si="52"/>
        <v>0.41382017259022863</v>
      </c>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89"/>
      <c r="BE63" s="189"/>
      <c r="BF63" s="189"/>
    </row>
    <row r="64" spans="1:58" ht="12.75" customHeight="1" x14ac:dyDescent="0.2">
      <c r="A64" s="387"/>
      <c r="B64" s="387"/>
      <c r="C64" s="190" t="s">
        <v>246</v>
      </c>
      <c r="D64" s="172">
        <v>7.1803532650364987</v>
      </c>
      <c r="E64" s="172">
        <v>12.125831468439502</v>
      </c>
      <c r="F64" s="172">
        <v>14.000569046759004</v>
      </c>
      <c r="G64" s="172">
        <v>15.610262060650495</v>
      </c>
      <c r="H64" s="172">
        <f>SUM(D64:G64)</f>
        <v>48.917015840885497</v>
      </c>
      <c r="I64" s="172">
        <v>8.5100532399999995</v>
      </c>
      <c r="J64" s="172">
        <v>5.0651095199999991</v>
      </c>
      <c r="K64" s="172">
        <v>3.7200590199999999</v>
      </c>
      <c r="L64" s="172">
        <v>5.1442084000000001</v>
      </c>
      <c r="M64" s="172">
        <f t="shared" ref="M64:O64" si="53">SUM(I64:L64)</f>
        <v>22.439430179999999</v>
      </c>
      <c r="N64" s="172">
        <f t="shared" si="53"/>
        <v>36.36880712</v>
      </c>
      <c r="O64" s="172">
        <f t="shared" si="53"/>
        <v>67.672504720000006</v>
      </c>
      <c r="P64" s="172">
        <v>3.3388070000000001</v>
      </c>
      <c r="Q64" s="172">
        <v>14.2</v>
      </c>
      <c r="R64" s="172">
        <f>SUM(N64:Q64)</f>
        <v>121.58011884000001</v>
      </c>
      <c r="S64" s="172">
        <v>8.4</v>
      </c>
      <c r="T64" s="172">
        <v>13.6</v>
      </c>
      <c r="U64" s="172">
        <v>10.53156325</v>
      </c>
      <c r="V64" s="172">
        <v>19.8</v>
      </c>
      <c r="W64" s="172">
        <f>SUM(S64:V64)</f>
        <v>52.331563250000002</v>
      </c>
      <c r="X64" s="172">
        <v>9.5928029600000002</v>
      </c>
      <c r="Y64" s="172">
        <v>15.86442709</v>
      </c>
      <c r="Z64" s="172">
        <v>21.940067200000001</v>
      </c>
      <c r="AA64" s="172">
        <v>28.022863210000001</v>
      </c>
      <c r="AB64" s="172">
        <f>SUM(X64:AA64)</f>
        <v>75.420160460000005</v>
      </c>
      <c r="AC64" s="172">
        <v>25.248257599999999</v>
      </c>
      <c r="AD64" s="172">
        <v>30.673158440000002</v>
      </c>
      <c r="AE64" s="172">
        <v>28.830164740000001</v>
      </c>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89"/>
      <c r="BE64" s="189"/>
      <c r="BF64" s="189"/>
    </row>
    <row r="65" spans="1:58" ht="12.75" customHeight="1" x14ac:dyDescent="0.2">
      <c r="A65" s="387"/>
      <c r="B65" s="387"/>
      <c r="C65" s="190" t="s">
        <v>247</v>
      </c>
      <c r="D65" s="140" t="s">
        <v>146</v>
      </c>
      <c r="E65" s="140" t="s">
        <v>146</v>
      </c>
      <c r="F65" s="140" t="s">
        <v>146</v>
      </c>
      <c r="G65" s="140" t="s">
        <v>146</v>
      </c>
      <c r="H65" s="140" t="s">
        <v>146</v>
      </c>
      <c r="I65" s="140">
        <f t="shared" ref="I65:AE65" si="54">I64/D64-1</f>
        <v>0.18518587120751384</v>
      </c>
      <c r="J65" s="140">
        <f t="shared" si="54"/>
        <v>-0.58228765316562336</v>
      </c>
      <c r="K65" s="140">
        <f t="shared" si="54"/>
        <v>-0.73429229857902401</v>
      </c>
      <c r="L65" s="140">
        <f t="shared" si="54"/>
        <v>-0.67045983084632232</v>
      </c>
      <c r="M65" s="140">
        <f t="shared" si="54"/>
        <v>-0.54127557059102482</v>
      </c>
      <c r="N65" s="140">
        <f t="shared" si="54"/>
        <v>3.2736286242082313</v>
      </c>
      <c r="O65" s="140">
        <f t="shared" si="54"/>
        <v>12.36052151543606</v>
      </c>
      <c r="P65" s="140">
        <f t="shared" si="54"/>
        <v>-0.10248547615784864</v>
      </c>
      <c r="Q65" s="140">
        <f t="shared" si="54"/>
        <v>1.7603858350684236</v>
      </c>
      <c r="R65" s="140">
        <f t="shared" si="54"/>
        <v>4.4181464442159921</v>
      </c>
      <c r="S65" s="140">
        <f t="shared" si="54"/>
        <v>-0.76903284255972593</v>
      </c>
      <c r="T65" s="140">
        <f t="shared" si="54"/>
        <v>-0.79903211716086164</v>
      </c>
      <c r="U65" s="140">
        <f t="shared" si="54"/>
        <v>2.1542893165133532</v>
      </c>
      <c r="V65" s="140">
        <f t="shared" si="54"/>
        <v>0.39436619718309873</v>
      </c>
      <c r="W65" s="140">
        <f t="shared" si="54"/>
        <v>-0.56957137606627462</v>
      </c>
      <c r="X65" s="140">
        <f t="shared" si="54"/>
        <v>0.14200035238095232</v>
      </c>
      <c r="Y65" s="140">
        <f t="shared" si="54"/>
        <v>0.16650199191176474</v>
      </c>
      <c r="Z65" s="140">
        <f t="shared" si="54"/>
        <v>1.0832678567448193</v>
      </c>
      <c r="AA65" s="140">
        <f t="shared" si="54"/>
        <v>0.41529612171717178</v>
      </c>
      <c r="AB65" s="140">
        <f t="shared" si="54"/>
        <v>0.44119830893834422</v>
      </c>
      <c r="AC65" s="140">
        <f t="shared" si="54"/>
        <v>1.6320000218163555</v>
      </c>
      <c r="AD65" s="140">
        <f t="shared" si="54"/>
        <v>0.93345516141169416</v>
      </c>
      <c r="AE65" s="140">
        <f t="shared" si="54"/>
        <v>0.31404177011818812</v>
      </c>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row>
    <row r="66" spans="1:58" ht="12.75" customHeight="1" x14ac:dyDescent="0.2">
      <c r="A66" s="189"/>
      <c r="B66" s="189"/>
      <c r="C66" s="55" t="s">
        <v>193</v>
      </c>
      <c r="D66" s="181"/>
      <c r="E66" s="181"/>
      <c r="F66" s="181"/>
      <c r="G66" s="181"/>
      <c r="H66" s="168"/>
      <c r="I66" s="181"/>
      <c r="J66" s="181"/>
      <c r="K66" s="181"/>
      <c r="L66" s="181"/>
      <c r="M66" s="168"/>
      <c r="N66" s="243"/>
      <c r="O66" s="243"/>
      <c r="P66" s="181"/>
      <c r="Q66" s="181"/>
      <c r="R66" s="168"/>
      <c r="S66" s="181"/>
      <c r="T66" s="181"/>
      <c r="U66" s="181"/>
      <c r="V66" s="181"/>
      <c r="W66" s="168"/>
      <c r="X66" s="181"/>
      <c r="Y66" s="181"/>
      <c r="Z66" s="181"/>
      <c r="AA66" s="181"/>
      <c r="AB66" s="168"/>
      <c r="AC66" s="181"/>
      <c r="AD66" s="181"/>
      <c r="AE66" s="181"/>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89"/>
      <c r="BE66" s="189"/>
      <c r="BF66" s="189"/>
    </row>
    <row r="67" spans="1:58" ht="9.75" customHeight="1" x14ac:dyDescent="0.2">
      <c r="A67" s="147"/>
      <c r="B67" s="84"/>
      <c r="C67" s="84"/>
      <c r="D67" s="84"/>
      <c r="E67" s="84"/>
      <c r="F67" s="84"/>
      <c r="G67" s="84"/>
      <c r="H67" s="84"/>
      <c r="I67" s="84"/>
      <c r="J67" s="84"/>
      <c r="K67" s="84"/>
      <c r="L67" s="84"/>
      <c r="M67" s="84"/>
      <c r="N67" s="243"/>
      <c r="O67" s="243"/>
      <c r="P67" s="84"/>
      <c r="Q67" s="84"/>
      <c r="R67" s="84"/>
      <c r="S67" s="84"/>
      <c r="T67" s="84"/>
      <c r="U67" s="84"/>
      <c r="V67" s="84"/>
      <c r="W67" s="84"/>
      <c r="X67" s="84"/>
      <c r="Y67" s="84"/>
      <c r="Z67" s="84"/>
      <c r="AA67" s="84"/>
      <c r="AB67" s="84"/>
      <c r="AC67" s="84"/>
      <c r="AD67" s="84"/>
      <c r="AE67" s="84"/>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row>
    <row r="68" spans="1:58" ht="12.75" customHeight="1" x14ac:dyDescent="0.2">
      <c r="A68" s="388"/>
      <c r="B68" s="388"/>
      <c r="C68" s="389"/>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388"/>
      <c r="BE68" s="388"/>
      <c r="BF68" s="388"/>
    </row>
    <row r="69" spans="1:58" ht="15.75" customHeight="1" x14ac:dyDescent="0.2">
      <c r="A69" s="189"/>
      <c r="B69" s="189"/>
      <c r="C69" s="252"/>
      <c r="D69" s="391"/>
      <c r="E69" s="391"/>
      <c r="F69" s="391"/>
      <c r="G69" s="391"/>
      <c r="H69" s="392"/>
      <c r="I69" s="392"/>
      <c r="J69" s="392"/>
      <c r="K69" s="392"/>
      <c r="L69" s="392"/>
      <c r="M69" s="392"/>
      <c r="N69" s="392"/>
      <c r="O69" s="392"/>
      <c r="P69" s="392"/>
      <c r="Q69" s="392"/>
      <c r="R69" s="392"/>
      <c r="S69" s="392"/>
      <c r="T69" s="392"/>
      <c r="U69" s="392"/>
      <c r="V69" s="392"/>
      <c r="W69" s="392"/>
      <c r="X69" s="392"/>
      <c r="Y69" s="392"/>
      <c r="Z69" s="392"/>
      <c r="AA69" s="391"/>
      <c r="AB69" s="392"/>
      <c r="AC69" s="391"/>
      <c r="AD69" s="391"/>
      <c r="AE69" s="391"/>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89"/>
      <c r="BE69" s="189"/>
      <c r="BF69" s="189"/>
    </row>
    <row r="70" spans="1:58" ht="15.75" customHeight="1" x14ac:dyDescent="0.2">
      <c r="A70" s="393"/>
      <c r="B70" s="189"/>
      <c r="C70" s="252"/>
      <c r="D70" s="394"/>
      <c r="E70" s="394"/>
      <c r="F70" s="394"/>
      <c r="G70" s="394"/>
      <c r="H70" s="394"/>
      <c r="I70" s="394"/>
      <c r="J70" s="394"/>
      <c r="K70" s="394"/>
      <c r="L70" s="394"/>
      <c r="M70" s="394"/>
      <c r="N70" s="394"/>
      <c r="O70" s="394"/>
      <c r="P70" s="394"/>
      <c r="Q70" s="394"/>
      <c r="R70" s="394"/>
      <c r="S70" s="395"/>
      <c r="T70" s="395"/>
      <c r="U70" s="395"/>
      <c r="V70" s="395"/>
      <c r="W70" s="395"/>
      <c r="X70" s="395"/>
      <c r="Y70" s="395"/>
      <c r="Z70" s="395"/>
      <c r="AA70" s="395"/>
      <c r="AB70" s="395"/>
      <c r="AC70" s="395"/>
      <c r="AD70" s="395"/>
      <c r="AE70" s="395"/>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89"/>
      <c r="BE70" s="189"/>
      <c r="BF70" s="189"/>
    </row>
    <row r="71" spans="1:58" ht="15.75" customHeight="1" x14ac:dyDescent="0.2">
      <c r="A71" s="396"/>
      <c r="B71" s="189"/>
      <c r="C71" s="252"/>
      <c r="D71" s="394"/>
      <c r="E71" s="394"/>
      <c r="F71" s="394"/>
      <c r="G71" s="394"/>
      <c r="H71" s="394"/>
      <c r="I71" s="394"/>
      <c r="J71" s="394"/>
      <c r="K71" s="394"/>
      <c r="L71" s="394"/>
      <c r="M71" s="394"/>
      <c r="N71" s="394"/>
      <c r="O71" s="394"/>
      <c r="P71" s="394"/>
      <c r="Q71" s="394"/>
      <c r="R71" s="394"/>
      <c r="S71" s="395"/>
      <c r="T71" s="395"/>
      <c r="U71" s="395"/>
      <c r="V71" s="395"/>
      <c r="W71" s="395"/>
      <c r="X71" s="395"/>
      <c r="Y71" s="395"/>
      <c r="Z71" s="395"/>
      <c r="AA71" s="395"/>
      <c r="AB71" s="395"/>
      <c r="AC71" s="395"/>
      <c r="AD71" s="395"/>
      <c r="AE71" s="395"/>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89"/>
      <c r="BE71" s="189"/>
      <c r="BF71" s="189"/>
    </row>
    <row r="72" spans="1:58" ht="15.75" customHeight="1" x14ac:dyDescent="0.2">
      <c r="A72" s="396"/>
      <c r="B72" s="189"/>
      <c r="C72" s="252"/>
      <c r="D72" s="394"/>
      <c r="E72" s="394"/>
      <c r="F72" s="394"/>
      <c r="G72" s="394"/>
      <c r="H72" s="394"/>
      <c r="I72" s="394"/>
      <c r="J72" s="394"/>
      <c r="K72" s="394"/>
      <c r="L72" s="394"/>
      <c r="M72" s="394"/>
      <c r="N72" s="394"/>
      <c r="O72" s="394"/>
      <c r="P72" s="394"/>
      <c r="Q72" s="394"/>
      <c r="R72" s="394"/>
      <c r="S72" s="395"/>
      <c r="T72" s="395"/>
      <c r="U72" s="395"/>
      <c r="V72" s="395"/>
      <c r="W72" s="395"/>
      <c r="X72" s="395"/>
      <c r="Y72" s="395"/>
      <c r="Z72" s="395"/>
      <c r="AA72" s="395"/>
      <c r="AB72" s="395"/>
      <c r="AC72" s="395"/>
      <c r="AD72" s="395"/>
      <c r="AE72" s="395"/>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89"/>
      <c r="BE72" s="189"/>
      <c r="BF72" s="189"/>
    </row>
    <row r="73" spans="1:58" ht="15.75" customHeight="1" x14ac:dyDescent="0.2">
      <c r="A73" s="396"/>
      <c r="B73" s="189"/>
      <c r="C73" s="252"/>
      <c r="D73" s="394"/>
      <c r="E73" s="394"/>
      <c r="F73" s="394"/>
      <c r="G73" s="394"/>
      <c r="H73" s="394"/>
      <c r="I73" s="394"/>
      <c r="J73" s="394"/>
      <c r="K73" s="394"/>
      <c r="L73" s="394"/>
      <c r="M73" s="394"/>
      <c r="N73" s="394"/>
      <c r="O73" s="394"/>
      <c r="P73" s="394"/>
      <c r="Q73" s="394"/>
      <c r="R73" s="394"/>
      <c r="S73" s="395"/>
      <c r="T73" s="395"/>
      <c r="U73" s="395"/>
      <c r="V73" s="395"/>
      <c r="W73" s="395"/>
      <c r="X73" s="395"/>
      <c r="Y73" s="395"/>
      <c r="Z73" s="395"/>
      <c r="AA73" s="395"/>
      <c r="AB73" s="395"/>
      <c r="AC73" s="395"/>
      <c r="AD73" s="395"/>
      <c r="AE73" s="395"/>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row>
    <row r="74" spans="1:58" ht="15.75" customHeight="1" x14ac:dyDescent="0.2">
      <c r="A74" s="396"/>
      <c r="B74" s="189"/>
      <c r="C74" s="252"/>
      <c r="D74" s="394"/>
      <c r="E74" s="394"/>
      <c r="F74" s="394"/>
      <c r="G74" s="394"/>
      <c r="H74" s="394"/>
      <c r="I74" s="394"/>
      <c r="J74" s="394"/>
      <c r="K74" s="394"/>
      <c r="L74" s="394"/>
      <c r="M74" s="394"/>
      <c r="N74" s="394"/>
      <c r="O74" s="394"/>
      <c r="P74" s="394"/>
      <c r="Q74" s="394"/>
      <c r="R74" s="394"/>
      <c r="S74" s="395"/>
      <c r="T74" s="395"/>
      <c r="U74" s="395"/>
      <c r="V74" s="395"/>
      <c r="W74" s="395"/>
      <c r="X74" s="395"/>
      <c r="Y74" s="395"/>
      <c r="Z74" s="395"/>
      <c r="AA74" s="395"/>
      <c r="AB74" s="395"/>
      <c r="AC74" s="395"/>
      <c r="AD74" s="395"/>
      <c r="AE74" s="395"/>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row>
    <row r="75" spans="1:58" ht="15.75" customHeight="1" x14ac:dyDescent="0.2">
      <c r="A75" s="396"/>
      <c r="B75" s="189"/>
      <c r="C75" s="252"/>
      <c r="D75" s="394"/>
      <c r="E75" s="394"/>
      <c r="F75" s="394"/>
      <c r="G75" s="394"/>
      <c r="H75" s="394"/>
      <c r="I75" s="394"/>
      <c r="J75" s="394"/>
      <c r="K75" s="394"/>
      <c r="L75" s="394"/>
      <c r="M75" s="394"/>
      <c r="N75" s="394"/>
      <c r="O75" s="394"/>
      <c r="P75" s="394"/>
      <c r="Q75" s="394"/>
      <c r="R75" s="394"/>
      <c r="S75" s="395"/>
      <c r="T75" s="395"/>
      <c r="U75" s="395"/>
      <c r="V75" s="395"/>
      <c r="W75" s="395"/>
      <c r="X75" s="395"/>
      <c r="Y75" s="395"/>
      <c r="Z75" s="395"/>
      <c r="AA75" s="395"/>
      <c r="AB75" s="395"/>
      <c r="AC75" s="395"/>
      <c r="AD75" s="395"/>
      <c r="AE75" s="395"/>
      <c r="AF75" s="172"/>
      <c r="AG75" s="172"/>
      <c r="AH75" s="172"/>
      <c r="AI75" s="172"/>
      <c r="AJ75" s="172"/>
      <c r="AK75" s="172"/>
      <c r="AL75" s="172"/>
      <c r="AM75" s="172"/>
      <c r="AN75" s="172"/>
      <c r="AO75" s="172"/>
      <c r="AP75" s="172"/>
      <c r="AQ75" s="172"/>
      <c r="AR75" s="172"/>
      <c r="AS75" s="172"/>
      <c r="AT75" s="172"/>
      <c r="AU75" s="189"/>
      <c r="AV75" s="189"/>
      <c r="AW75" s="189"/>
      <c r="AX75" s="189"/>
      <c r="AY75" s="189"/>
      <c r="AZ75" s="189"/>
      <c r="BA75" s="189"/>
      <c r="BB75" s="189"/>
      <c r="BC75" s="189"/>
      <c r="BD75" s="189"/>
      <c r="BE75" s="189"/>
      <c r="BF75" s="189"/>
    </row>
    <row r="76" spans="1:58" ht="15.75" customHeight="1" x14ac:dyDescent="0.2">
      <c r="A76" s="189"/>
      <c r="B76" s="189"/>
      <c r="C76" s="252"/>
      <c r="D76" s="394"/>
      <c r="E76" s="394"/>
      <c r="F76" s="394"/>
      <c r="G76" s="394"/>
      <c r="H76" s="394"/>
      <c r="I76" s="394"/>
      <c r="J76" s="394"/>
      <c r="K76" s="394"/>
      <c r="L76" s="394"/>
      <c r="M76" s="394"/>
      <c r="N76" s="394"/>
      <c r="O76" s="394"/>
      <c r="P76" s="394"/>
      <c r="Q76" s="394"/>
      <c r="R76" s="394"/>
      <c r="S76" s="395"/>
      <c r="T76" s="395"/>
      <c r="U76" s="395"/>
      <c r="V76" s="395"/>
      <c r="W76" s="395"/>
      <c r="X76" s="395"/>
      <c r="Y76" s="395"/>
      <c r="Z76" s="395"/>
      <c r="AA76" s="395"/>
      <c r="AB76" s="395"/>
      <c r="AC76" s="395"/>
      <c r="AD76" s="395"/>
      <c r="AE76" s="395"/>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row>
    <row r="77" spans="1:58" ht="15.75" customHeight="1" x14ac:dyDescent="0.2">
      <c r="A77" s="189"/>
      <c r="B77" s="189"/>
      <c r="C77" s="252"/>
      <c r="D77" s="394"/>
      <c r="E77" s="394"/>
      <c r="F77" s="394"/>
      <c r="G77" s="394"/>
      <c r="H77" s="394"/>
      <c r="I77" s="394"/>
      <c r="J77" s="394"/>
      <c r="K77" s="394"/>
      <c r="L77" s="394"/>
      <c r="M77" s="394"/>
      <c r="N77" s="394"/>
      <c r="O77" s="394"/>
      <c r="P77" s="394"/>
      <c r="Q77" s="394"/>
      <c r="R77" s="394"/>
      <c r="S77" s="395"/>
      <c r="T77" s="395"/>
      <c r="U77" s="395"/>
      <c r="V77" s="395"/>
      <c r="W77" s="395"/>
      <c r="X77" s="395"/>
      <c r="Y77" s="395"/>
      <c r="Z77" s="395"/>
      <c r="AA77" s="395"/>
      <c r="AB77" s="395"/>
      <c r="AC77" s="395"/>
      <c r="AD77" s="395"/>
      <c r="AE77" s="395"/>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row>
    <row r="78" spans="1:58" ht="15.75" customHeight="1" x14ac:dyDescent="0.2">
      <c r="A78" s="189"/>
      <c r="B78" s="189"/>
      <c r="C78" s="252"/>
      <c r="D78" s="394"/>
      <c r="E78" s="394"/>
      <c r="F78" s="394"/>
      <c r="G78" s="394"/>
      <c r="H78" s="394"/>
      <c r="I78" s="394"/>
      <c r="J78" s="394"/>
      <c r="K78" s="394"/>
      <c r="L78" s="394"/>
      <c r="M78" s="394"/>
      <c r="N78" s="394"/>
      <c r="O78" s="394"/>
      <c r="P78" s="394"/>
      <c r="Q78" s="394"/>
      <c r="R78" s="394"/>
      <c r="S78" s="395"/>
      <c r="T78" s="395"/>
      <c r="U78" s="395"/>
      <c r="V78" s="395"/>
      <c r="W78" s="395"/>
      <c r="X78" s="395"/>
      <c r="Y78" s="395"/>
      <c r="Z78" s="395"/>
      <c r="AA78" s="395"/>
      <c r="AB78" s="395"/>
      <c r="AC78" s="395"/>
      <c r="AD78" s="395"/>
      <c r="AE78" s="395"/>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row>
    <row r="79" spans="1:58" ht="15.75" customHeight="1" x14ac:dyDescent="0.2">
      <c r="A79" s="397"/>
      <c r="B79" s="189"/>
      <c r="C79" s="252"/>
      <c r="D79" s="394"/>
      <c r="E79" s="394"/>
      <c r="F79" s="394"/>
      <c r="G79" s="394"/>
      <c r="H79" s="394"/>
      <c r="I79" s="394"/>
      <c r="J79" s="394"/>
      <c r="K79" s="394"/>
      <c r="L79" s="394"/>
      <c r="M79" s="394"/>
      <c r="N79" s="394"/>
      <c r="O79" s="394"/>
      <c r="P79" s="394"/>
      <c r="Q79" s="394"/>
      <c r="R79" s="394"/>
      <c r="S79" s="395"/>
      <c r="T79" s="395"/>
      <c r="U79" s="395"/>
      <c r="V79" s="395"/>
      <c r="W79" s="395"/>
      <c r="X79" s="395"/>
      <c r="Y79" s="395"/>
      <c r="Z79" s="395"/>
      <c r="AA79" s="395"/>
      <c r="AB79" s="395"/>
      <c r="AC79" s="395"/>
      <c r="AD79" s="395"/>
      <c r="AE79" s="395"/>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row>
    <row r="80" spans="1:58" ht="15.75" customHeight="1" x14ac:dyDescent="0.2">
      <c r="A80" s="189"/>
      <c r="B80" s="189"/>
      <c r="C80" s="252"/>
      <c r="D80" s="394"/>
      <c r="E80" s="394"/>
      <c r="F80" s="394"/>
      <c r="G80" s="394"/>
      <c r="H80" s="394"/>
      <c r="I80" s="394"/>
      <c r="J80" s="394"/>
      <c r="K80" s="394"/>
      <c r="L80" s="394"/>
      <c r="M80" s="394"/>
      <c r="N80" s="394"/>
      <c r="O80" s="394"/>
      <c r="P80" s="394"/>
      <c r="Q80" s="394"/>
      <c r="R80" s="394"/>
      <c r="S80" s="395"/>
      <c r="T80" s="395"/>
      <c r="U80" s="395"/>
      <c r="V80" s="395"/>
      <c r="W80" s="395"/>
      <c r="X80" s="395"/>
      <c r="Y80" s="395"/>
      <c r="Z80" s="395"/>
      <c r="AA80" s="395"/>
      <c r="AB80" s="395"/>
      <c r="AC80" s="395"/>
      <c r="AD80" s="395"/>
      <c r="AE80" s="395"/>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row>
    <row r="81" spans="1:58" ht="15.75" customHeight="1" x14ac:dyDescent="0.2">
      <c r="A81" s="189"/>
      <c r="B81" s="189"/>
      <c r="C81" s="252"/>
      <c r="D81" s="394"/>
      <c r="E81" s="394"/>
      <c r="F81" s="394"/>
      <c r="G81" s="394"/>
      <c r="H81" s="394"/>
      <c r="I81" s="394"/>
      <c r="J81" s="394"/>
      <c r="K81" s="394"/>
      <c r="L81" s="394"/>
      <c r="M81" s="394"/>
      <c r="N81" s="394"/>
      <c r="O81" s="394"/>
      <c r="P81" s="394"/>
      <c r="Q81" s="394"/>
      <c r="R81" s="394"/>
      <c r="S81" s="395"/>
      <c r="T81" s="395"/>
      <c r="U81" s="395"/>
      <c r="V81" s="395"/>
      <c r="W81" s="395"/>
      <c r="X81" s="395"/>
      <c r="Y81" s="395"/>
      <c r="Z81" s="395"/>
      <c r="AA81" s="395"/>
      <c r="AB81" s="395"/>
      <c r="AC81" s="395"/>
      <c r="AD81" s="395"/>
      <c r="AE81" s="395"/>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row>
    <row r="82" spans="1:58" ht="15.75" customHeight="1" x14ac:dyDescent="0.2">
      <c r="A82" s="189"/>
      <c r="B82" s="189"/>
      <c r="C82" s="252"/>
      <c r="D82" s="394"/>
      <c r="E82" s="394"/>
      <c r="F82" s="394"/>
      <c r="G82" s="394"/>
      <c r="H82" s="394"/>
      <c r="I82" s="394"/>
      <c r="J82" s="394"/>
      <c r="K82" s="394"/>
      <c r="L82" s="394"/>
      <c r="M82" s="394"/>
      <c r="N82" s="394"/>
      <c r="O82" s="394"/>
      <c r="P82" s="394"/>
      <c r="Q82" s="394"/>
      <c r="R82" s="394"/>
      <c r="S82" s="395"/>
      <c r="T82" s="395"/>
      <c r="U82" s="395"/>
      <c r="V82" s="395"/>
      <c r="W82" s="395"/>
      <c r="X82" s="395"/>
      <c r="Y82" s="395"/>
      <c r="Z82" s="395"/>
      <c r="AA82" s="395"/>
      <c r="AB82" s="395"/>
      <c r="AC82" s="395"/>
      <c r="AD82" s="395"/>
      <c r="AE82" s="395"/>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row>
    <row r="83" spans="1:58" ht="15.75" customHeight="1" x14ac:dyDescent="0.2">
      <c r="A83" s="189"/>
      <c r="B83" s="189"/>
      <c r="C83" s="55"/>
      <c r="D83" s="391"/>
      <c r="E83" s="391"/>
      <c r="F83" s="391"/>
      <c r="G83" s="391"/>
      <c r="H83" s="392"/>
      <c r="I83" s="391"/>
      <c r="J83" s="391"/>
      <c r="K83" s="391"/>
      <c r="L83" s="391"/>
      <c r="M83" s="392"/>
      <c r="N83" s="391"/>
      <c r="O83" s="391"/>
      <c r="P83" s="391"/>
      <c r="Q83" s="391"/>
      <c r="R83" s="392"/>
      <c r="S83" s="391"/>
      <c r="T83" s="391"/>
      <c r="U83" s="391"/>
      <c r="V83" s="391"/>
      <c r="W83" s="392"/>
      <c r="X83" s="391"/>
      <c r="Y83" s="391"/>
      <c r="Z83" s="391"/>
      <c r="AA83" s="391"/>
      <c r="AB83" s="392"/>
      <c r="AC83" s="391"/>
      <c r="AD83" s="391"/>
      <c r="AE83" s="391"/>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row>
    <row r="84" spans="1:58" ht="15.75" customHeight="1" x14ac:dyDescent="0.2">
      <c r="A84" s="189"/>
      <c r="B84" s="189"/>
      <c r="C84" s="55"/>
      <c r="D84" s="391"/>
      <c r="E84" s="391"/>
      <c r="F84" s="391"/>
      <c r="G84" s="391"/>
      <c r="H84" s="392"/>
      <c r="I84" s="391"/>
      <c r="J84" s="391"/>
      <c r="K84" s="391"/>
      <c r="L84" s="391"/>
      <c r="M84" s="392"/>
      <c r="N84" s="391"/>
      <c r="O84" s="391"/>
      <c r="P84" s="391"/>
      <c r="Q84" s="391"/>
      <c r="R84" s="392"/>
      <c r="S84" s="391"/>
      <c r="T84" s="391"/>
      <c r="U84" s="391"/>
      <c r="V84" s="391"/>
      <c r="W84" s="392"/>
      <c r="X84" s="391"/>
      <c r="Y84" s="391"/>
      <c r="Z84" s="391"/>
      <c r="AA84" s="391"/>
      <c r="AB84" s="392"/>
      <c r="AC84" s="391"/>
      <c r="AD84" s="391"/>
      <c r="AE84" s="391"/>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row>
    <row r="85" spans="1:58" ht="15.75" customHeight="1" x14ac:dyDescent="0.2">
      <c r="A85" s="189"/>
      <c r="B85" s="189"/>
      <c r="C85" s="55"/>
      <c r="D85" s="391"/>
      <c r="E85" s="391"/>
      <c r="F85" s="391"/>
      <c r="G85" s="391"/>
      <c r="H85" s="392"/>
      <c r="I85" s="391"/>
      <c r="J85" s="391"/>
      <c r="K85" s="391"/>
      <c r="L85" s="391"/>
      <c r="M85" s="392"/>
      <c r="N85" s="391"/>
      <c r="O85" s="391"/>
      <c r="P85" s="391"/>
      <c r="Q85" s="391"/>
      <c r="R85" s="392"/>
      <c r="S85" s="391"/>
      <c r="T85" s="391"/>
      <c r="U85" s="391"/>
      <c r="V85" s="391"/>
      <c r="W85" s="392"/>
      <c r="X85" s="391"/>
      <c r="Y85" s="391"/>
      <c r="Z85" s="391"/>
      <c r="AA85" s="391"/>
      <c r="AB85" s="392"/>
      <c r="AC85" s="391"/>
      <c r="AD85" s="391"/>
      <c r="AE85" s="391"/>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row>
    <row r="86" spans="1:58" ht="15.75" customHeight="1" x14ac:dyDescent="0.2">
      <c r="A86" s="189"/>
      <c r="B86" s="189"/>
      <c r="C86" s="55"/>
      <c r="D86" s="391"/>
      <c r="E86" s="391"/>
      <c r="F86" s="391"/>
      <c r="G86" s="391"/>
      <c r="H86" s="392"/>
      <c r="I86" s="391"/>
      <c r="J86" s="391"/>
      <c r="K86" s="391"/>
      <c r="L86" s="391"/>
      <c r="M86" s="392"/>
      <c r="N86" s="391"/>
      <c r="O86" s="391"/>
      <c r="P86" s="391"/>
      <c r="Q86" s="391"/>
      <c r="R86" s="392"/>
      <c r="S86" s="391"/>
      <c r="T86" s="391"/>
      <c r="U86" s="391"/>
      <c r="V86" s="391"/>
      <c r="W86" s="392"/>
      <c r="X86" s="391"/>
      <c r="Y86" s="391"/>
      <c r="Z86" s="391"/>
      <c r="AA86" s="391"/>
      <c r="AB86" s="392"/>
      <c r="AC86" s="391"/>
      <c r="AD86" s="391"/>
      <c r="AE86" s="391"/>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row>
    <row r="87" spans="1:58" ht="15.75" customHeight="1" x14ac:dyDescent="0.2">
      <c r="A87" s="189"/>
      <c r="B87" s="189"/>
      <c r="C87" s="55"/>
      <c r="D87" s="391"/>
      <c r="E87" s="391"/>
      <c r="F87" s="391"/>
      <c r="G87" s="391"/>
      <c r="H87" s="392"/>
      <c r="I87" s="391"/>
      <c r="J87" s="391"/>
      <c r="K87" s="391"/>
      <c r="L87" s="391"/>
      <c r="M87" s="392"/>
      <c r="N87" s="391"/>
      <c r="O87" s="391"/>
      <c r="P87" s="391"/>
      <c r="Q87" s="391"/>
      <c r="R87" s="392"/>
      <c r="S87" s="391"/>
      <c r="T87" s="391"/>
      <c r="U87" s="391"/>
      <c r="V87" s="391"/>
      <c r="W87" s="392"/>
      <c r="X87" s="391"/>
      <c r="Y87" s="391"/>
      <c r="Z87" s="391"/>
      <c r="AA87" s="391"/>
      <c r="AB87" s="392"/>
      <c r="AC87" s="391"/>
      <c r="AD87" s="391"/>
      <c r="AE87" s="391"/>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row>
    <row r="88" spans="1:58" ht="15.75" customHeight="1" x14ac:dyDescent="0.2">
      <c r="A88" s="189"/>
      <c r="B88" s="189"/>
      <c r="C88" s="55"/>
      <c r="D88" s="391"/>
      <c r="E88" s="391"/>
      <c r="F88" s="391"/>
      <c r="G88" s="391"/>
      <c r="H88" s="392"/>
      <c r="I88" s="391"/>
      <c r="J88" s="391"/>
      <c r="K88" s="391"/>
      <c r="L88" s="391"/>
      <c r="M88" s="392"/>
      <c r="N88" s="391"/>
      <c r="O88" s="391"/>
      <c r="P88" s="391"/>
      <c r="Q88" s="391"/>
      <c r="R88" s="392"/>
      <c r="S88" s="391"/>
      <c r="T88" s="391"/>
      <c r="U88" s="391"/>
      <c r="V88" s="391"/>
      <c r="W88" s="392"/>
      <c r="X88" s="391"/>
      <c r="Y88" s="391"/>
      <c r="Z88" s="391"/>
      <c r="AA88" s="391"/>
      <c r="AB88" s="392"/>
      <c r="AC88" s="391"/>
      <c r="AD88" s="391"/>
      <c r="AE88" s="391"/>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c r="BE88" s="189"/>
      <c r="BF88" s="189"/>
    </row>
    <row r="89" spans="1:58" ht="15.75" customHeight="1" x14ac:dyDescent="0.2">
      <c r="A89" s="189"/>
      <c r="B89" s="189"/>
      <c r="C89" s="55"/>
      <c r="D89" s="391"/>
      <c r="E89" s="391"/>
      <c r="F89" s="391"/>
      <c r="G89" s="391"/>
      <c r="H89" s="392"/>
      <c r="I89" s="391"/>
      <c r="J89" s="391"/>
      <c r="K89" s="391"/>
      <c r="L89" s="391"/>
      <c r="M89" s="392"/>
      <c r="N89" s="391"/>
      <c r="O89" s="391"/>
      <c r="P89" s="391"/>
      <c r="Q89" s="391"/>
      <c r="R89" s="392"/>
      <c r="S89" s="391"/>
      <c r="T89" s="391"/>
      <c r="U89" s="391"/>
      <c r="V89" s="391"/>
      <c r="W89" s="392"/>
      <c r="X89" s="391"/>
      <c r="Y89" s="391"/>
      <c r="Z89" s="391"/>
      <c r="AA89" s="391"/>
      <c r="AB89" s="392"/>
      <c r="AC89" s="391"/>
      <c r="AD89" s="391"/>
      <c r="AE89" s="391"/>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c r="BE89" s="189"/>
      <c r="BF89" s="189"/>
    </row>
    <row r="90" spans="1:58" ht="15.75" customHeight="1" x14ac:dyDescent="0.2">
      <c r="A90" s="189"/>
      <c r="B90" s="189"/>
      <c r="C90" s="55"/>
      <c r="D90" s="391"/>
      <c r="E90" s="391"/>
      <c r="F90" s="391"/>
      <c r="G90" s="391"/>
      <c r="H90" s="392"/>
      <c r="I90" s="391"/>
      <c r="J90" s="391"/>
      <c r="K90" s="391"/>
      <c r="L90" s="391"/>
      <c r="M90" s="392"/>
      <c r="N90" s="391"/>
      <c r="O90" s="391"/>
      <c r="P90" s="391"/>
      <c r="Q90" s="391"/>
      <c r="R90" s="392"/>
      <c r="S90" s="391"/>
      <c r="T90" s="391"/>
      <c r="U90" s="391"/>
      <c r="V90" s="391"/>
      <c r="W90" s="392"/>
      <c r="X90" s="391"/>
      <c r="Y90" s="391"/>
      <c r="Z90" s="391"/>
      <c r="AA90" s="391"/>
      <c r="AB90" s="392"/>
      <c r="AC90" s="391"/>
      <c r="AD90" s="391"/>
      <c r="AE90" s="391"/>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row>
    <row r="91" spans="1:58" ht="15.75" customHeight="1" x14ac:dyDescent="0.2">
      <c r="A91" s="189"/>
      <c r="B91" s="189"/>
      <c r="C91" s="55"/>
      <c r="D91" s="391"/>
      <c r="E91" s="391"/>
      <c r="F91" s="391"/>
      <c r="G91" s="391"/>
      <c r="H91" s="392"/>
      <c r="I91" s="391"/>
      <c r="J91" s="391"/>
      <c r="K91" s="391"/>
      <c r="L91" s="391"/>
      <c r="M91" s="392"/>
      <c r="N91" s="391"/>
      <c r="O91" s="391"/>
      <c r="P91" s="391"/>
      <c r="Q91" s="391"/>
      <c r="R91" s="392"/>
      <c r="S91" s="391"/>
      <c r="T91" s="391"/>
      <c r="U91" s="391"/>
      <c r="V91" s="391"/>
      <c r="W91" s="392"/>
      <c r="X91" s="391"/>
      <c r="Y91" s="391"/>
      <c r="Z91" s="391"/>
      <c r="AA91" s="391"/>
      <c r="AB91" s="392"/>
      <c r="AC91" s="391"/>
      <c r="AD91" s="391"/>
      <c r="AE91" s="391"/>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row>
    <row r="92" spans="1:58" ht="15.75" customHeight="1" x14ac:dyDescent="0.2">
      <c r="A92" s="189"/>
      <c r="B92" s="189"/>
      <c r="C92" s="55"/>
      <c r="D92" s="391"/>
      <c r="E92" s="391"/>
      <c r="F92" s="391"/>
      <c r="G92" s="391"/>
      <c r="H92" s="392"/>
      <c r="I92" s="391"/>
      <c r="J92" s="391"/>
      <c r="K92" s="391"/>
      <c r="L92" s="391"/>
      <c r="M92" s="392"/>
      <c r="N92" s="391"/>
      <c r="O92" s="391"/>
      <c r="P92" s="391"/>
      <c r="Q92" s="391"/>
      <c r="R92" s="392"/>
      <c r="S92" s="391"/>
      <c r="T92" s="391"/>
      <c r="U92" s="391"/>
      <c r="V92" s="391"/>
      <c r="W92" s="392"/>
      <c r="X92" s="391"/>
      <c r="Y92" s="391"/>
      <c r="Z92" s="391"/>
      <c r="AA92" s="391"/>
      <c r="AB92" s="392"/>
      <c r="AC92" s="391"/>
      <c r="AD92" s="391"/>
      <c r="AE92" s="391"/>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row>
    <row r="93" spans="1:58" ht="15.75" customHeight="1" x14ac:dyDescent="0.2">
      <c r="A93" s="189"/>
      <c r="B93" s="189"/>
      <c r="C93" s="55"/>
      <c r="D93" s="391"/>
      <c r="E93" s="391"/>
      <c r="F93" s="391"/>
      <c r="G93" s="391"/>
      <c r="H93" s="392"/>
      <c r="I93" s="391"/>
      <c r="J93" s="391"/>
      <c r="K93" s="391"/>
      <c r="L93" s="391"/>
      <c r="M93" s="392"/>
      <c r="N93" s="391"/>
      <c r="O93" s="391"/>
      <c r="P93" s="391"/>
      <c r="Q93" s="391"/>
      <c r="R93" s="392"/>
      <c r="S93" s="391"/>
      <c r="T93" s="391"/>
      <c r="U93" s="391"/>
      <c r="V93" s="391"/>
      <c r="W93" s="392"/>
      <c r="X93" s="391"/>
      <c r="Y93" s="391"/>
      <c r="Z93" s="391"/>
      <c r="AA93" s="391"/>
      <c r="AB93" s="392"/>
      <c r="AC93" s="391"/>
      <c r="AD93" s="391"/>
      <c r="AE93" s="391"/>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row>
    <row r="94" spans="1:58" ht="15.75" customHeight="1" x14ac:dyDescent="0.2">
      <c r="A94" s="189"/>
      <c r="B94" s="189"/>
      <c r="C94" s="55"/>
      <c r="D94" s="391"/>
      <c r="E94" s="391"/>
      <c r="F94" s="391"/>
      <c r="G94" s="391"/>
      <c r="H94" s="392"/>
      <c r="I94" s="391"/>
      <c r="J94" s="391"/>
      <c r="K94" s="391"/>
      <c r="L94" s="391"/>
      <c r="M94" s="392"/>
      <c r="N94" s="391"/>
      <c r="O94" s="391"/>
      <c r="P94" s="391"/>
      <c r="Q94" s="391"/>
      <c r="R94" s="392"/>
      <c r="S94" s="391"/>
      <c r="T94" s="391"/>
      <c r="U94" s="391"/>
      <c r="V94" s="391"/>
      <c r="W94" s="392"/>
      <c r="X94" s="391"/>
      <c r="Y94" s="391"/>
      <c r="Z94" s="391"/>
      <c r="AA94" s="391"/>
      <c r="AB94" s="392"/>
      <c r="AC94" s="391"/>
      <c r="AD94" s="391"/>
      <c r="AE94" s="391"/>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row>
    <row r="95" spans="1:58" ht="15.75" customHeight="1" x14ac:dyDescent="0.2">
      <c r="A95" s="189"/>
      <c r="B95" s="189"/>
      <c r="C95" s="55"/>
      <c r="D95" s="391"/>
      <c r="E95" s="391"/>
      <c r="F95" s="391"/>
      <c r="G95" s="391"/>
      <c r="H95" s="392"/>
      <c r="I95" s="391"/>
      <c r="J95" s="391"/>
      <c r="K95" s="391"/>
      <c r="L95" s="391"/>
      <c r="M95" s="392"/>
      <c r="N95" s="391"/>
      <c r="O95" s="391"/>
      <c r="P95" s="391"/>
      <c r="Q95" s="391"/>
      <c r="R95" s="392"/>
      <c r="S95" s="391"/>
      <c r="T95" s="391"/>
      <c r="U95" s="391"/>
      <c r="V95" s="391"/>
      <c r="W95" s="392"/>
      <c r="X95" s="391"/>
      <c r="Y95" s="391"/>
      <c r="Z95" s="391"/>
      <c r="AA95" s="391"/>
      <c r="AB95" s="392"/>
      <c r="AC95" s="391"/>
      <c r="AD95" s="391"/>
      <c r="AE95" s="391"/>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row>
    <row r="96" spans="1:58" ht="15.75" customHeight="1" x14ac:dyDescent="0.2">
      <c r="A96" s="189"/>
      <c r="B96" s="189"/>
      <c r="C96" s="55"/>
      <c r="D96" s="391"/>
      <c r="E96" s="391"/>
      <c r="F96" s="391"/>
      <c r="G96" s="391"/>
      <c r="H96" s="392"/>
      <c r="I96" s="391"/>
      <c r="J96" s="391"/>
      <c r="K96" s="391"/>
      <c r="L96" s="391"/>
      <c r="M96" s="392"/>
      <c r="N96" s="391"/>
      <c r="O96" s="391"/>
      <c r="P96" s="391"/>
      <c r="Q96" s="391"/>
      <c r="R96" s="392"/>
      <c r="S96" s="391"/>
      <c r="T96" s="391"/>
      <c r="U96" s="391"/>
      <c r="V96" s="391"/>
      <c r="W96" s="392"/>
      <c r="X96" s="391"/>
      <c r="Y96" s="391"/>
      <c r="Z96" s="391"/>
      <c r="AA96" s="391"/>
      <c r="AB96" s="392"/>
      <c r="AC96" s="391"/>
      <c r="AD96" s="391"/>
      <c r="AE96" s="391"/>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row>
    <row r="97" spans="1:58" ht="15.75" customHeight="1" x14ac:dyDescent="0.2">
      <c r="A97" s="189"/>
      <c r="B97" s="189"/>
      <c r="C97" s="55"/>
      <c r="D97" s="391"/>
      <c r="E97" s="391"/>
      <c r="F97" s="391"/>
      <c r="G97" s="391"/>
      <c r="H97" s="392"/>
      <c r="I97" s="391"/>
      <c r="J97" s="391"/>
      <c r="K97" s="391"/>
      <c r="L97" s="391"/>
      <c r="M97" s="392"/>
      <c r="N97" s="391"/>
      <c r="O97" s="391"/>
      <c r="P97" s="391"/>
      <c r="Q97" s="391"/>
      <c r="R97" s="392"/>
      <c r="S97" s="391"/>
      <c r="T97" s="391"/>
      <c r="U97" s="391"/>
      <c r="V97" s="391"/>
      <c r="W97" s="392"/>
      <c r="X97" s="391"/>
      <c r="Y97" s="391"/>
      <c r="Z97" s="391"/>
      <c r="AA97" s="391"/>
      <c r="AB97" s="392"/>
      <c r="AC97" s="391"/>
      <c r="AD97" s="391"/>
      <c r="AE97" s="391"/>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row>
    <row r="98" spans="1:58" ht="15.75" customHeight="1" x14ac:dyDescent="0.2">
      <c r="A98" s="189"/>
      <c r="B98" s="189"/>
      <c r="C98" s="55"/>
      <c r="D98" s="391"/>
      <c r="E98" s="391"/>
      <c r="F98" s="391"/>
      <c r="G98" s="391"/>
      <c r="H98" s="392"/>
      <c r="I98" s="391"/>
      <c r="J98" s="391"/>
      <c r="K98" s="391"/>
      <c r="L98" s="391"/>
      <c r="M98" s="392"/>
      <c r="N98" s="391"/>
      <c r="O98" s="391"/>
      <c r="P98" s="391"/>
      <c r="Q98" s="391"/>
      <c r="R98" s="392"/>
      <c r="S98" s="391"/>
      <c r="T98" s="391"/>
      <c r="U98" s="391"/>
      <c r="V98" s="391"/>
      <c r="W98" s="392"/>
      <c r="X98" s="391"/>
      <c r="Y98" s="391"/>
      <c r="Z98" s="391"/>
      <c r="AA98" s="391"/>
      <c r="AB98" s="392"/>
      <c r="AC98" s="391"/>
      <c r="AD98" s="391"/>
      <c r="AE98" s="391"/>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row>
    <row r="99" spans="1:58" ht="15.75" customHeight="1" x14ac:dyDescent="0.2">
      <c r="A99" s="189"/>
      <c r="B99" s="189"/>
      <c r="C99" s="55"/>
      <c r="D99" s="391"/>
      <c r="E99" s="391"/>
      <c r="F99" s="391"/>
      <c r="G99" s="391"/>
      <c r="H99" s="392"/>
      <c r="I99" s="391"/>
      <c r="J99" s="391"/>
      <c r="K99" s="391"/>
      <c r="L99" s="391"/>
      <c r="M99" s="392"/>
      <c r="N99" s="391"/>
      <c r="O99" s="391"/>
      <c r="P99" s="391"/>
      <c r="Q99" s="391"/>
      <c r="R99" s="392"/>
      <c r="S99" s="391"/>
      <c r="T99" s="391"/>
      <c r="U99" s="391"/>
      <c r="V99" s="391"/>
      <c r="W99" s="392"/>
      <c r="X99" s="391"/>
      <c r="Y99" s="391"/>
      <c r="Z99" s="391"/>
      <c r="AA99" s="391"/>
      <c r="AB99" s="392"/>
      <c r="AC99" s="391"/>
      <c r="AD99" s="391"/>
      <c r="AE99" s="391"/>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row>
    <row r="100" spans="1:58" ht="15.75" customHeight="1" x14ac:dyDescent="0.2">
      <c r="A100" s="189"/>
      <c r="B100" s="189"/>
      <c r="C100" s="55"/>
      <c r="D100" s="391"/>
      <c r="E100" s="391"/>
      <c r="F100" s="391"/>
      <c r="G100" s="391"/>
      <c r="H100" s="392"/>
      <c r="I100" s="391"/>
      <c r="J100" s="391"/>
      <c r="K100" s="391"/>
      <c r="L100" s="391"/>
      <c r="M100" s="392"/>
      <c r="N100" s="391"/>
      <c r="O100" s="391"/>
      <c r="P100" s="391"/>
      <c r="Q100" s="391"/>
      <c r="R100" s="392"/>
      <c r="S100" s="391"/>
      <c r="T100" s="391"/>
      <c r="U100" s="391"/>
      <c r="V100" s="391"/>
      <c r="W100" s="392"/>
      <c r="X100" s="391"/>
      <c r="Y100" s="391"/>
      <c r="Z100" s="391"/>
      <c r="AA100" s="391"/>
      <c r="AB100" s="392"/>
      <c r="AC100" s="391"/>
      <c r="AD100" s="391"/>
      <c r="AE100" s="391"/>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row>
    <row r="101" spans="1:58" ht="15.75" customHeight="1" x14ac:dyDescent="0.2">
      <c r="A101" s="189"/>
      <c r="B101" s="189"/>
      <c r="C101" s="55"/>
      <c r="D101" s="391"/>
      <c r="E101" s="391"/>
      <c r="F101" s="391"/>
      <c r="G101" s="391"/>
      <c r="H101" s="392"/>
      <c r="I101" s="391"/>
      <c r="J101" s="391"/>
      <c r="K101" s="391"/>
      <c r="L101" s="391"/>
      <c r="M101" s="392"/>
      <c r="N101" s="391"/>
      <c r="O101" s="391"/>
      <c r="P101" s="391"/>
      <c r="Q101" s="391"/>
      <c r="R101" s="392"/>
      <c r="S101" s="391"/>
      <c r="T101" s="391"/>
      <c r="U101" s="391"/>
      <c r="V101" s="391"/>
      <c r="W101" s="392"/>
      <c r="X101" s="391"/>
      <c r="Y101" s="391"/>
      <c r="Z101" s="391"/>
      <c r="AA101" s="391"/>
      <c r="AB101" s="392"/>
      <c r="AC101" s="391"/>
      <c r="AD101" s="391"/>
      <c r="AE101" s="391"/>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row>
    <row r="102" spans="1:58" ht="15.75" customHeight="1" x14ac:dyDescent="0.2">
      <c r="A102" s="189"/>
      <c r="B102" s="189"/>
      <c r="C102" s="55"/>
      <c r="D102" s="391"/>
      <c r="E102" s="391"/>
      <c r="F102" s="391"/>
      <c r="G102" s="391"/>
      <c r="H102" s="392"/>
      <c r="I102" s="391"/>
      <c r="J102" s="391"/>
      <c r="K102" s="391"/>
      <c r="L102" s="391"/>
      <c r="M102" s="392"/>
      <c r="N102" s="391"/>
      <c r="O102" s="391"/>
      <c r="P102" s="391"/>
      <c r="Q102" s="391"/>
      <c r="R102" s="392"/>
      <c r="S102" s="391"/>
      <c r="T102" s="391"/>
      <c r="U102" s="391"/>
      <c r="V102" s="391"/>
      <c r="W102" s="392"/>
      <c r="X102" s="391"/>
      <c r="Y102" s="391"/>
      <c r="Z102" s="391"/>
      <c r="AA102" s="391"/>
      <c r="AB102" s="392"/>
      <c r="AC102" s="391"/>
      <c r="AD102" s="391"/>
      <c r="AE102" s="391"/>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89"/>
      <c r="BE102" s="189"/>
      <c r="BF102" s="189"/>
    </row>
    <row r="103" spans="1:58" ht="15.75" customHeight="1" x14ac:dyDescent="0.2">
      <c r="A103" s="189"/>
      <c r="B103" s="189"/>
      <c r="C103" s="55"/>
      <c r="D103" s="391"/>
      <c r="E103" s="391"/>
      <c r="F103" s="391"/>
      <c r="G103" s="391"/>
      <c r="H103" s="392"/>
      <c r="I103" s="391"/>
      <c r="J103" s="391"/>
      <c r="K103" s="391"/>
      <c r="L103" s="391"/>
      <c r="M103" s="392"/>
      <c r="N103" s="391"/>
      <c r="O103" s="391"/>
      <c r="P103" s="391"/>
      <c r="Q103" s="391"/>
      <c r="R103" s="392"/>
      <c r="S103" s="391"/>
      <c r="T103" s="391"/>
      <c r="U103" s="391"/>
      <c r="V103" s="391"/>
      <c r="W103" s="392"/>
      <c r="X103" s="391"/>
      <c r="Y103" s="391"/>
      <c r="Z103" s="391"/>
      <c r="AA103" s="391"/>
      <c r="AB103" s="392"/>
      <c r="AC103" s="391"/>
      <c r="AD103" s="391"/>
      <c r="AE103" s="391"/>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row>
    <row r="104" spans="1:58" ht="15.75" customHeight="1" x14ac:dyDescent="0.2">
      <c r="A104" s="189"/>
      <c r="B104" s="189"/>
      <c r="C104" s="55"/>
      <c r="D104" s="391"/>
      <c r="E104" s="391"/>
      <c r="F104" s="391"/>
      <c r="G104" s="391"/>
      <c r="H104" s="392"/>
      <c r="I104" s="391"/>
      <c r="J104" s="391"/>
      <c r="K104" s="391"/>
      <c r="L104" s="391"/>
      <c r="M104" s="392"/>
      <c r="N104" s="391"/>
      <c r="O104" s="391"/>
      <c r="P104" s="391"/>
      <c r="Q104" s="391"/>
      <c r="R104" s="392"/>
      <c r="S104" s="391"/>
      <c r="T104" s="391"/>
      <c r="U104" s="391"/>
      <c r="V104" s="391"/>
      <c r="W104" s="392"/>
      <c r="X104" s="391"/>
      <c r="Y104" s="391"/>
      <c r="Z104" s="391"/>
      <c r="AA104" s="391"/>
      <c r="AB104" s="392"/>
      <c r="AC104" s="391"/>
      <c r="AD104" s="391"/>
      <c r="AE104" s="391"/>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row>
    <row r="105" spans="1:58" ht="15.75" customHeight="1" x14ac:dyDescent="0.2">
      <c r="A105" s="189"/>
      <c r="B105" s="189"/>
      <c r="C105" s="55"/>
      <c r="D105" s="391"/>
      <c r="E105" s="391"/>
      <c r="F105" s="391"/>
      <c r="G105" s="391"/>
      <c r="H105" s="392"/>
      <c r="I105" s="391"/>
      <c r="J105" s="391"/>
      <c r="K105" s="391"/>
      <c r="L105" s="391"/>
      <c r="M105" s="392"/>
      <c r="N105" s="391"/>
      <c r="O105" s="391"/>
      <c r="P105" s="391"/>
      <c r="Q105" s="391"/>
      <c r="R105" s="392"/>
      <c r="S105" s="391"/>
      <c r="T105" s="391"/>
      <c r="U105" s="391"/>
      <c r="V105" s="391"/>
      <c r="W105" s="392"/>
      <c r="X105" s="391"/>
      <c r="Y105" s="391"/>
      <c r="Z105" s="391"/>
      <c r="AA105" s="391"/>
      <c r="AB105" s="392"/>
      <c r="AC105" s="391"/>
      <c r="AD105" s="391"/>
      <c r="AE105" s="391"/>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row>
    <row r="106" spans="1:58" ht="15.75" customHeight="1" x14ac:dyDescent="0.2">
      <c r="A106" s="189"/>
      <c r="B106" s="189"/>
      <c r="C106" s="55"/>
      <c r="D106" s="391"/>
      <c r="E106" s="391"/>
      <c r="F106" s="391"/>
      <c r="G106" s="391"/>
      <c r="H106" s="392"/>
      <c r="I106" s="391"/>
      <c r="J106" s="391"/>
      <c r="K106" s="391"/>
      <c r="L106" s="391"/>
      <c r="M106" s="392"/>
      <c r="N106" s="391"/>
      <c r="O106" s="391"/>
      <c r="P106" s="391"/>
      <c r="Q106" s="391"/>
      <c r="R106" s="392"/>
      <c r="S106" s="391"/>
      <c r="T106" s="391"/>
      <c r="U106" s="391"/>
      <c r="V106" s="391"/>
      <c r="W106" s="392"/>
      <c r="X106" s="391"/>
      <c r="Y106" s="391"/>
      <c r="Z106" s="391"/>
      <c r="AA106" s="391"/>
      <c r="AB106" s="392"/>
      <c r="AC106" s="391"/>
      <c r="AD106" s="391"/>
      <c r="AE106" s="391"/>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row>
    <row r="107" spans="1:58" ht="15.75" customHeight="1" x14ac:dyDescent="0.2">
      <c r="A107" s="189"/>
      <c r="B107" s="189"/>
      <c r="C107" s="55"/>
      <c r="D107" s="391"/>
      <c r="E107" s="391"/>
      <c r="F107" s="391"/>
      <c r="G107" s="391"/>
      <c r="H107" s="392"/>
      <c r="I107" s="391"/>
      <c r="J107" s="391"/>
      <c r="K107" s="391"/>
      <c r="L107" s="391"/>
      <c r="M107" s="392"/>
      <c r="N107" s="391"/>
      <c r="O107" s="391"/>
      <c r="P107" s="391"/>
      <c r="Q107" s="391"/>
      <c r="R107" s="392"/>
      <c r="S107" s="391"/>
      <c r="T107" s="391"/>
      <c r="U107" s="391"/>
      <c r="V107" s="391"/>
      <c r="W107" s="392"/>
      <c r="X107" s="391"/>
      <c r="Y107" s="391"/>
      <c r="Z107" s="391"/>
      <c r="AA107" s="391"/>
      <c r="AB107" s="392"/>
      <c r="AC107" s="391"/>
      <c r="AD107" s="391"/>
      <c r="AE107" s="391"/>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row>
    <row r="108" spans="1:58" ht="15.75" customHeight="1" x14ac:dyDescent="0.2">
      <c r="A108" s="189"/>
      <c r="B108" s="189"/>
      <c r="C108" s="55"/>
      <c r="D108" s="391"/>
      <c r="E108" s="391"/>
      <c r="F108" s="391"/>
      <c r="G108" s="391"/>
      <c r="H108" s="392"/>
      <c r="I108" s="391"/>
      <c r="J108" s="391"/>
      <c r="K108" s="391"/>
      <c r="L108" s="391"/>
      <c r="M108" s="392"/>
      <c r="N108" s="391"/>
      <c r="O108" s="391"/>
      <c r="P108" s="391"/>
      <c r="Q108" s="391"/>
      <c r="R108" s="392"/>
      <c r="S108" s="391"/>
      <c r="T108" s="391"/>
      <c r="U108" s="391"/>
      <c r="V108" s="391"/>
      <c r="W108" s="392"/>
      <c r="X108" s="391"/>
      <c r="Y108" s="391"/>
      <c r="Z108" s="391"/>
      <c r="AA108" s="391"/>
      <c r="AB108" s="392"/>
      <c r="AC108" s="391"/>
      <c r="AD108" s="391"/>
      <c r="AE108" s="391"/>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row>
    <row r="109" spans="1:58" ht="15.75" customHeight="1" x14ac:dyDescent="0.2">
      <c r="A109" s="189"/>
      <c r="B109" s="189"/>
      <c r="C109" s="55"/>
      <c r="D109" s="391"/>
      <c r="E109" s="391"/>
      <c r="F109" s="391"/>
      <c r="G109" s="391"/>
      <c r="H109" s="392"/>
      <c r="I109" s="391"/>
      <c r="J109" s="391"/>
      <c r="K109" s="391"/>
      <c r="L109" s="391"/>
      <c r="M109" s="392"/>
      <c r="N109" s="391"/>
      <c r="O109" s="391"/>
      <c r="P109" s="391"/>
      <c r="Q109" s="391"/>
      <c r="R109" s="392"/>
      <c r="S109" s="391"/>
      <c r="T109" s="391"/>
      <c r="U109" s="391"/>
      <c r="V109" s="391"/>
      <c r="W109" s="392"/>
      <c r="X109" s="391"/>
      <c r="Y109" s="391"/>
      <c r="Z109" s="391"/>
      <c r="AA109" s="391"/>
      <c r="AB109" s="392"/>
      <c r="AC109" s="391"/>
      <c r="AD109" s="391"/>
      <c r="AE109" s="391"/>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row>
    <row r="110" spans="1:58" ht="15.75" customHeight="1" x14ac:dyDescent="0.2">
      <c r="A110" s="189"/>
      <c r="B110" s="189"/>
      <c r="C110" s="55"/>
      <c r="D110" s="391"/>
      <c r="E110" s="391"/>
      <c r="F110" s="391"/>
      <c r="G110" s="391"/>
      <c r="H110" s="392"/>
      <c r="I110" s="391"/>
      <c r="J110" s="391"/>
      <c r="K110" s="391"/>
      <c r="L110" s="391"/>
      <c r="M110" s="392"/>
      <c r="N110" s="391"/>
      <c r="O110" s="391"/>
      <c r="P110" s="391"/>
      <c r="Q110" s="391"/>
      <c r="R110" s="392"/>
      <c r="S110" s="391"/>
      <c r="T110" s="391"/>
      <c r="U110" s="391"/>
      <c r="V110" s="391"/>
      <c r="W110" s="392"/>
      <c r="X110" s="391"/>
      <c r="Y110" s="391"/>
      <c r="Z110" s="391"/>
      <c r="AA110" s="391"/>
      <c r="AB110" s="392"/>
      <c r="AC110" s="391"/>
      <c r="AD110" s="391"/>
      <c r="AE110" s="391"/>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row>
    <row r="111" spans="1:58" ht="15.75" customHeight="1" x14ac:dyDescent="0.2">
      <c r="A111" s="189"/>
      <c r="B111" s="189"/>
      <c r="C111" s="55"/>
      <c r="D111" s="391"/>
      <c r="E111" s="391"/>
      <c r="F111" s="391"/>
      <c r="G111" s="391"/>
      <c r="H111" s="392"/>
      <c r="I111" s="391"/>
      <c r="J111" s="391"/>
      <c r="K111" s="391"/>
      <c r="L111" s="391"/>
      <c r="M111" s="392"/>
      <c r="N111" s="391"/>
      <c r="O111" s="391"/>
      <c r="P111" s="391"/>
      <c r="Q111" s="391"/>
      <c r="R111" s="392"/>
      <c r="S111" s="391"/>
      <c r="T111" s="391"/>
      <c r="U111" s="391"/>
      <c r="V111" s="391"/>
      <c r="W111" s="392"/>
      <c r="X111" s="391"/>
      <c r="Y111" s="391"/>
      <c r="Z111" s="391"/>
      <c r="AA111" s="391"/>
      <c r="AB111" s="392"/>
      <c r="AC111" s="391"/>
      <c r="AD111" s="391"/>
      <c r="AE111" s="391"/>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row>
    <row r="112" spans="1:58" ht="15.75" customHeight="1" x14ac:dyDescent="0.2">
      <c r="A112" s="189"/>
      <c r="B112" s="189"/>
      <c r="C112" s="55"/>
      <c r="D112" s="391"/>
      <c r="E112" s="391"/>
      <c r="F112" s="391"/>
      <c r="G112" s="391"/>
      <c r="H112" s="392"/>
      <c r="I112" s="391"/>
      <c r="J112" s="391"/>
      <c r="K112" s="391"/>
      <c r="L112" s="391"/>
      <c r="M112" s="392"/>
      <c r="N112" s="391"/>
      <c r="O112" s="391"/>
      <c r="P112" s="391"/>
      <c r="Q112" s="391"/>
      <c r="R112" s="392"/>
      <c r="S112" s="391"/>
      <c r="T112" s="391"/>
      <c r="U112" s="391"/>
      <c r="V112" s="391"/>
      <c r="W112" s="392"/>
      <c r="X112" s="391"/>
      <c r="Y112" s="391"/>
      <c r="Z112" s="391"/>
      <c r="AA112" s="391"/>
      <c r="AB112" s="392"/>
      <c r="AC112" s="391"/>
      <c r="AD112" s="391"/>
      <c r="AE112" s="391"/>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row>
    <row r="113" spans="1:58" ht="15.75" customHeight="1" x14ac:dyDescent="0.2">
      <c r="A113" s="189"/>
      <c r="B113" s="189"/>
      <c r="C113" s="55"/>
      <c r="D113" s="391"/>
      <c r="E113" s="391"/>
      <c r="F113" s="391"/>
      <c r="G113" s="391"/>
      <c r="H113" s="392"/>
      <c r="I113" s="391"/>
      <c r="J113" s="391"/>
      <c r="K113" s="391"/>
      <c r="L113" s="391"/>
      <c r="M113" s="392"/>
      <c r="N113" s="391"/>
      <c r="O113" s="391"/>
      <c r="P113" s="391"/>
      <c r="Q113" s="391"/>
      <c r="R113" s="392"/>
      <c r="S113" s="391"/>
      <c r="T113" s="391"/>
      <c r="U113" s="391"/>
      <c r="V113" s="391"/>
      <c r="W113" s="392"/>
      <c r="X113" s="391"/>
      <c r="Y113" s="391"/>
      <c r="Z113" s="391"/>
      <c r="AA113" s="391"/>
      <c r="AB113" s="392"/>
      <c r="AC113" s="391"/>
      <c r="AD113" s="391"/>
      <c r="AE113" s="391"/>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row>
    <row r="114" spans="1:58" ht="15.75" customHeight="1" x14ac:dyDescent="0.2">
      <c r="A114" s="189"/>
      <c r="B114" s="189"/>
      <c r="C114" s="55"/>
      <c r="D114" s="391"/>
      <c r="E114" s="391"/>
      <c r="F114" s="391"/>
      <c r="G114" s="391"/>
      <c r="H114" s="392"/>
      <c r="I114" s="391"/>
      <c r="J114" s="391"/>
      <c r="K114" s="391"/>
      <c r="L114" s="391"/>
      <c r="M114" s="392"/>
      <c r="N114" s="391"/>
      <c r="O114" s="391"/>
      <c r="P114" s="391"/>
      <c r="Q114" s="391"/>
      <c r="R114" s="392"/>
      <c r="S114" s="391"/>
      <c r="T114" s="391"/>
      <c r="U114" s="391"/>
      <c r="V114" s="391"/>
      <c r="W114" s="392"/>
      <c r="X114" s="391"/>
      <c r="Y114" s="391"/>
      <c r="Z114" s="391"/>
      <c r="AA114" s="391"/>
      <c r="AB114" s="392"/>
      <c r="AC114" s="391"/>
      <c r="AD114" s="391"/>
      <c r="AE114" s="391"/>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row>
    <row r="115" spans="1:58" ht="15.75" customHeight="1" x14ac:dyDescent="0.2">
      <c r="A115" s="189"/>
      <c r="B115" s="189"/>
      <c r="C115" s="55"/>
      <c r="D115" s="391"/>
      <c r="E115" s="391"/>
      <c r="F115" s="391"/>
      <c r="G115" s="391"/>
      <c r="H115" s="392"/>
      <c r="I115" s="391"/>
      <c r="J115" s="391"/>
      <c r="K115" s="391"/>
      <c r="L115" s="391"/>
      <c r="M115" s="392"/>
      <c r="N115" s="391"/>
      <c r="O115" s="391"/>
      <c r="P115" s="391"/>
      <c r="Q115" s="391"/>
      <c r="R115" s="392"/>
      <c r="S115" s="391"/>
      <c r="T115" s="391"/>
      <c r="U115" s="391"/>
      <c r="V115" s="391"/>
      <c r="W115" s="392"/>
      <c r="X115" s="391"/>
      <c r="Y115" s="391"/>
      <c r="Z115" s="391"/>
      <c r="AA115" s="391"/>
      <c r="AB115" s="392"/>
      <c r="AC115" s="391"/>
      <c r="AD115" s="391"/>
      <c r="AE115" s="391"/>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row>
    <row r="116" spans="1:58" ht="15.75" customHeight="1" x14ac:dyDescent="0.2">
      <c r="A116" s="189"/>
      <c r="B116" s="189"/>
      <c r="C116" s="55"/>
      <c r="D116" s="391"/>
      <c r="E116" s="391"/>
      <c r="F116" s="391"/>
      <c r="G116" s="391"/>
      <c r="H116" s="392"/>
      <c r="I116" s="391"/>
      <c r="J116" s="391"/>
      <c r="K116" s="391"/>
      <c r="L116" s="391"/>
      <c r="M116" s="392"/>
      <c r="N116" s="391"/>
      <c r="O116" s="391"/>
      <c r="P116" s="391"/>
      <c r="Q116" s="391"/>
      <c r="R116" s="392"/>
      <c r="S116" s="391"/>
      <c r="T116" s="391"/>
      <c r="U116" s="391"/>
      <c r="V116" s="391"/>
      <c r="W116" s="392"/>
      <c r="X116" s="391"/>
      <c r="Y116" s="391"/>
      <c r="Z116" s="391"/>
      <c r="AA116" s="391"/>
      <c r="AB116" s="392"/>
      <c r="AC116" s="391"/>
      <c r="AD116" s="391"/>
      <c r="AE116" s="391"/>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row>
    <row r="117" spans="1:58" ht="15.75" customHeight="1" x14ac:dyDescent="0.2">
      <c r="A117" s="189"/>
      <c r="B117" s="189"/>
      <c r="C117" s="55"/>
      <c r="D117" s="391"/>
      <c r="E117" s="391"/>
      <c r="F117" s="391"/>
      <c r="G117" s="391"/>
      <c r="H117" s="392"/>
      <c r="I117" s="391"/>
      <c r="J117" s="391"/>
      <c r="K117" s="391"/>
      <c r="L117" s="391"/>
      <c r="M117" s="392"/>
      <c r="N117" s="391"/>
      <c r="O117" s="391"/>
      <c r="P117" s="391"/>
      <c r="Q117" s="391"/>
      <c r="R117" s="392"/>
      <c r="S117" s="391"/>
      <c r="T117" s="391"/>
      <c r="U117" s="391"/>
      <c r="V117" s="391"/>
      <c r="W117" s="392"/>
      <c r="X117" s="391"/>
      <c r="Y117" s="391"/>
      <c r="Z117" s="391"/>
      <c r="AA117" s="391"/>
      <c r="AB117" s="392"/>
      <c r="AC117" s="391"/>
      <c r="AD117" s="391"/>
      <c r="AE117" s="391"/>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row>
    <row r="118" spans="1:58" ht="15.75" customHeight="1" x14ac:dyDescent="0.2">
      <c r="A118" s="189"/>
      <c r="B118" s="189"/>
      <c r="C118" s="55"/>
      <c r="D118" s="391"/>
      <c r="E118" s="391"/>
      <c r="F118" s="391"/>
      <c r="G118" s="391"/>
      <c r="H118" s="392"/>
      <c r="I118" s="391"/>
      <c r="J118" s="391"/>
      <c r="K118" s="391"/>
      <c r="L118" s="391"/>
      <c r="M118" s="392"/>
      <c r="N118" s="391"/>
      <c r="O118" s="391"/>
      <c r="P118" s="391"/>
      <c r="Q118" s="391"/>
      <c r="R118" s="392"/>
      <c r="S118" s="391"/>
      <c r="T118" s="391"/>
      <c r="U118" s="391"/>
      <c r="V118" s="391"/>
      <c r="W118" s="392"/>
      <c r="X118" s="391"/>
      <c r="Y118" s="391"/>
      <c r="Z118" s="391"/>
      <c r="AA118" s="391"/>
      <c r="AB118" s="392"/>
      <c r="AC118" s="391"/>
      <c r="AD118" s="391"/>
      <c r="AE118" s="391"/>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row>
    <row r="119" spans="1:58" ht="15.75" customHeight="1" x14ac:dyDescent="0.2">
      <c r="A119" s="189"/>
      <c r="B119" s="189"/>
      <c r="C119" s="55"/>
      <c r="D119" s="391"/>
      <c r="E119" s="391"/>
      <c r="F119" s="391"/>
      <c r="G119" s="391"/>
      <c r="H119" s="392"/>
      <c r="I119" s="391"/>
      <c r="J119" s="391"/>
      <c r="K119" s="391"/>
      <c r="L119" s="391"/>
      <c r="M119" s="392"/>
      <c r="N119" s="391"/>
      <c r="O119" s="391"/>
      <c r="P119" s="391"/>
      <c r="Q119" s="391"/>
      <c r="R119" s="392"/>
      <c r="S119" s="391"/>
      <c r="T119" s="391"/>
      <c r="U119" s="391"/>
      <c r="V119" s="391"/>
      <c r="W119" s="392"/>
      <c r="X119" s="391"/>
      <c r="Y119" s="391"/>
      <c r="Z119" s="391"/>
      <c r="AA119" s="391"/>
      <c r="AB119" s="392"/>
      <c r="AC119" s="391"/>
      <c r="AD119" s="391"/>
      <c r="AE119" s="391"/>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row>
    <row r="120" spans="1:58" ht="15.75" customHeight="1" x14ac:dyDescent="0.2">
      <c r="A120" s="189"/>
      <c r="B120" s="189"/>
      <c r="C120" s="55"/>
      <c r="D120" s="391"/>
      <c r="E120" s="391"/>
      <c r="F120" s="391"/>
      <c r="G120" s="391"/>
      <c r="H120" s="392"/>
      <c r="I120" s="391"/>
      <c r="J120" s="391"/>
      <c r="K120" s="391"/>
      <c r="L120" s="391"/>
      <c r="M120" s="392"/>
      <c r="N120" s="391"/>
      <c r="O120" s="391"/>
      <c r="P120" s="391"/>
      <c r="Q120" s="391"/>
      <c r="R120" s="392"/>
      <c r="S120" s="391"/>
      <c r="T120" s="391"/>
      <c r="U120" s="391"/>
      <c r="V120" s="391"/>
      <c r="W120" s="392"/>
      <c r="X120" s="391"/>
      <c r="Y120" s="391"/>
      <c r="Z120" s="391"/>
      <c r="AA120" s="391"/>
      <c r="AB120" s="392"/>
      <c r="AC120" s="391"/>
      <c r="AD120" s="391"/>
      <c r="AE120" s="391"/>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row>
    <row r="121" spans="1:58" ht="15.75" customHeight="1" x14ac:dyDescent="0.2">
      <c r="A121" s="189"/>
      <c r="B121" s="189"/>
      <c r="C121" s="55"/>
      <c r="D121" s="391"/>
      <c r="E121" s="391"/>
      <c r="F121" s="391"/>
      <c r="G121" s="391"/>
      <c r="H121" s="392"/>
      <c r="I121" s="391"/>
      <c r="J121" s="391"/>
      <c r="K121" s="391"/>
      <c r="L121" s="391"/>
      <c r="M121" s="392"/>
      <c r="N121" s="391"/>
      <c r="O121" s="391"/>
      <c r="P121" s="391"/>
      <c r="Q121" s="391"/>
      <c r="R121" s="392"/>
      <c r="S121" s="391"/>
      <c r="T121" s="391"/>
      <c r="U121" s="391"/>
      <c r="V121" s="391"/>
      <c r="W121" s="392"/>
      <c r="X121" s="391"/>
      <c r="Y121" s="391"/>
      <c r="Z121" s="391"/>
      <c r="AA121" s="391"/>
      <c r="AB121" s="392"/>
      <c r="AC121" s="391"/>
      <c r="AD121" s="391"/>
      <c r="AE121" s="391"/>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row>
    <row r="122" spans="1:58" ht="15.75" customHeight="1" x14ac:dyDescent="0.2">
      <c r="A122" s="189"/>
      <c r="B122" s="189"/>
      <c r="C122" s="55"/>
      <c r="D122" s="391"/>
      <c r="E122" s="391"/>
      <c r="F122" s="391"/>
      <c r="G122" s="391"/>
      <c r="H122" s="392"/>
      <c r="I122" s="391"/>
      <c r="J122" s="391"/>
      <c r="K122" s="391"/>
      <c r="L122" s="391"/>
      <c r="M122" s="392"/>
      <c r="N122" s="391"/>
      <c r="O122" s="391"/>
      <c r="P122" s="391"/>
      <c r="Q122" s="391"/>
      <c r="R122" s="392"/>
      <c r="S122" s="391"/>
      <c r="T122" s="391"/>
      <c r="U122" s="391"/>
      <c r="V122" s="391"/>
      <c r="W122" s="392"/>
      <c r="X122" s="391"/>
      <c r="Y122" s="391"/>
      <c r="Z122" s="391"/>
      <c r="AA122" s="391"/>
      <c r="AB122" s="392"/>
      <c r="AC122" s="391"/>
      <c r="AD122" s="391"/>
      <c r="AE122" s="391"/>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row>
    <row r="123" spans="1:58" ht="15.75" customHeight="1" x14ac:dyDescent="0.2">
      <c r="A123" s="189"/>
      <c r="B123" s="189"/>
      <c r="C123" s="55"/>
      <c r="D123" s="391"/>
      <c r="E123" s="391"/>
      <c r="F123" s="391"/>
      <c r="G123" s="391"/>
      <c r="H123" s="392"/>
      <c r="I123" s="391"/>
      <c r="J123" s="391"/>
      <c r="K123" s="391"/>
      <c r="L123" s="391"/>
      <c r="M123" s="392"/>
      <c r="N123" s="391"/>
      <c r="O123" s="391"/>
      <c r="P123" s="391"/>
      <c r="Q123" s="391"/>
      <c r="R123" s="392"/>
      <c r="S123" s="391"/>
      <c r="T123" s="391"/>
      <c r="U123" s="391"/>
      <c r="V123" s="391"/>
      <c r="W123" s="392"/>
      <c r="X123" s="391"/>
      <c r="Y123" s="391"/>
      <c r="Z123" s="391"/>
      <c r="AA123" s="391"/>
      <c r="AB123" s="392"/>
      <c r="AC123" s="391"/>
      <c r="AD123" s="391"/>
      <c r="AE123" s="391"/>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row>
    <row r="124" spans="1:58" ht="15.75" customHeight="1" x14ac:dyDescent="0.2">
      <c r="A124" s="189"/>
      <c r="B124" s="189"/>
      <c r="C124" s="55"/>
      <c r="D124" s="391"/>
      <c r="E124" s="391"/>
      <c r="F124" s="391"/>
      <c r="G124" s="391"/>
      <c r="H124" s="392"/>
      <c r="I124" s="391"/>
      <c r="J124" s="391"/>
      <c r="K124" s="391"/>
      <c r="L124" s="391"/>
      <c r="M124" s="392"/>
      <c r="N124" s="391"/>
      <c r="O124" s="391"/>
      <c r="P124" s="391"/>
      <c r="Q124" s="391"/>
      <c r="R124" s="392"/>
      <c r="S124" s="391"/>
      <c r="T124" s="391"/>
      <c r="U124" s="391"/>
      <c r="V124" s="391"/>
      <c r="W124" s="392"/>
      <c r="X124" s="391"/>
      <c r="Y124" s="391"/>
      <c r="Z124" s="391"/>
      <c r="AA124" s="391"/>
      <c r="AB124" s="392"/>
      <c r="AC124" s="391"/>
      <c r="AD124" s="391"/>
      <c r="AE124" s="391"/>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row>
    <row r="125" spans="1:58" ht="15.75" customHeight="1" x14ac:dyDescent="0.2">
      <c r="A125" s="189"/>
      <c r="B125" s="189"/>
      <c r="C125" s="55"/>
      <c r="D125" s="391"/>
      <c r="E125" s="391"/>
      <c r="F125" s="391"/>
      <c r="G125" s="391"/>
      <c r="H125" s="392"/>
      <c r="I125" s="391"/>
      <c r="J125" s="391"/>
      <c r="K125" s="391"/>
      <c r="L125" s="391"/>
      <c r="M125" s="392"/>
      <c r="N125" s="391"/>
      <c r="O125" s="391"/>
      <c r="P125" s="391"/>
      <c r="Q125" s="391"/>
      <c r="R125" s="392"/>
      <c r="S125" s="391"/>
      <c r="T125" s="391"/>
      <c r="U125" s="391"/>
      <c r="V125" s="391"/>
      <c r="W125" s="392"/>
      <c r="X125" s="391"/>
      <c r="Y125" s="391"/>
      <c r="Z125" s="391"/>
      <c r="AA125" s="391"/>
      <c r="AB125" s="392"/>
      <c r="AC125" s="391"/>
      <c r="AD125" s="391"/>
      <c r="AE125" s="391"/>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row>
    <row r="126" spans="1:58" ht="15.75" customHeight="1" x14ac:dyDescent="0.2">
      <c r="A126" s="189"/>
      <c r="B126" s="189"/>
      <c r="C126" s="55"/>
      <c r="D126" s="391"/>
      <c r="E126" s="391"/>
      <c r="F126" s="391"/>
      <c r="G126" s="391"/>
      <c r="H126" s="392"/>
      <c r="I126" s="391"/>
      <c r="J126" s="391"/>
      <c r="K126" s="391"/>
      <c r="L126" s="391"/>
      <c r="M126" s="392"/>
      <c r="N126" s="391"/>
      <c r="O126" s="391"/>
      <c r="P126" s="391"/>
      <c r="Q126" s="391"/>
      <c r="R126" s="392"/>
      <c r="S126" s="391"/>
      <c r="T126" s="391"/>
      <c r="U126" s="391"/>
      <c r="V126" s="391"/>
      <c r="W126" s="392"/>
      <c r="X126" s="391"/>
      <c r="Y126" s="391"/>
      <c r="Z126" s="391"/>
      <c r="AA126" s="391"/>
      <c r="AB126" s="392"/>
      <c r="AC126" s="391"/>
      <c r="AD126" s="391"/>
      <c r="AE126" s="391"/>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row>
    <row r="127" spans="1:58" ht="15.75" customHeight="1" x14ac:dyDescent="0.2">
      <c r="A127" s="189"/>
      <c r="B127" s="189"/>
      <c r="C127" s="55"/>
      <c r="D127" s="391"/>
      <c r="E127" s="391"/>
      <c r="F127" s="391"/>
      <c r="G127" s="391"/>
      <c r="H127" s="392"/>
      <c r="I127" s="391"/>
      <c r="J127" s="391"/>
      <c r="K127" s="391"/>
      <c r="L127" s="391"/>
      <c r="M127" s="392"/>
      <c r="N127" s="391"/>
      <c r="O127" s="391"/>
      <c r="P127" s="391"/>
      <c r="Q127" s="391"/>
      <c r="R127" s="392"/>
      <c r="S127" s="391"/>
      <c r="T127" s="391"/>
      <c r="U127" s="391"/>
      <c r="V127" s="391"/>
      <c r="W127" s="392"/>
      <c r="X127" s="391"/>
      <c r="Y127" s="391"/>
      <c r="Z127" s="391"/>
      <c r="AA127" s="391"/>
      <c r="AB127" s="392"/>
      <c r="AC127" s="391"/>
      <c r="AD127" s="391"/>
      <c r="AE127" s="391"/>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row>
    <row r="128" spans="1:58" ht="15.75" customHeight="1" x14ac:dyDescent="0.2">
      <c r="A128" s="189"/>
      <c r="B128" s="189"/>
      <c r="C128" s="55"/>
      <c r="D128" s="391"/>
      <c r="E128" s="391"/>
      <c r="F128" s="391"/>
      <c r="G128" s="391"/>
      <c r="H128" s="392"/>
      <c r="I128" s="391"/>
      <c r="J128" s="391"/>
      <c r="K128" s="391"/>
      <c r="L128" s="391"/>
      <c r="M128" s="392"/>
      <c r="N128" s="391"/>
      <c r="O128" s="391"/>
      <c r="P128" s="391"/>
      <c r="Q128" s="391"/>
      <c r="R128" s="392"/>
      <c r="S128" s="391"/>
      <c r="T128" s="391"/>
      <c r="U128" s="391"/>
      <c r="V128" s="391"/>
      <c r="W128" s="392"/>
      <c r="X128" s="391"/>
      <c r="Y128" s="391"/>
      <c r="Z128" s="391"/>
      <c r="AA128" s="391"/>
      <c r="AB128" s="392"/>
      <c r="AC128" s="391"/>
      <c r="AD128" s="391"/>
      <c r="AE128" s="391"/>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row>
    <row r="129" spans="1:58" ht="15.75" customHeight="1" x14ac:dyDescent="0.2">
      <c r="A129" s="189"/>
      <c r="B129" s="189"/>
      <c r="C129" s="55"/>
      <c r="D129" s="391"/>
      <c r="E129" s="391"/>
      <c r="F129" s="391"/>
      <c r="G129" s="391"/>
      <c r="H129" s="392"/>
      <c r="I129" s="391"/>
      <c r="J129" s="391"/>
      <c r="K129" s="391"/>
      <c r="L129" s="391"/>
      <c r="M129" s="392"/>
      <c r="N129" s="391"/>
      <c r="O129" s="391"/>
      <c r="P129" s="391"/>
      <c r="Q129" s="391"/>
      <c r="R129" s="392"/>
      <c r="S129" s="391"/>
      <c r="T129" s="391"/>
      <c r="U129" s="391"/>
      <c r="V129" s="391"/>
      <c r="W129" s="392"/>
      <c r="X129" s="391"/>
      <c r="Y129" s="391"/>
      <c r="Z129" s="391"/>
      <c r="AA129" s="391"/>
      <c r="AB129" s="392"/>
      <c r="AC129" s="391"/>
      <c r="AD129" s="391"/>
      <c r="AE129" s="391"/>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89"/>
      <c r="BD129" s="189"/>
      <c r="BE129" s="189"/>
      <c r="BF129" s="189"/>
    </row>
    <row r="130" spans="1:58" ht="15.75" customHeight="1" x14ac:dyDescent="0.2">
      <c r="A130" s="189"/>
      <c r="B130" s="189"/>
      <c r="C130" s="55"/>
      <c r="D130" s="391"/>
      <c r="E130" s="391"/>
      <c r="F130" s="391"/>
      <c r="G130" s="391"/>
      <c r="H130" s="392"/>
      <c r="I130" s="391"/>
      <c r="J130" s="391"/>
      <c r="K130" s="391"/>
      <c r="L130" s="391"/>
      <c r="M130" s="392"/>
      <c r="N130" s="391"/>
      <c r="O130" s="391"/>
      <c r="P130" s="391"/>
      <c r="Q130" s="391"/>
      <c r="R130" s="392"/>
      <c r="S130" s="391"/>
      <c r="T130" s="391"/>
      <c r="U130" s="391"/>
      <c r="V130" s="391"/>
      <c r="W130" s="392"/>
      <c r="X130" s="391"/>
      <c r="Y130" s="391"/>
      <c r="Z130" s="391"/>
      <c r="AA130" s="391"/>
      <c r="AB130" s="392"/>
      <c r="AC130" s="391"/>
      <c r="AD130" s="391"/>
      <c r="AE130" s="391"/>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row>
    <row r="131" spans="1:58" ht="15.75" customHeight="1" x14ac:dyDescent="0.2">
      <c r="A131" s="189"/>
      <c r="B131" s="189"/>
      <c r="C131" s="55"/>
      <c r="D131" s="391"/>
      <c r="E131" s="391"/>
      <c r="F131" s="391"/>
      <c r="G131" s="391"/>
      <c r="H131" s="392"/>
      <c r="I131" s="391"/>
      <c r="J131" s="391"/>
      <c r="K131" s="391"/>
      <c r="L131" s="391"/>
      <c r="M131" s="392"/>
      <c r="N131" s="391"/>
      <c r="O131" s="391"/>
      <c r="P131" s="391"/>
      <c r="Q131" s="391"/>
      <c r="R131" s="392"/>
      <c r="S131" s="391"/>
      <c r="T131" s="391"/>
      <c r="U131" s="391"/>
      <c r="V131" s="391"/>
      <c r="W131" s="392"/>
      <c r="X131" s="391"/>
      <c r="Y131" s="391"/>
      <c r="Z131" s="391"/>
      <c r="AA131" s="391"/>
      <c r="AB131" s="392"/>
      <c r="AC131" s="391"/>
      <c r="AD131" s="391"/>
      <c r="AE131" s="391"/>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row>
    <row r="132" spans="1:58" ht="15.75" customHeight="1" x14ac:dyDescent="0.2">
      <c r="A132" s="189"/>
      <c r="B132" s="189"/>
      <c r="C132" s="55"/>
      <c r="D132" s="391"/>
      <c r="E132" s="391"/>
      <c r="F132" s="391"/>
      <c r="G132" s="391"/>
      <c r="H132" s="392"/>
      <c r="I132" s="391"/>
      <c r="J132" s="391"/>
      <c r="K132" s="391"/>
      <c r="L132" s="391"/>
      <c r="M132" s="392"/>
      <c r="N132" s="391"/>
      <c r="O132" s="391"/>
      <c r="P132" s="391"/>
      <c r="Q132" s="391"/>
      <c r="R132" s="392"/>
      <c r="S132" s="391"/>
      <c r="T132" s="391"/>
      <c r="U132" s="391"/>
      <c r="V132" s="391"/>
      <c r="W132" s="392"/>
      <c r="X132" s="391"/>
      <c r="Y132" s="391"/>
      <c r="Z132" s="391"/>
      <c r="AA132" s="391"/>
      <c r="AB132" s="392"/>
      <c r="AC132" s="391"/>
      <c r="AD132" s="391"/>
      <c r="AE132" s="391"/>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row>
    <row r="133" spans="1:58" ht="15.75" customHeight="1" x14ac:dyDescent="0.2">
      <c r="A133" s="189"/>
      <c r="B133" s="189"/>
      <c r="C133" s="55"/>
      <c r="D133" s="391"/>
      <c r="E133" s="391"/>
      <c r="F133" s="391"/>
      <c r="G133" s="391"/>
      <c r="H133" s="392"/>
      <c r="I133" s="391"/>
      <c r="J133" s="391"/>
      <c r="K133" s="391"/>
      <c r="L133" s="391"/>
      <c r="M133" s="392"/>
      <c r="N133" s="391"/>
      <c r="O133" s="391"/>
      <c r="P133" s="391"/>
      <c r="Q133" s="391"/>
      <c r="R133" s="392"/>
      <c r="S133" s="391"/>
      <c r="T133" s="391"/>
      <c r="U133" s="391"/>
      <c r="V133" s="391"/>
      <c r="W133" s="392"/>
      <c r="X133" s="391"/>
      <c r="Y133" s="391"/>
      <c r="Z133" s="391"/>
      <c r="AA133" s="391"/>
      <c r="AB133" s="392"/>
      <c r="AC133" s="391"/>
      <c r="AD133" s="391"/>
      <c r="AE133" s="391"/>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row>
    <row r="134" spans="1:58" ht="15.75" customHeight="1" x14ac:dyDescent="0.2">
      <c r="A134" s="189"/>
      <c r="B134" s="189"/>
      <c r="C134" s="55"/>
      <c r="D134" s="391"/>
      <c r="E134" s="391"/>
      <c r="F134" s="391"/>
      <c r="G134" s="391"/>
      <c r="H134" s="392"/>
      <c r="I134" s="391"/>
      <c r="J134" s="391"/>
      <c r="K134" s="391"/>
      <c r="L134" s="391"/>
      <c r="M134" s="392"/>
      <c r="N134" s="391"/>
      <c r="O134" s="391"/>
      <c r="P134" s="391"/>
      <c r="Q134" s="391"/>
      <c r="R134" s="392"/>
      <c r="S134" s="391"/>
      <c r="T134" s="391"/>
      <c r="U134" s="391"/>
      <c r="V134" s="391"/>
      <c r="W134" s="392"/>
      <c r="X134" s="391"/>
      <c r="Y134" s="391"/>
      <c r="Z134" s="391"/>
      <c r="AA134" s="391"/>
      <c r="AB134" s="392"/>
      <c r="AC134" s="391"/>
      <c r="AD134" s="391"/>
      <c r="AE134" s="391"/>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row>
    <row r="135" spans="1:58" ht="15.75" customHeight="1" x14ac:dyDescent="0.2">
      <c r="A135" s="189"/>
      <c r="B135" s="189"/>
      <c r="C135" s="55"/>
      <c r="D135" s="391"/>
      <c r="E135" s="391"/>
      <c r="F135" s="391"/>
      <c r="G135" s="391"/>
      <c r="H135" s="392"/>
      <c r="I135" s="391"/>
      <c r="J135" s="391"/>
      <c r="K135" s="391"/>
      <c r="L135" s="391"/>
      <c r="M135" s="392"/>
      <c r="N135" s="391"/>
      <c r="O135" s="391"/>
      <c r="P135" s="391"/>
      <c r="Q135" s="391"/>
      <c r="R135" s="392"/>
      <c r="S135" s="391"/>
      <c r="T135" s="391"/>
      <c r="U135" s="391"/>
      <c r="V135" s="391"/>
      <c r="W135" s="392"/>
      <c r="X135" s="391"/>
      <c r="Y135" s="391"/>
      <c r="Z135" s="391"/>
      <c r="AA135" s="391"/>
      <c r="AB135" s="392"/>
      <c r="AC135" s="391"/>
      <c r="AD135" s="391"/>
      <c r="AE135" s="391"/>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row>
    <row r="136" spans="1:58" ht="15.75" customHeight="1" x14ac:dyDescent="0.2">
      <c r="A136" s="189"/>
      <c r="B136" s="189"/>
      <c r="C136" s="55"/>
      <c r="D136" s="391"/>
      <c r="E136" s="391"/>
      <c r="F136" s="391"/>
      <c r="G136" s="391"/>
      <c r="H136" s="392"/>
      <c r="I136" s="391"/>
      <c r="J136" s="391"/>
      <c r="K136" s="391"/>
      <c r="L136" s="391"/>
      <c r="M136" s="392"/>
      <c r="N136" s="391"/>
      <c r="O136" s="391"/>
      <c r="P136" s="391"/>
      <c r="Q136" s="391"/>
      <c r="R136" s="392"/>
      <c r="S136" s="391"/>
      <c r="T136" s="391"/>
      <c r="U136" s="391"/>
      <c r="V136" s="391"/>
      <c r="W136" s="392"/>
      <c r="X136" s="391"/>
      <c r="Y136" s="391"/>
      <c r="Z136" s="391"/>
      <c r="AA136" s="391"/>
      <c r="AB136" s="392"/>
      <c r="AC136" s="391"/>
      <c r="AD136" s="391"/>
      <c r="AE136" s="391"/>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row>
    <row r="137" spans="1:58" ht="15.75" customHeight="1" x14ac:dyDescent="0.2">
      <c r="A137" s="189"/>
      <c r="B137" s="189"/>
      <c r="C137" s="55"/>
      <c r="D137" s="391"/>
      <c r="E137" s="391"/>
      <c r="F137" s="391"/>
      <c r="G137" s="391"/>
      <c r="H137" s="392"/>
      <c r="I137" s="391"/>
      <c r="J137" s="391"/>
      <c r="K137" s="391"/>
      <c r="L137" s="391"/>
      <c r="M137" s="392"/>
      <c r="N137" s="391"/>
      <c r="O137" s="391"/>
      <c r="P137" s="391"/>
      <c r="Q137" s="391"/>
      <c r="R137" s="392"/>
      <c r="S137" s="391"/>
      <c r="T137" s="391"/>
      <c r="U137" s="391"/>
      <c r="V137" s="391"/>
      <c r="W137" s="392"/>
      <c r="X137" s="391"/>
      <c r="Y137" s="391"/>
      <c r="Z137" s="391"/>
      <c r="AA137" s="391"/>
      <c r="AB137" s="392"/>
      <c r="AC137" s="391"/>
      <c r="AD137" s="391"/>
      <c r="AE137" s="391"/>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89"/>
      <c r="BF137" s="189"/>
    </row>
    <row r="138" spans="1:58" ht="15.75" customHeight="1" x14ac:dyDescent="0.2">
      <c r="A138" s="189"/>
      <c r="B138" s="189"/>
      <c r="C138" s="55"/>
      <c r="D138" s="391"/>
      <c r="E138" s="391"/>
      <c r="F138" s="391"/>
      <c r="G138" s="391"/>
      <c r="H138" s="392"/>
      <c r="I138" s="391"/>
      <c r="J138" s="391"/>
      <c r="K138" s="391"/>
      <c r="L138" s="391"/>
      <c r="M138" s="392"/>
      <c r="N138" s="391"/>
      <c r="O138" s="391"/>
      <c r="P138" s="391"/>
      <c r="Q138" s="391"/>
      <c r="R138" s="392"/>
      <c r="S138" s="391"/>
      <c r="T138" s="391"/>
      <c r="U138" s="391"/>
      <c r="V138" s="391"/>
      <c r="W138" s="392"/>
      <c r="X138" s="391"/>
      <c r="Y138" s="391"/>
      <c r="Z138" s="391"/>
      <c r="AA138" s="391"/>
      <c r="AB138" s="392"/>
      <c r="AC138" s="391"/>
      <c r="AD138" s="391"/>
      <c r="AE138" s="391"/>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row>
    <row r="139" spans="1:58" ht="15.75" customHeight="1" x14ac:dyDescent="0.2">
      <c r="A139" s="189"/>
      <c r="B139" s="189"/>
      <c r="C139" s="55"/>
      <c r="D139" s="391"/>
      <c r="E139" s="391"/>
      <c r="F139" s="391"/>
      <c r="G139" s="391"/>
      <c r="H139" s="392"/>
      <c r="I139" s="391"/>
      <c r="J139" s="391"/>
      <c r="K139" s="391"/>
      <c r="L139" s="391"/>
      <c r="M139" s="392"/>
      <c r="N139" s="391"/>
      <c r="O139" s="391"/>
      <c r="P139" s="391"/>
      <c r="Q139" s="391"/>
      <c r="R139" s="392"/>
      <c r="S139" s="391"/>
      <c r="T139" s="391"/>
      <c r="U139" s="391"/>
      <c r="V139" s="391"/>
      <c r="W139" s="392"/>
      <c r="X139" s="391"/>
      <c r="Y139" s="391"/>
      <c r="Z139" s="391"/>
      <c r="AA139" s="391"/>
      <c r="AB139" s="392"/>
      <c r="AC139" s="391"/>
      <c r="AD139" s="391"/>
      <c r="AE139" s="391"/>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row>
    <row r="140" spans="1:58" ht="15.75" customHeight="1" x14ac:dyDescent="0.2">
      <c r="A140" s="189"/>
      <c r="B140" s="189"/>
      <c r="C140" s="55"/>
      <c r="D140" s="391"/>
      <c r="E140" s="391"/>
      <c r="F140" s="391"/>
      <c r="G140" s="391"/>
      <c r="H140" s="392"/>
      <c r="I140" s="391"/>
      <c r="J140" s="391"/>
      <c r="K140" s="391"/>
      <c r="L140" s="391"/>
      <c r="M140" s="392"/>
      <c r="N140" s="391"/>
      <c r="O140" s="391"/>
      <c r="P140" s="391"/>
      <c r="Q140" s="391"/>
      <c r="R140" s="392"/>
      <c r="S140" s="391"/>
      <c r="T140" s="391"/>
      <c r="U140" s="391"/>
      <c r="V140" s="391"/>
      <c r="W140" s="392"/>
      <c r="X140" s="391"/>
      <c r="Y140" s="391"/>
      <c r="Z140" s="391"/>
      <c r="AA140" s="391"/>
      <c r="AB140" s="392"/>
      <c r="AC140" s="391"/>
      <c r="AD140" s="391"/>
      <c r="AE140" s="391"/>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row>
    <row r="141" spans="1:58" ht="15.75" customHeight="1" x14ac:dyDescent="0.2">
      <c r="A141" s="189"/>
      <c r="B141" s="189"/>
      <c r="C141" s="55"/>
      <c r="D141" s="391"/>
      <c r="E141" s="391"/>
      <c r="F141" s="391"/>
      <c r="G141" s="391"/>
      <c r="H141" s="392"/>
      <c r="I141" s="391"/>
      <c r="J141" s="391"/>
      <c r="K141" s="391"/>
      <c r="L141" s="391"/>
      <c r="M141" s="392"/>
      <c r="N141" s="391"/>
      <c r="O141" s="391"/>
      <c r="P141" s="391"/>
      <c r="Q141" s="391"/>
      <c r="R141" s="392"/>
      <c r="S141" s="391"/>
      <c r="T141" s="391"/>
      <c r="U141" s="391"/>
      <c r="V141" s="391"/>
      <c r="W141" s="392"/>
      <c r="X141" s="391"/>
      <c r="Y141" s="391"/>
      <c r="Z141" s="391"/>
      <c r="AA141" s="391"/>
      <c r="AB141" s="392"/>
      <c r="AC141" s="391"/>
      <c r="AD141" s="391"/>
      <c r="AE141" s="391"/>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row>
    <row r="142" spans="1:58" ht="15.75" customHeight="1" x14ac:dyDescent="0.2">
      <c r="A142" s="189"/>
      <c r="B142" s="189"/>
      <c r="C142" s="55"/>
      <c r="D142" s="391"/>
      <c r="E142" s="391"/>
      <c r="F142" s="391"/>
      <c r="G142" s="391"/>
      <c r="H142" s="392"/>
      <c r="I142" s="391"/>
      <c r="J142" s="391"/>
      <c r="K142" s="391"/>
      <c r="L142" s="391"/>
      <c r="M142" s="392"/>
      <c r="N142" s="391"/>
      <c r="O142" s="391"/>
      <c r="P142" s="391"/>
      <c r="Q142" s="391"/>
      <c r="R142" s="392"/>
      <c r="S142" s="391"/>
      <c r="T142" s="391"/>
      <c r="U142" s="391"/>
      <c r="V142" s="391"/>
      <c r="W142" s="392"/>
      <c r="X142" s="391"/>
      <c r="Y142" s="391"/>
      <c r="Z142" s="391"/>
      <c r="AA142" s="391"/>
      <c r="AB142" s="392"/>
      <c r="AC142" s="391"/>
      <c r="AD142" s="391"/>
      <c r="AE142" s="391"/>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row>
    <row r="143" spans="1:58" ht="15.75" customHeight="1" x14ac:dyDescent="0.2">
      <c r="A143" s="189"/>
      <c r="B143" s="189"/>
      <c r="C143" s="55"/>
      <c r="D143" s="391"/>
      <c r="E143" s="391"/>
      <c r="F143" s="391"/>
      <c r="G143" s="391"/>
      <c r="H143" s="392"/>
      <c r="I143" s="391"/>
      <c r="J143" s="391"/>
      <c r="K143" s="391"/>
      <c r="L143" s="391"/>
      <c r="M143" s="392"/>
      <c r="N143" s="391"/>
      <c r="O143" s="391"/>
      <c r="P143" s="391"/>
      <c r="Q143" s="391"/>
      <c r="R143" s="392"/>
      <c r="S143" s="391"/>
      <c r="T143" s="391"/>
      <c r="U143" s="391"/>
      <c r="V143" s="391"/>
      <c r="W143" s="392"/>
      <c r="X143" s="391"/>
      <c r="Y143" s="391"/>
      <c r="Z143" s="391"/>
      <c r="AA143" s="391"/>
      <c r="AB143" s="392"/>
      <c r="AC143" s="391"/>
      <c r="AD143" s="391"/>
      <c r="AE143" s="391"/>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89"/>
      <c r="BD143" s="189"/>
      <c r="BE143" s="189"/>
      <c r="BF143" s="189"/>
    </row>
    <row r="144" spans="1:58" ht="15.75" customHeight="1" x14ac:dyDescent="0.2">
      <c r="A144" s="189"/>
      <c r="B144" s="189"/>
      <c r="C144" s="55"/>
      <c r="D144" s="391"/>
      <c r="E144" s="391"/>
      <c r="F144" s="391"/>
      <c r="G144" s="391"/>
      <c r="H144" s="392"/>
      <c r="I144" s="391"/>
      <c r="J144" s="391"/>
      <c r="K144" s="391"/>
      <c r="L144" s="391"/>
      <c r="M144" s="392"/>
      <c r="N144" s="391"/>
      <c r="O144" s="391"/>
      <c r="P144" s="391"/>
      <c r="Q144" s="391"/>
      <c r="R144" s="392"/>
      <c r="S144" s="391"/>
      <c r="T144" s="391"/>
      <c r="U144" s="391"/>
      <c r="V144" s="391"/>
      <c r="W144" s="392"/>
      <c r="X144" s="391"/>
      <c r="Y144" s="391"/>
      <c r="Z144" s="391"/>
      <c r="AA144" s="391"/>
      <c r="AB144" s="392"/>
      <c r="AC144" s="391"/>
      <c r="AD144" s="391"/>
      <c r="AE144" s="391"/>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9"/>
      <c r="BF144" s="189"/>
    </row>
    <row r="145" spans="1:58" ht="15.75" customHeight="1" x14ac:dyDescent="0.2">
      <c r="A145" s="189"/>
      <c r="B145" s="189"/>
      <c r="C145" s="55"/>
      <c r="D145" s="391"/>
      <c r="E145" s="391"/>
      <c r="F145" s="391"/>
      <c r="G145" s="391"/>
      <c r="H145" s="392"/>
      <c r="I145" s="391"/>
      <c r="J145" s="391"/>
      <c r="K145" s="391"/>
      <c r="L145" s="391"/>
      <c r="M145" s="392"/>
      <c r="N145" s="391"/>
      <c r="O145" s="391"/>
      <c r="P145" s="391"/>
      <c r="Q145" s="391"/>
      <c r="R145" s="392"/>
      <c r="S145" s="391"/>
      <c r="T145" s="391"/>
      <c r="U145" s="391"/>
      <c r="V145" s="391"/>
      <c r="W145" s="392"/>
      <c r="X145" s="391"/>
      <c r="Y145" s="391"/>
      <c r="Z145" s="391"/>
      <c r="AA145" s="391"/>
      <c r="AB145" s="392"/>
      <c r="AC145" s="391"/>
      <c r="AD145" s="391"/>
      <c r="AE145" s="391"/>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row>
    <row r="146" spans="1:58" ht="15.75" customHeight="1" x14ac:dyDescent="0.2">
      <c r="A146" s="189"/>
      <c r="B146" s="189"/>
      <c r="C146" s="55"/>
      <c r="D146" s="391"/>
      <c r="E146" s="391"/>
      <c r="F146" s="391"/>
      <c r="G146" s="391"/>
      <c r="H146" s="392"/>
      <c r="I146" s="391"/>
      <c r="J146" s="391"/>
      <c r="K146" s="391"/>
      <c r="L146" s="391"/>
      <c r="M146" s="392"/>
      <c r="N146" s="391"/>
      <c r="O146" s="391"/>
      <c r="P146" s="391"/>
      <c r="Q146" s="391"/>
      <c r="R146" s="392"/>
      <c r="S146" s="391"/>
      <c r="T146" s="391"/>
      <c r="U146" s="391"/>
      <c r="V146" s="391"/>
      <c r="W146" s="392"/>
      <c r="X146" s="391"/>
      <c r="Y146" s="391"/>
      <c r="Z146" s="391"/>
      <c r="AA146" s="391"/>
      <c r="AB146" s="392"/>
      <c r="AC146" s="391"/>
      <c r="AD146" s="391"/>
      <c r="AE146" s="391"/>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row>
    <row r="147" spans="1:58" ht="15.75" customHeight="1" x14ac:dyDescent="0.2">
      <c r="A147" s="189"/>
      <c r="B147" s="189"/>
      <c r="C147" s="55"/>
      <c r="D147" s="391"/>
      <c r="E147" s="391"/>
      <c r="F147" s="391"/>
      <c r="G147" s="391"/>
      <c r="H147" s="392"/>
      <c r="I147" s="391"/>
      <c r="J147" s="391"/>
      <c r="K147" s="391"/>
      <c r="L147" s="391"/>
      <c r="M147" s="392"/>
      <c r="N147" s="391"/>
      <c r="O147" s="391"/>
      <c r="P147" s="391"/>
      <c r="Q147" s="391"/>
      <c r="R147" s="392"/>
      <c r="S147" s="391"/>
      <c r="T147" s="391"/>
      <c r="U147" s="391"/>
      <c r="V147" s="391"/>
      <c r="W147" s="392"/>
      <c r="X147" s="391"/>
      <c r="Y147" s="391"/>
      <c r="Z147" s="391"/>
      <c r="AA147" s="391"/>
      <c r="AB147" s="392"/>
      <c r="AC147" s="391"/>
      <c r="AD147" s="391"/>
      <c r="AE147" s="391"/>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row>
    <row r="148" spans="1:58" ht="15.75" customHeight="1" x14ac:dyDescent="0.2">
      <c r="A148" s="189"/>
      <c r="B148" s="189"/>
      <c r="C148" s="55"/>
      <c r="D148" s="391"/>
      <c r="E148" s="391"/>
      <c r="F148" s="391"/>
      <c r="G148" s="391"/>
      <c r="H148" s="392"/>
      <c r="I148" s="391"/>
      <c r="J148" s="391"/>
      <c r="K148" s="391"/>
      <c r="L148" s="391"/>
      <c r="M148" s="392"/>
      <c r="N148" s="391"/>
      <c r="O148" s="391"/>
      <c r="P148" s="391"/>
      <c r="Q148" s="391"/>
      <c r="R148" s="392"/>
      <c r="S148" s="391"/>
      <c r="T148" s="391"/>
      <c r="U148" s="391"/>
      <c r="V148" s="391"/>
      <c r="W148" s="392"/>
      <c r="X148" s="391"/>
      <c r="Y148" s="391"/>
      <c r="Z148" s="391"/>
      <c r="AA148" s="391"/>
      <c r="AB148" s="392"/>
      <c r="AC148" s="391"/>
      <c r="AD148" s="391"/>
      <c r="AE148" s="391"/>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row>
    <row r="149" spans="1:58" ht="15.75" customHeight="1" x14ac:dyDescent="0.2">
      <c r="A149" s="189"/>
      <c r="B149" s="189"/>
      <c r="C149" s="55"/>
      <c r="D149" s="391"/>
      <c r="E149" s="391"/>
      <c r="F149" s="391"/>
      <c r="G149" s="391"/>
      <c r="H149" s="392"/>
      <c r="I149" s="391"/>
      <c r="J149" s="391"/>
      <c r="K149" s="391"/>
      <c r="L149" s="391"/>
      <c r="M149" s="392"/>
      <c r="N149" s="391"/>
      <c r="O149" s="391"/>
      <c r="P149" s="391"/>
      <c r="Q149" s="391"/>
      <c r="R149" s="392"/>
      <c r="S149" s="391"/>
      <c r="T149" s="391"/>
      <c r="U149" s="391"/>
      <c r="V149" s="391"/>
      <c r="W149" s="392"/>
      <c r="X149" s="391"/>
      <c r="Y149" s="391"/>
      <c r="Z149" s="391"/>
      <c r="AA149" s="391"/>
      <c r="AB149" s="392"/>
      <c r="AC149" s="391"/>
      <c r="AD149" s="391"/>
      <c r="AE149" s="391"/>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row>
    <row r="150" spans="1:58" ht="15.75" customHeight="1" x14ac:dyDescent="0.2">
      <c r="A150" s="189"/>
      <c r="B150" s="189"/>
      <c r="C150" s="55"/>
      <c r="D150" s="391"/>
      <c r="E150" s="391"/>
      <c r="F150" s="391"/>
      <c r="G150" s="391"/>
      <c r="H150" s="392"/>
      <c r="I150" s="391"/>
      <c r="J150" s="391"/>
      <c r="K150" s="391"/>
      <c r="L150" s="391"/>
      <c r="M150" s="392"/>
      <c r="N150" s="391"/>
      <c r="O150" s="391"/>
      <c r="P150" s="391"/>
      <c r="Q150" s="391"/>
      <c r="R150" s="392"/>
      <c r="S150" s="391"/>
      <c r="T150" s="391"/>
      <c r="U150" s="391"/>
      <c r="V150" s="391"/>
      <c r="W150" s="392"/>
      <c r="X150" s="391"/>
      <c r="Y150" s="391"/>
      <c r="Z150" s="391"/>
      <c r="AA150" s="391"/>
      <c r="AB150" s="392"/>
      <c r="AC150" s="391"/>
      <c r="AD150" s="391"/>
      <c r="AE150" s="391"/>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189"/>
    </row>
    <row r="151" spans="1:58" ht="15.75" customHeight="1" x14ac:dyDescent="0.2">
      <c r="A151" s="189"/>
      <c r="B151" s="189"/>
      <c r="C151" s="55"/>
      <c r="D151" s="391"/>
      <c r="E151" s="391"/>
      <c r="F151" s="391"/>
      <c r="G151" s="391"/>
      <c r="H151" s="392"/>
      <c r="I151" s="391"/>
      <c r="J151" s="391"/>
      <c r="K151" s="391"/>
      <c r="L151" s="391"/>
      <c r="M151" s="392"/>
      <c r="N151" s="391"/>
      <c r="O151" s="391"/>
      <c r="P151" s="391"/>
      <c r="Q151" s="391"/>
      <c r="R151" s="392"/>
      <c r="S151" s="391"/>
      <c r="T151" s="391"/>
      <c r="U151" s="391"/>
      <c r="V151" s="391"/>
      <c r="W151" s="392"/>
      <c r="X151" s="391"/>
      <c r="Y151" s="391"/>
      <c r="Z151" s="391"/>
      <c r="AA151" s="391"/>
      <c r="AB151" s="392"/>
      <c r="AC151" s="391"/>
      <c r="AD151" s="391"/>
      <c r="AE151" s="391"/>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row>
    <row r="152" spans="1:58" ht="15.75" customHeight="1" x14ac:dyDescent="0.2">
      <c r="A152" s="189"/>
      <c r="B152" s="189"/>
      <c r="C152" s="55"/>
      <c r="D152" s="391"/>
      <c r="E152" s="391"/>
      <c r="F152" s="391"/>
      <c r="G152" s="391"/>
      <c r="H152" s="392"/>
      <c r="I152" s="391"/>
      <c r="J152" s="391"/>
      <c r="K152" s="391"/>
      <c r="L152" s="391"/>
      <c r="M152" s="392"/>
      <c r="N152" s="391"/>
      <c r="O152" s="391"/>
      <c r="P152" s="391"/>
      <c r="Q152" s="391"/>
      <c r="R152" s="392"/>
      <c r="S152" s="391"/>
      <c r="T152" s="391"/>
      <c r="U152" s="391"/>
      <c r="V152" s="391"/>
      <c r="W152" s="392"/>
      <c r="X152" s="391"/>
      <c r="Y152" s="391"/>
      <c r="Z152" s="391"/>
      <c r="AA152" s="391"/>
      <c r="AB152" s="392"/>
      <c r="AC152" s="391"/>
      <c r="AD152" s="391"/>
      <c r="AE152" s="391"/>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row>
    <row r="153" spans="1:58" ht="15.75" customHeight="1" x14ac:dyDescent="0.2">
      <c r="A153" s="189"/>
      <c r="B153" s="189"/>
      <c r="C153" s="55"/>
      <c r="D153" s="391"/>
      <c r="E153" s="391"/>
      <c r="F153" s="391"/>
      <c r="G153" s="391"/>
      <c r="H153" s="392"/>
      <c r="I153" s="391"/>
      <c r="J153" s="391"/>
      <c r="K153" s="391"/>
      <c r="L153" s="391"/>
      <c r="M153" s="392"/>
      <c r="N153" s="391"/>
      <c r="O153" s="391"/>
      <c r="P153" s="391"/>
      <c r="Q153" s="391"/>
      <c r="R153" s="392"/>
      <c r="S153" s="391"/>
      <c r="T153" s="391"/>
      <c r="U153" s="391"/>
      <c r="V153" s="391"/>
      <c r="W153" s="392"/>
      <c r="X153" s="391"/>
      <c r="Y153" s="391"/>
      <c r="Z153" s="391"/>
      <c r="AA153" s="391"/>
      <c r="AB153" s="392"/>
      <c r="AC153" s="391"/>
      <c r="AD153" s="391"/>
      <c r="AE153" s="391"/>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c r="BD153" s="189"/>
      <c r="BE153" s="189"/>
      <c r="BF153" s="189"/>
    </row>
    <row r="154" spans="1:58" ht="15.75" customHeight="1" x14ac:dyDescent="0.2">
      <c r="A154" s="189"/>
      <c r="B154" s="189"/>
      <c r="C154" s="55"/>
      <c r="D154" s="391"/>
      <c r="E154" s="391"/>
      <c r="F154" s="391"/>
      <c r="G154" s="391"/>
      <c r="H154" s="392"/>
      <c r="I154" s="391"/>
      <c r="J154" s="391"/>
      <c r="K154" s="391"/>
      <c r="L154" s="391"/>
      <c r="M154" s="392"/>
      <c r="N154" s="391"/>
      <c r="O154" s="391"/>
      <c r="P154" s="391"/>
      <c r="Q154" s="391"/>
      <c r="R154" s="392"/>
      <c r="S154" s="391"/>
      <c r="T154" s="391"/>
      <c r="U154" s="391"/>
      <c r="V154" s="391"/>
      <c r="W154" s="392"/>
      <c r="X154" s="391"/>
      <c r="Y154" s="391"/>
      <c r="Z154" s="391"/>
      <c r="AA154" s="391"/>
      <c r="AB154" s="392"/>
      <c r="AC154" s="391"/>
      <c r="AD154" s="391"/>
      <c r="AE154" s="391"/>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c r="BD154" s="189"/>
      <c r="BE154" s="189"/>
      <c r="BF154" s="189"/>
    </row>
    <row r="155" spans="1:58" ht="15.75" customHeight="1" x14ac:dyDescent="0.2">
      <c r="A155" s="189"/>
      <c r="B155" s="189"/>
      <c r="C155" s="55"/>
      <c r="D155" s="391"/>
      <c r="E155" s="391"/>
      <c r="F155" s="391"/>
      <c r="G155" s="391"/>
      <c r="H155" s="392"/>
      <c r="I155" s="391"/>
      <c r="J155" s="391"/>
      <c r="K155" s="391"/>
      <c r="L155" s="391"/>
      <c r="M155" s="392"/>
      <c r="N155" s="391"/>
      <c r="O155" s="391"/>
      <c r="P155" s="391"/>
      <c r="Q155" s="391"/>
      <c r="R155" s="392"/>
      <c r="S155" s="391"/>
      <c r="T155" s="391"/>
      <c r="U155" s="391"/>
      <c r="V155" s="391"/>
      <c r="W155" s="392"/>
      <c r="X155" s="391"/>
      <c r="Y155" s="391"/>
      <c r="Z155" s="391"/>
      <c r="AA155" s="391"/>
      <c r="AB155" s="392"/>
      <c r="AC155" s="391"/>
      <c r="AD155" s="391"/>
      <c r="AE155" s="391"/>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row>
    <row r="156" spans="1:58" ht="15.75" customHeight="1" x14ac:dyDescent="0.2">
      <c r="A156" s="189"/>
      <c r="B156" s="189"/>
      <c r="C156" s="55"/>
      <c r="D156" s="391"/>
      <c r="E156" s="391"/>
      <c r="F156" s="391"/>
      <c r="G156" s="391"/>
      <c r="H156" s="392"/>
      <c r="I156" s="391"/>
      <c r="J156" s="391"/>
      <c r="K156" s="391"/>
      <c r="L156" s="391"/>
      <c r="M156" s="392"/>
      <c r="N156" s="391"/>
      <c r="O156" s="391"/>
      <c r="P156" s="391"/>
      <c r="Q156" s="391"/>
      <c r="R156" s="392"/>
      <c r="S156" s="391"/>
      <c r="T156" s="391"/>
      <c r="U156" s="391"/>
      <c r="V156" s="391"/>
      <c r="W156" s="392"/>
      <c r="X156" s="391"/>
      <c r="Y156" s="391"/>
      <c r="Z156" s="391"/>
      <c r="AA156" s="391"/>
      <c r="AB156" s="392"/>
      <c r="AC156" s="391"/>
      <c r="AD156" s="391"/>
      <c r="AE156" s="391"/>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row>
    <row r="157" spans="1:58" ht="15.75" customHeight="1" x14ac:dyDescent="0.2">
      <c r="A157" s="189"/>
      <c r="B157" s="189"/>
      <c r="C157" s="55"/>
      <c r="D157" s="391"/>
      <c r="E157" s="391"/>
      <c r="F157" s="391"/>
      <c r="G157" s="391"/>
      <c r="H157" s="392"/>
      <c r="I157" s="391"/>
      <c r="J157" s="391"/>
      <c r="K157" s="391"/>
      <c r="L157" s="391"/>
      <c r="M157" s="392"/>
      <c r="N157" s="391"/>
      <c r="O157" s="391"/>
      <c r="P157" s="391"/>
      <c r="Q157" s="391"/>
      <c r="R157" s="392"/>
      <c r="S157" s="391"/>
      <c r="T157" s="391"/>
      <c r="U157" s="391"/>
      <c r="V157" s="391"/>
      <c r="W157" s="392"/>
      <c r="X157" s="391"/>
      <c r="Y157" s="391"/>
      <c r="Z157" s="391"/>
      <c r="AA157" s="391"/>
      <c r="AB157" s="392"/>
      <c r="AC157" s="391"/>
      <c r="AD157" s="391"/>
      <c r="AE157" s="391"/>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row>
    <row r="158" spans="1:58" ht="15.75" customHeight="1" x14ac:dyDescent="0.2">
      <c r="A158" s="189"/>
      <c r="B158" s="189"/>
      <c r="C158" s="55"/>
      <c r="D158" s="391"/>
      <c r="E158" s="391"/>
      <c r="F158" s="391"/>
      <c r="G158" s="391"/>
      <c r="H158" s="392"/>
      <c r="I158" s="391"/>
      <c r="J158" s="391"/>
      <c r="K158" s="391"/>
      <c r="L158" s="391"/>
      <c r="M158" s="392"/>
      <c r="N158" s="391"/>
      <c r="O158" s="391"/>
      <c r="P158" s="391"/>
      <c r="Q158" s="391"/>
      <c r="R158" s="392"/>
      <c r="S158" s="391"/>
      <c r="T158" s="391"/>
      <c r="U158" s="391"/>
      <c r="V158" s="391"/>
      <c r="W158" s="392"/>
      <c r="X158" s="391"/>
      <c r="Y158" s="391"/>
      <c r="Z158" s="391"/>
      <c r="AA158" s="391"/>
      <c r="AB158" s="392"/>
      <c r="AC158" s="391"/>
      <c r="AD158" s="391"/>
      <c r="AE158" s="391"/>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189"/>
    </row>
    <row r="159" spans="1:58" ht="15.75" customHeight="1" x14ac:dyDescent="0.2">
      <c r="A159" s="189"/>
      <c r="B159" s="189"/>
      <c r="C159" s="55"/>
      <c r="D159" s="391"/>
      <c r="E159" s="391"/>
      <c r="F159" s="391"/>
      <c r="G159" s="391"/>
      <c r="H159" s="392"/>
      <c r="I159" s="391"/>
      <c r="J159" s="391"/>
      <c r="K159" s="391"/>
      <c r="L159" s="391"/>
      <c r="M159" s="392"/>
      <c r="N159" s="391"/>
      <c r="O159" s="391"/>
      <c r="P159" s="391"/>
      <c r="Q159" s="391"/>
      <c r="R159" s="392"/>
      <c r="S159" s="391"/>
      <c r="T159" s="391"/>
      <c r="U159" s="391"/>
      <c r="V159" s="391"/>
      <c r="W159" s="392"/>
      <c r="X159" s="391"/>
      <c r="Y159" s="391"/>
      <c r="Z159" s="391"/>
      <c r="AA159" s="391"/>
      <c r="AB159" s="392"/>
      <c r="AC159" s="391"/>
      <c r="AD159" s="391"/>
      <c r="AE159" s="391"/>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row>
    <row r="160" spans="1:58" ht="15.75" customHeight="1" x14ac:dyDescent="0.2">
      <c r="A160" s="189"/>
      <c r="B160" s="189"/>
      <c r="C160" s="55"/>
      <c r="D160" s="391"/>
      <c r="E160" s="391"/>
      <c r="F160" s="391"/>
      <c r="G160" s="391"/>
      <c r="H160" s="392"/>
      <c r="I160" s="391"/>
      <c r="J160" s="391"/>
      <c r="K160" s="391"/>
      <c r="L160" s="391"/>
      <c r="M160" s="392"/>
      <c r="N160" s="391"/>
      <c r="O160" s="391"/>
      <c r="P160" s="391"/>
      <c r="Q160" s="391"/>
      <c r="R160" s="392"/>
      <c r="S160" s="391"/>
      <c r="T160" s="391"/>
      <c r="U160" s="391"/>
      <c r="V160" s="391"/>
      <c r="W160" s="392"/>
      <c r="X160" s="391"/>
      <c r="Y160" s="391"/>
      <c r="Z160" s="391"/>
      <c r="AA160" s="391"/>
      <c r="AB160" s="392"/>
      <c r="AC160" s="391"/>
      <c r="AD160" s="391"/>
      <c r="AE160" s="391"/>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row>
    <row r="161" spans="1:58" ht="15.75" customHeight="1" x14ac:dyDescent="0.2">
      <c r="A161" s="189"/>
      <c r="B161" s="189"/>
      <c r="C161" s="55"/>
      <c r="D161" s="391"/>
      <c r="E161" s="391"/>
      <c r="F161" s="391"/>
      <c r="G161" s="391"/>
      <c r="H161" s="392"/>
      <c r="I161" s="391"/>
      <c r="J161" s="391"/>
      <c r="K161" s="391"/>
      <c r="L161" s="391"/>
      <c r="M161" s="392"/>
      <c r="N161" s="391"/>
      <c r="O161" s="391"/>
      <c r="P161" s="391"/>
      <c r="Q161" s="391"/>
      <c r="R161" s="392"/>
      <c r="S161" s="391"/>
      <c r="T161" s="391"/>
      <c r="U161" s="391"/>
      <c r="V161" s="391"/>
      <c r="W161" s="392"/>
      <c r="X161" s="391"/>
      <c r="Y161" s="391"/>
      <c r="Z161" s="391"/>
      <c r="AA161" s="391"/>
      <c r="AB161" s="392"/>
      <c r="AC161" s="391"/>
      <c r="AD161" s="391"/>
      <c r="AE161" s="391"/>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row>
    <row r="162" spans="1:58" ht="15.75" customHeight="1" x14ac:dyDescent="0.2">
      <c r="A162" s="189"/>
      <c r="B162" s="189"/>
      <c r="C162" s="55"/>
      <c r="D162" s="391"/>
      <c r="E162" s="391"/>
      <c r="F162" s="391"/>
      <c r="G162" s="391"/>
      <c r="H162" s="392"/>
      <c r="I162" s="391"/>
      <c r="J162" s="391"/>
      <c r="K162" s="391"/>
      <c r="L162" s="391"/>
      <c r="M162" s="392"/>
      <c r="N162" s="391"/>
      <c r="O162" s="391"/>
      <c r="P162" s="391"/>
      <c r="Q162" s="391"/>
      <c r="R162" s="392"/>
      <c r="S162" s="391"/>
      <c r="T162" s="391"/>
      <c r="U162" s="391"/>
      <c r="V162" s="391"/>
      <c r="W162" s="392"/>
      <c r="X162" s="391"/>
      <c r="Y162" s="391"/>
      <c r="Z162" s="391"/>
      <c r="AA162" s="391"/>
      <c r="AB162" s="392"/>
      <c r="AC162" s="391"/>
      <c r="AD162" s="391"/>
      <c r="AE162" s="391"/>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row>
    <row r="163" spans="1:58" ht="15.75" customHeight="1" x14ac:dyDescent="0.2">
      <c r="A163" s="189"/>
      <c r="B163" s="189"/>
      <c r="C163" s="55"/>
      <c r="D163" s="391"/>
      <c r="E163" s="391"/>
      <c r="F163" s="391"/>
      <c r="G163" s="391"/>
      <c r="H163" s="392"/>
      <c r="I163" s="391"/>
      <c r="J163" s="391"/>
      <c r="K163" s="391"/>
      <c r="L163" s="391"/>
      <c r="M163" s="392"/>
      <c r="N163" s="391"/>
      <c r="O163" s="391"/>
      <c r="P163" s="391"/>
      <c r="Q163" s="391"/>
      <c r="R163" s="392"/>
      <c r="S163" s="391"/>
      <c r="T163" s="391"/>
      <c r="U163" s="391"/>
      <c r="V163" s="391"/>
      <c r="W163" s="392"/>
      <c r="X163" s="391"/>
      <c r="Y163" s="391"/>
      <c r="Z163" s="391"/>
      <c r="AA163" s="391"/>
      <c r="AB163" s="392"/>
      <c r="AC163" s="391"/>
      <c r="AD163" s="391"/>
      <c r="AE163" s="391"/>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row>
    <row r="164" spans="1:58" ht="15.75" customHeight="1" x14ac:dyDescent="0.2">
      <c r="A164" s="189"/>
      <c r="B164" s="189"/>
      <c r="C164" s="55"/>
      <c r="D164" s="391"/>
      <c r="E164" s="391"/>
      <c r="F164" s="391"/>
      <c r="G164" s="391"/>
      <c r="H164" s="392"/>
      <c r="I164" s="391"/>
      <c r="J164" s="391"/>
      <c r="K164" s="391"/>
      <c r="L164" s="391"/>
      <c r="M164" s="392"/>
      <c r="N164" s="391"/>
      <c r="O164" s="391"/>
      <c r="P164" s="391"/>
      <c r="Q164" s="391"/>
      <c r="R164" s="392"/>
      <c r="S164" s="391"/>
      <c r="T164" s="391"/>
      <c r="U164" s="391"/>
      <c r="V164" s="391"/>
      <c r="W164" s="392"/>
      <c r="X164" s="391"/>
      <c r="Y164" s="391"/>
      <c r="Z164" s="391"/>
      <c r="AA164" s="391"/>
      <c r="AB164" s="392"/>
      <c r="AC164" s="391"/>
      <c r="AD164" s="391"/>
      <c r="AE164" s="391"/>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row>
    <row r="165" spans="1:58" ht="15.75" customHeight="1" x14ac:dyDescent="0.2">
      <c r="A165" s="189"/>
      <c r="B165" s="189"/>
      <c r="C165" s="55"/>
      <c r="D165" s="391"/>
      <c r="E165" s="391"/>
      <c r="F165" s="391"/>
      <c r="G165" s="391"/>
      <c r="H165" s="392"/>
      <c r="I165" s="391"/>
      <c r="J165" s="391"/>
      <c r="K165" s="391"/>
      <c r="L165" s="391"/>
      <c r="M165" s="392"/>
      <c r="N165" s="391"/>
      <c r="O165" s="391"/>
      <c r="P165" s="391"/>
      <c r="Q165" s="391"/>
      <c r="R165" s="392"/>
      <c r="S165" s="391"/>
      <c r="T165" s="391"/>
      <c r="U165" s="391"/>
      <c r="V165" s="391"/>
      <c r="W165" s="392"/>
      <c r="X165" s="391"/>
      <c r="Y165" s="391"/>
      <c r="Z165" s="391"/>
      <c r="AA165" s="391"/>
      <c r="AB165" s="392"/>
      <c r="AC165" s="391"/>
      <c r="AD165" s="391"/>
      <c r="AE165" s="391"/>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row>
    <row r="166" spans="1:58" ht="15.75" customHeight="1" x14ac:dyDescent="0.2">
      <c r="A166" s="189"/>
      <c r="B166" s="189"/>
      <c r="C166" s="55"/>
      <c r="D166" s="391"/>
      <c r="E166" s="391"/>
      <c r="F166" s="391"/>
      <c r="G166" s="391"/>
      <c r="H166" s="392"/>
      <c r="I166" s="391"/>
      <c r="J166" s="391"/>
      <c r="K166" s="391"/>
      <c r="L166" s="391"/>
      <c r="M166" s="392"/>
      <c r="N166" s="391"/>
      <c r="O166" s="391"/>
      <c r="P166" s="391"/>
      <c r="Q166" s="391"/>
      <c r="R166" s="392"/>
      <c r="S166" s="391"/>
      <c r="T166" s="391"/>
      <c r="U166" s="391"/>
      <c r="V166" s="391"/>
      <c r="W166" s="392"/>
      <c r="X166" s="391"/>
      <c r="Y166" s="391"/>
      <c r="Z166" s="391"/>
      <c r="AA166" s="391"/>
      <c r="AB166" s="392"/>
      <c r="AC166" s="391"/>
      <c r="AD166" s="391"/>
      <c r="AE166" s="391"/>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row>
    <row r="167" spans="1:58" ht="15.75" customHeight="1" x14ac:dyDescent="0.2">
      <c r="A167" s="189"/>
      <c r="B167" s="189"/>
      <c r="C167" s="55"/>
      <c r="D167" s="391"/>
      <c r="E167" s="391"/>
      <c r="F167" s="391"/>
      <c r="G167" s="391"/>
      <c r="H167" s="392"/>
      <c r="I167" s="391"/>
      <c r="J167" s="391"/>
      <c r="K167" s="391"/>
      <c r="L167" s="391"/>
      <c r="M167" s="392"/>
      <c r="N167" s="391"/>
      <c r="O167" s="391"/>
      <c r="P167" s="391"/>
      <c r="Q167" s="391"/>
      <c r="R167" s="392"/>
      <c r="S167" s="391"/>
      <c r="T167" s="391"/>
      <c r="U167" s="391"/>
      <c r="V167" s="391"/>
      <c r="W167" s="392"/>
      <c r="X167" s="391"/>
      <c r="Y167" s="391"/>
      <c r="Z167" s="391"/>
      <c r="AA167" s="391"/>
      <c r="AB167" s="392"/>
      <c r="AC167" s="391"/>
      <c r="AD167" s="391"/>
      <c r="AE167" s="391"/>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row>
    <row r="168" spans="1:58" ht="15.75" customHeight="1" x14ac:dyDescent="0.2">
      <c r="A168" s="189"/>
      <c r="B168" s="189"/>
      <c r="C168" s="55"/>
      <c r="D168" s="391"/>
      <c r="E168" s="391"/>
      <c r="F168" s="391"/>
      <c r="G168" s="391"/>
      <c r="H168" s="392"/>
      <c r="I168" s="391"/>
      <c r="J168" s="391"/>
      <c r="K168" s="391"/>
      <c r="L168" s="391"/>
      <c r="M168" s="392"/>
      <c r="N168" s="391"/>
      <c r="O168" s="391"/>
      <c r="P168" s="391"/>
      <c r="Q168" s="391"/>
      <c r="R168" s="392"/>
      <c r="S168" s="391"/>
      <c r="T168" s="391"/>
      <c r="U168" s="391"/>
      <c r="V168" s="391"/>
      <c r="W168" s="392"/>
      <c r="X168" s="391"/>
      <c r="Y168" s="391"/>
      <c r="Z168" s="391"/>
      <c r="AA168" s="391"/>
      <c r="AB168" s="392"/>
      <c r="AC168" s="391"/>
      <c r="AD168" s="391"/>
      <c r="AE168" s="391"/>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89"/>
      <c r="BD168" s="189"/>
      <c r="BE168" s="189"/>
      <c r="BF168" s="189"/>
    </row>
    <row r="169" spans="1:58" ht="15.75" customHeight="1" x14ac:dyDescent="0.2">
      <c r="A169" s="189"/>
      <c r="B169" s="189"/>
      <c r="C169" s="55"/>
      <c r="D169" s="391"/>
      <c r="E169" s="391"/>
      <c r="F169" s="391"/>
      <c r="G169" s="391"/>
      <c r="H169" s="392"/>
      <c r="I169" s="391"/>
      <c r="J169" s="391"/>
      <c r="K169" s="391"/>
      <c r="L169" s="391"/>
      <c r="M169" s="392"/>
      <c r="N169" s="391"/>
      <c r="O169" s="391"/>
      <c r="P169" s="391"/>
      <c r="Q169" s="391"/>
      <c r="R169" s="392"/>
      <c r="S169" s="391"/>
      <c r="T169" s="391"/>
      <c r="U169" s="391"/>
      <c r="V169" s="391"/>
      <c r="W169" s="392"/>
      <c r="X169" s="391"/>
      <c r="Y169" s="391"/>
      <c r="Z169" s="391"/>
      <c r="AA169" s="391"/>
      <c r="AB169" s="392"/>
      <c r="AC169" s="391"/>
      <c r="AD169" s="391"/>
      <c r="AE169" s="391"/>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row>
    <row r="170" spans="1:58" ht="15.75" customHeight="1" x14ac:dyDescent="0.2">
      <c r="A170" s="189"/>
      <c r="B170" s="189"/>
      <c r="C170" s="55"/>
      <c r="D170" s="391"/>
      <c r="E170" s="391"/>
      <c r="F170" s="391"/>
      <c r="G170" s="391"/>
      <c r="H170" s="392"/>
      <c r="I170" s="391"/>
      <c r="J170" s="391"/>
      <c r="K170" s="391"/>
      <c r="L170" s="391"/>
      <c r="M170" s="392"/>
      <c r="N170" s="391"/>
      <c r="O170" s="391"/>
      <c r="P170" s="391"/>
      <c r="Q170" s="391"/>
      <c r="R170" s="392"/>
      <c r="S170" s="391"/>
      <c r="T170" s="391"/>
      <c r="U170" s="391"/>
      <c r="V170" s="391"/>
      <c r="W170" s="392"/>
      <c r="X170" s="391"/>
      <c r="Y170" s="391"/>
      <c r="Z170" s="391"/>
      <c r="AA170" s="391"/>
      <c r="AB170" s="392"/>
      <c r="AC170" s="391"/>
      <c r="AD170" s="391"/>
      <c r="AE170" s="391"/>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row>
    <row r="171" spans="1:58" ht="15.75" customHeight="1" x14ac:dyDescent="0.2">
      <c r="A171" s="189"/>
      <c r="B171" s="189"/>
      <c r="C171" s="55"/>
      <c r="D171" s="391"/>
      <c r="E171" s="391"/>
      <c r="F171" s="391"/>
      <c r="G171" s="391"/>
      <c r="H171" s="392"/>
      <c r="I171" s="391"/>
      <c r="J171" s="391"/>
      <c r="K171" s="391"/>
      <c r="L171" s="391"/>
      <c r="M171" s="392"/>
      <c r="N171" s="391"/>
      <c r="O171" s="391"/>
      <c r="P171" s="391"/>
      <c r="Q171" s="391"/>
      <c r="R171" s="392"/>
      <c r="S171" s="391"/>
      <c r="T171" s="391"/>
      <c r="U171" s="391"/>
      <c r="V171" s="391"/>
      <c r="W171" s="392"/>
      <c r="X171" s="391"/>
      <c r="Y171" s="391"/>
      <c r="Z171" s="391"/>
      <c r="AA171" s="391"/>
      <c r="AB171" s="392"/>
      <c r="AC171" s="391"/>
      <c r="AD171" s="391"/>
      <c r="AE171" s="391"/>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row>
    <row r="172" spans="1:58" ht="15.75" customHeight="1" x14ac:dyDescent="0.2">
      <c r="A172" s="189"/>
      <c r="B172" s="189"/>
      <c r="C172" s="55"/>
      <c r="D172" s="391"/>
      <c r="E172" s="391"/>
      <c r="F172" s="391"/>
      <c r="G172" s="391"/>
      <c r="H172" s="392"/>
      <c r="I172" s="391"/>
      <c r="J172" s="391"/>
      <c r="K172" s="391"/>
      <c r="L172" s="391"/>
      <c r="M172" s="392"/>
      <c r="N172" s="391"/>
      <c r="O172" s="391"/>
      <c r="P172" s="391"/>
      <c r="Q172" s="391"/>
      <c r="R172" s="392"/>
      <c r="S172" s="391"/>
      <c r="T172" s="391"/>
      <c r="U172" s="391"/>
      <c r="V172" s="391"/>
      <c r="W172" s="392"/>
      <c r="X172" s="391"/>
      <c r="Y172" s="391"/>
      <c r="Z172" s="391"/>
      <c r="AA172" s="391"/>
      <c r="AB172" s="392"/>
      <c r="AC172" s="391"/>
      <c r="AD172" s="391"/>
      <c r="AE172" s="391"/>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row>
    <row r="173" spans="1:58" ht="15.75" customHeight="1" x14ac:dyDescent="0.2">
      <c r="A173" s="189"/>
      <c r="B173" s="189"/>
      <c r="C173" s="55"/>
      <c r="D173" s="391"/>
      <c r="E173" s="391"/>
      <c r="F173" s="391"/>
      <c r="G173" s="391"/>
      <c r="H173" s="392"/>
      <c r="I173" s="391"/>
      <c r="J173" s="391"/>
      <c r="K173" s="391"/>
      <c r="L173" s="391"/>
      <c r="M173" s="392"/>
      <c r="N173" s="391"/>
      <c r="O173" s="391"/>
      <c r="P173" s="391"/>
      <c r="Q173" s="391"/>
      <c r="R173" s="392"/>
      <c r="S173" s="391"/>
      <c r="T173" s="391"/>
      <c r="U173" s="391"/>
      <c r="V173" s="391"/>
      <c r="W173" s="392"/>
      <c r="X173" s="391"/>
      <c r="Y173" s="391"/>
      <c r="Z173" s="391"/>
      <c r="AA173" s="391"/>
      <c r="AB173" s="392"/>
      <c r="AC173" s="391"/>
      <c r="AD173" s="391"/>
      <c r="AE173" s="391"/>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89"/>
      <c r="BD173" s="189"/>
      <c r="BE173" s="189"/>
      <c r="BF173" s="189"/>
    </row>
    <row r="174" spans="1:58" ht="15.75" customHeight="1" x14ac:dyDescent="0.2">
      <c r="A174" s="189"/>
      <c r="B174" s="189"/>
      <c r="C174" s="55"/>
      <c r="D174" s="391"/>
      <c r="E174" s="391"/>
      <c r="F174" s="391"/>
      <c r="G174" s="391"/>
      <c r="H174" s="392"/>
      <c r="I174" s="391"/>
      <c r="J174" s="391"/>
      <c r="K174" s="391"/>
      <c r="L174" s="391"/>
      <c r="M174" s="392"/>
      <c r="N174" s="391"/>
      <c r="O174" s="391"/>
      <c r="P174" s="391"/>
      <c r="Q174" s="391"/>
      <c r="R174" s="392"/>
      <c r="S174" s="391"/>
      <c r="T174" s="391"/>
      <c r="U174" s="391"/>
      <c r="V174" s="391"/>
      <c r="W174" s="392"/>
      <c r="X174" s="391"/>
      <c r="Y174" s="391"/>
      <c r="Z174" s="391"/>
      <c r="AA174" s="391"/>
      <c r="AB174" s="392"/>
      <c r="AC174" s="391"/>
      <c r="AD174" s="391"/>
      <c r="AE174" s="391"/>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row>
    <row r="175" spans="1:58" ht="15.75" customHeight="1" x14ac:dyDescent="0.2">
      <c r="A175" s="189"/>
      <c r="B175" s="189"/>
      <c r="C175" s="55"/>
      <c r="D175" s="391"/>
      <c r="E175" s="391"/>
      <c r="F175" s="391"/>
      <c r="G175" s="391"/>
      <c r="H175" s="392"/>
      <c r="I175" s="391"/>
      <c r="J175" s="391"/>
      <c r="K175" s="391"/>
      <c r="L175" s="391"/>
      <c r="M175" s="392"/>
      <c r="N175" s="391"/>
      <c r="O175" s="391"/>
      <c r="P175" s="391"/>
      <c r="Q175" s="391"/>
      <c r="R175" s="392"/>
      <c r="S175" s="391"/>
      <c r="T175" s="391"/>
      <c r="U175" s="391"/>
      <c r="V175" s="391"/>
      <c r="W175" s="392"/>
      <c r="X175" s="391"/>
      <c r="Y175" s="391"/>
      <c r="Z175" s="391"/>
      <c r="AA175" s="391"/>
      <c r="AB175" s="392"/>
      <c r="AC175" s="391"/>
      <c r="AD175" s="391"/>
      <c r="AE175" s="391"/>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row>
    <row r="176" spans="1:58" ht="15.75" customHeight="1" x14ac:dyDescent="0.2">
      <c r="A176" s="189"/>
      <c r="B176" s="189"/>
      <c r="C176" s="55"/>
      <c r="D176" s="391"/>
      <c r="E176" s="391"/>
      <c r="F176" s="391"/>
      <c r="G176" s="391"/>
      <c r="H176" s="392"/>
      <c r="I176" s="391"/>
      <c r="J176" s="391"/>
      <c r="K176" s="391"/>
      <c r="L176" s="391"/>
      <c r="M176" s="392"/>
      <c r="N176" s="391"/>
      <c r="O176" s="391"/>
      <c r="P176" s="391"/>
      <c r="Q176" s="391"/>
      <c r="R176" s="392"/>
      <c r="S176" s="391"/>
      <c r="T176" s="391"/>
      <c r="U176" s="391"/>
      <c r="V176" s="391"/>
      <c r="W176" s="392"/>
      <c r="X176" s="391"/>
      <c r="Y176" s="391"/>
      <c r="Z176" s="391"/>
      <c r="AA176" s="391"/>
      <c r="AB176" s="392"/>
      <c r="AC176" s="391"/>
      <c r="AD176" s="391"/>
      <c r="AE176" s="391"/>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row>
    <row r="177" spans="1:58" ht="15.75" customHeight="1" x14ac:dyDescent="0.2">
      <c r="A177" s="189"/>
      <c r="B177" s="189"/>
      <c r="C177" s="55"/>
      <c r="D177" s="391"/>
      <c r="E177" s="391"/>
      <c r="F177" s="391"/>
      <c r="G177" s="391"/>
      <c r="H177" s="392"/>
      <c r="I177" s="391"/>
      <c r="J177" s="391"/>
      <c r="K177" s="391"/>
      <c r="L177" s="391"/>
      <c r="M177" s="392"/>
      <c r="N177" s="391"/>
      <c r="O177" s="391"/>
      <c r="P177" s="391"/>
      <c r="Q177" s="391"/>
      <c r="R177" s="392"/>
      <c r="S177" s="391"/>
      <c r="T177" s="391"/>
      <c r="U177" s="391"/>
      <c r="V177" s="391"/>
      <c r="W177" s="392"/>
      <c r="X177" s="391"/>
      <c r="Y177" s="391"/>
      <c r="Z177" s="391"/>
      <c r="AA177" s="391"/>
      <c r="AB177" s="392"/>
      <c r="AC177" s="391"/>
      <c r="AD177" s="391"/>
      <c r="AE177" s="391"/>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c r="BD177" s="189"/>
      <c r="BE177" s="189"/>
      <c r="BF177" s="189"/>
    </row>
    <row r="178" spans="1:58" ht="15.75" customHeight="1" x14ac:dyDescent="0.2">
      <c r="A178" s="189"/>
      <c r="B178" s="189"/>
      <c r="C178" s="55"/>
      <c r="D178" s="391"/>
      <c r="E178" s="391"/>
      <c r="F178" s="391"/>
      <c r="G178" s="391"/>
      <c r="H178" s="392"/>
      <c r="I178" s="391"/>
      <c r="J178" s="391"/>
      <c r="K178" s="391"/>
      <c r="L178" s="391"/>
      <c r="M178" s="392"/>
      <c r="N178" s="391"/>
      <c r="O178" s="391"/>
      <c r="P178" s="391"/>
      <c r="Q178" s="391"/>
      <c r="R178" s="392"/>
      <c r="S178" s="391"/>
      <c r="T178" s="391"/>
      <c r="U178" s="391"/>
      <c r="V178" s="391"/>
      <c r="W178" s="392"/>
      <c r="X178" s="391"/>
      <c r="Y178" s="391"/>
      <c r="Z178" s="391"/>
      <c r="AA178" s="391"/>
      <c r="AB178" s="392"/>
      <c r="AC178" s="391"/>
      <c r="AD178" s="391"/>
      <c r="AE178" s="391"/>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row>
    <row r="179" spans="1:58" ht="15.75" customHeight="1" x14ac:dyDescent="0.2">
      <c r="A179" s="189"/>
      <c r="B179" s="189"/>
      <c r="C179" s="55"/>
      <c r="D179" s="391"/>
      <c r="E179" s="391"/>
      <c r="F179" s="391"/>
      <c r="G179" s="391"/>
      <c r="H179" s="392"/>
      <c r="I179" s="391"/>
      <c r="J179" s="391"/>
      <c r="K179" s="391"/>
      <c r="L179" s="391"/>
      <c r="M179" s="392"/>
      <c r="N179" s="391"/>
      <c r="O179" s="391"/>
      <c r="P179" s="391"/>
      <c r="Q179" s="391"/>
      <c r="R179" s="392"/>
      <c r="S179" s="391"/>
      <c r="T179" s="391"/>
      <c r="U179" s="391"/>
      <c r="V179" s="391"/>
      <c r="W179" s="392"/>
      <c r="X179" s="391"/>
      <c r="Y179" s="391"/>
      <c r="Z179" s="391"/>
      <c r="AA179" s="391"/>
      <c r="AB179" s="392"/>
      <c r="AC179" s="391"/>
      <c r="AD179" s="391"/>
      <c r="AE179" s="391"/>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c r="BB179" s="189"/>
      <c r="BC179" s="189"/>
      <c r="BD179" s="189"/>
      <c r="BE179" s="189"/>
      <c r="BF179" s="189"/>
    </row>
    <row r="180" spans="1:58" ht="15.75" customHeight="1" x14ac:dyDescent="0.2">
      <c r="A180" s="189"/>
      <c r="B180" s="189"/>
      <c r="C180" s="55"/>
      <c r="D180" s="391"/>
      <c r="E180" s="391"/>
      <c r="F180" s="391"/>
      <c r="G180" s="391"/>
      <c r="H180" s="392"/>
      <c r="I180" s="391"/>
      <c r="J180" s="391"/>
      <c r="K180" s="391"/>
      <c r="L180" s="391"/>
      <c r="M180" s="392"/>
      <c r="N180" s="391"/>
      <c r="O180" s="391"/>
      <c r="P180" s="391"/>
      <c r="Q180" s="391"/>
      <c r="R180" s="392"/>
      <c r="S180" s="391"/>
      <c r="T180" s="391"/>
      <c r="U180" s="391"/>
      <c r="V180" s="391"/>
      <c r="W180" s="392"/>
      <c r="X180" s="391"/>
      <c r="Y180" s="391"/>
      <c r="Z180" s="391"/>
      <c r="AA180" s="391"/>
      <c r="AB180" s="392"/>
      <c r="AC180" s="391"/>
      <c r="AD180" s="391"/>
      <c r="AE180" s="391"/>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89"/>
      <c r="BC180" s="189"/>
      <c r="BD180" s="189"/>
      <c r="BE180" s="189"/>
      <c r="BF180" s="189"/>
    </row>
    <row r="181" spans="1:58" ht="15.75" customHeight="1" x14ac:dyDescent="0.2">
      <c r="A181" s="189"/>
      <c r="B181" s="189"/>
      <c r="C181" s="55"/>
      <c r="D181" s="391"/>
      <c r="E181" s="391"/>
      <c r="F181" s="391"/>
      <c r="G181" s="391"/>
      <c r="H181" s="392"/>
      <c r="I181" s="391"/>
      <c r="J181" s="391"/>
      <c r="K181" s="391"/>
      <c r="L181" s="391"/>
      <c r="M181" s="392"/>
      <c r="N181" s="391"/>
      <c r="O181" s="391"/>
      <c r="P181" s="391"/>
      <c r="Q181" s="391"/>
      <c r="R181" s="392"/>
      <c r="S181" s="391"/>
      <c r="T181" s="391"/>
      <c r="U181" s="391"/>
      <c r="V181" s="391"/>
      <c r="W181" s="392"/>
      <c r="X181" s="391"/>
      <c r="Y181" s="391"/>
      <c r="Z181" s="391"/>
      <c r="AA181" s="391"/>
      <c r="AB181" s="392"/>
      <c r="AC181" s="391"/>
      <c r="AD181" s="391"/>
      <c r="AE181" s="391"/>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row>
    <row r="182" spans="1:58" ht="15.75" customHeight="1" x14ac:dyDescent="0.2">
      <c r="A182" s="189"/>
      <c r="B182" s="189"/>
      <c r="C182" s="55"/>
      <c r="D182" s="391"/>
      <c r="E182" s="391"/>
      <c r="F182" s="391"/>
      <c r="G182" s="391"/>
      <c r="H182" s="392"/>
      <c r="I182" s="391"/>
      <c r="J182" s="391"/>
      <c r="K182" s="391"/>
      <c r="L182" s="391"/>
      <c r="M182" s="392"/>
      <c r="N182" s="391"/>
      <c r="O182" s="391"/>
      <c r="P182" s="391"/>
      <c r="Q182" s="391"/>
      <c r="R182" s="392"/>
      <c r="S182" s="391"/>
      <c r="T182" s="391"/>
      <c r="U182" s="391"/>
      <c r="V182" s="391"/>
      <c r="W182" s="392"/>
      <c r="X182" s="391"/>
      <c r="Y182" s="391"/>
      <c r="Z182" s="391"/>
      <c r="AA182" s="391"/>
      <c r="AB182" s="392"/>
      <c r="AC182" s="391"/>
      <c r="AD182" s="391"/>
      <c r="AE182" s="391"/>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c r="BB182" s="189"/>
      <c r="BC182" s="189"/>
      <c r="BD182" s="189"/>
      <c r="BE182" s="189"/>
      <c r="BF182" s="189"/>
    </row>
    <row r="183" spans="1:58" ht="15.75" customHeight="1" x14ac:dyDescent="0.2">
      <c r="A183" s="189"/>
      <c r="B183" s="189"/>
      <c r="C183" s="55"/>
      <c r="D183" s="391"/>
      <c r="E183" s="391"/>
      <c r="F183" s="391"/>
      <c r="G183" s="391"/>
      <c r="H183" s="392"/>
      <c r="I183" s="391"/>
      <c r="J183" s="391"/>
      <c r="K183" s="391"/>
      <c r="L183" s="391"/>
      <c r="M183" s="392"/>
      <c r="N183" s="391"/>
      <c r="O183" s="391"/>
      <c r="P183" s="391"/>
      <c r="Q183" s="391"/>
      <c r="R183" s="392"/>
      <c r="S183" s="391"/>
      <c r="T183" s="391"/>
      <c r="U183" s="391"/>
      <c r="V183" s="391"/>
      <c r="W183" s="392"/>
      <c r="X183" s="391"/>
      <c r="Y183" s="391"/>
      <c r="Z183" s="391"/>
      <c r="AA183" s="391"/>
      <c r="AB183" s="392"/>
      <c r="AC183" s="391"/>
      <c r="AD183" s="391"/>
      <c r="AE183" s="391"/>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row>
    <row r="184" spans="1:58" ht="15.75" customHeight="1" x14ac:dyDescent="0.2">
      <c r="A184" s="189"/>
      <c r="B184" s="189"/>
      <c r="C184" s="55"/>
      <c r="D184" s="391"/>
      <c r="E184" s="391"/>
      <c r="F184" s="391"/>
      <c r="G184" s="391"/>
      <c r="H184" s="392"/>
      <c r="I184" s="391"/>
      <c r="J184" s="391"/>
      <c r="K184" s="391"/>
      <c r="L184" s="391"/>
      <c r="M184" s="392"/>
      <c r="N184" s="391"/>
      <c r="O184" s="391"/>
      <c r="P184" s="391"/>
      <c r="Q184" s="391"/>
      <c r="R184" s="392"/>
      <c r="S184" s="391"/>
      <c r="T184" s="391"/>
      <c r="U184" s="391"/>
      <c r="V184" s="391"/>
      <c r="W184" s="392"/>
      <c r="X184" s="391"/>
      <c r="Y184" s="391"/>
      <c r="Z184" s="391"/>
      <c r="AA184" s="391"/>
      <c r="AB184" s="392"/>
      <c r="AC184" s="391"/>
      <c r="AD184" s="391"/>
      <c r="AE184" s="391"/>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c r="BB184" s="189"/>
      <c r="BC184" s="189"/>
      <c r="BD184" s="189"/>
      <c r="BE184" s="189"/>
      <c r="BF184" s="189"/>
    </row>
    <row r="185" spans="1:58" ht="15.75" customHeight="1" x14ac:dyDescent="0.2">
      <c r="A185" s="189"/>
      <c r="B185" s="189"/>
      <c r="C185" s="55"/>
      <c r="D185" s="391"/>
      <c r="E185" s="391"/>
      <c r="F185" s="391"/>
      <c r="G185" s="391"/>
      <c r="H185" s="392"/>
      <c r="I185" s="391"/>
      <c r="J185" s="391"/>
      <c r="K185" s="391"/>
      <c r="L185" s="391"/>
      <c r="M185" s="392"/>
      <c r="N185" s="391"/>
      <c r="O185" s="391"/>
      <c r="P185" s="391"/>
      <c r="Q185" s="391"/>
      <c r="R185" s="392"/>
      <c r="S185" s="391"/>
      <c r="T185" s="391"/>
      <c r="U185" s="391"/>
      <c r="V185" s="391"/>
      <c r="W185" s="392"/>
      <c r="X185" s="391"/>
      <c r="Y185" s="391"/>
      <c r="Z185" s="391"/>
      <c r="AA185" s="391"/>
      <c r="AB185" s="392"/>
      <c r="AC185" s="391"/>
      <c r="AD185" s="391"/>
      <c r="AE185" s="391"/>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c r="BB185" s="189"/>
      <c r="BC185" s="189"/>
      <c r="BD185" s="189"/>
      <c r="BE185" s="189"/>
      <c r="BF185" s="189"/>
    </row>
    <row r="186" spans="1:58" ht="15.75" customHeight="1" x14ac:dyDescent="0.2">
      <c r="A186" s="189"/>
      <c r="B186" s="189"/>
      <c r="C186" s="55"/>
      <c r="D186" s="391"/>
      <c r="E186" s="391"/>
      <c r="F186" s="391"/>
      <c r="G186" s="391"/>
      <c r="H186" s="392"/>
      <c r="I186" s="391"/>
      <c r="J186" s="391"/>
      <c r="K186" s="391"/>
      <c r="L186" s="391"/>
      <c r="M186" s="392"/>
      <c r="N186" s="391"/>
      <c r="O186" s="391"/>
      <c r="P186" s="391"/>
      <c r="Q186" s="391"/>
      <c r="R186" s="392"/>
      <c r="S186" s="391"/>
      <c r="T186" s="391"/>
      <c r="U186" s="391"/>
      <c r="V186" s="391"/>
      <c r="W186" s="392"/>
      <c r="X186" s="391"/>
      <c r="Y186" s="391"/>
      <c r="Z186" s="391"/>
      <c r="AA186" s="391"/>
      <c r="AB186" s="392"/>
      <c r="AC186" s="391"/>
      <c r="AD186" s="391"/>
      <c r="AE186" s="391"/>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c r="BD186" s="189"/>
      <c r="BE186" s="189"/>
      <c r="BF186" s="189"/>
    </row>
    <row r="187" spans="1:58" ht="15.75" customHeight="1" x14ac:dyDescent="0.2">
      <c r="A187" s="189"/>
      <c r="B187" s="189"/>
      <c r="C187" s="55"/>
      <c r="D187" s="391"/>
      <c r="E187" s="391"/>
      <c r="F187" s="391"/>
      <c r="G187" s="391"/>
      <c r="H187" s="392"/>
      <c r="I187" s="391"/>
      <c r="J187" s="391"/>
      <c r="K187" s="391"/>
      <c r="L187" s="391"/>
      <c r="M187" s="392"/>
      <c r="N187" s="391"/>
      <c r="O187" s="391"/>
      <c r="P187" s="391"/>
      <c r="Q187" s="391"/>
      <c r="R187" s="392"/>
      <c r="S187" s="391"/>
      <c r="T187" s="391"/>
      <c r="U187" s="391"/>
      <c r="V187" s="391"/>
      <c r="W187" s="392"/>
      <c r="X187" s="391"/>
      <c r="Y187" s="391"/>
      <c r="Z187" s="391"/>
      <c r="AA187" s="391"/>
      <c r="AB187" s="392"/>
      <c r="AC187" s="391"/>
      <c r="AD187" s="391"/>
      <c r="AE187" s="391"/>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89"/>
      <c r="BD187" s="189"/>
      <c r="BE187" s="189"/>
      <c r="BF187" s="189"/>
    </row>
    <row r="188" spans="1:58" ht="15.75" customHeight="1" x14ac:dyDescent="0.2">
      <c r="A188" s="189"/>
      <c r="B188" s="189"/>
      <c r="C188" s="55"/>
      <c r="D188" s="391"/>
      <c r="E188" s="391"/>
      <c r="F188" s="391"/>
      <c r="G188" s="391"/>
      <c r="H188" s="392"/>
      <c r="I188" s="391"/>
      <c r="J188" s="391"/>
      <c r="K188" s="391"/>
      <c r="L188" s="391"/>
      <c r="M188" s="392"/>
      <c r="N188" s="391"/>
      <c r="O188" s="391"/>
      <c r="P188" s="391"/>
      <c r="Q188" s="391"/>
      <c r="R188" s="392"/>
      <c r="S188" s="391"/>
      <c r="T188" s="391"/>
      <c r="U188" s="391"/>
      <c r="V188" s="391"/>
      <c r="W188" s="392"/>
      <c r="X188" s="391"/>
      <c r="Y188" s="391"/>
      <c r="Z188" s="391"/>
      <c r="AA188" s="391"/>
      <c r="AB188" s="392"/>
      <c r="AC188" s="391"/>
      <c r="AD188" s="391"/>
      <c r="AE188" s="391"/>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89"/>
      <c r="BC188" s="189"/>
      <c r="BD188" s="189"/>
      <c r="BE188" s="189"/>
      <c r="BF188" s="189"/>
    </row>
    <row r="189" spans="1:58" ht="15.75" customHeight="1" x14ac:dyDescent="0.2">
      <c r="A189" s="189"/>
      <c r="B189" s="189"/>
      <c r="C189" s="55"/>
      <c r="D189" s="391"/>
      <c r="E189" s="391"/>
      <c r="F189" s="391"/>
      <c r="G189" s="391"/>
      <c r="H189" s="392"/>
      <c r="I189" s="391"/>
      <c r="J189" s="391"/>
      <c r="K189" s="391"/>
      <c r="L189" s="391"/>
      <c r="M189" s="392"/>
      <c r="N189" s="391"/>
      <c r="O189" s="391"/>
      <c r="P189" s="391"/>
      <c r="Q189" s="391"/>
      <c r="R189" s="392"/>
      <c r="S189" s="391"/>
      <c r="T189" s="391"/>
      <c r="U189" s="391"/>
      <c r="V189" s="391"/>
      <c r="W189" s="392"/>
      <c r="X189" s="391"/>
      <c r="Y189" s="391"/>
      <c r="Z189" s="391"/>
      <c r="AA189" s="391"/>
      <c r="AB189" s="392"/>
      <c r="AC189" s="391"/>
      <c r="AD189" s="391"/>
      <c r="AE189" s="391"/>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c r="BA189" s="189"/>
      <c r="BB189" s="189"/>
      <c r="BC189" s="189"/>
      <c r="BD189" s="189"/>
      <c r="BE189" s="189"/>
      <c r="BF189" s="189"/>
    </row>
    <row r="190" spans="1:58" ht="15.75" customHeight="1" x14ac:dyDescent="0.2">
      <c r="A190" s="189"/>
      <c r="B190" s="189"/>
      <c r="C190" s="55"/>
      <c r="D190" s="391"/>
      <c r="E190" s="391"/>
      <c r="F190" s="391"/>
      <c r="G190" s="391"/>
      <c r="H190" s="392"/>
      <c r="I190" s="391"/>
      <c r="J190" s="391"/>
      <c r="K190" s="391"/>
      <c r="L190" s="391"/>
      <c r="M190" s="392"/>
      <c r="N190" s="391"/>
      <c r="O190" s="391"/>
      <c r="P190" s="391"/>
      <c r="Q190" s="391"/>
      <c r="R190" s="392"/>
      <c r="S190" s="391"/>
      <c r="T190" s="391"/>
      <c r="U190" s="391"/>
      <c r="V190" s="391"/>
      <c r="W190" s="392"/>
      <c r="X190" s="391"/>
      <c r="Y190" s="391"/>
      <c r="Z190" s="391"/>
      <c r="AA190" s="391"/>
      <c r="AB190" s="392"/>
      <c r="AC190" s="391"/>
      <c r="AD190" s="391"/>
      <c r="AE190" s="391"/>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89"/>
      <c r="BE190" s="189"/>
      <c r="BF190" s="189"/>
    </row>
    <row r="191" spans="1:58" ht="15.75" customHeight="1" x14ac:dyDescent="0.2">
      <c r="A191" s="189"/>
      <c r="B191" s="189"/>
      <c r="C191" s="55"/>
      <c r="D191" s="391"/>
      <c r="E191" s="391"/>
      <c r="F191" s="391"/>
      <c r="G191" s="391"/>
      <c r="H191" s="392"/>
      <c r="I191" s="391"/>
      <c r="J191" s="391"/>
      <c r="K191" s="391"/>
      <c r="L191" s="391"/>
      <c r="M191" s="392"/>
      <c r="N191" s="391"/>
      <c r="O191" s="391"/>
      <c r="P191" s="391"/>
      <c r="Q191" s="391"/>
      <c r="R191" s="392"/>
      <c r="S191" s="391"/>
      <c r="T191" s="391"/>
      <c r="U191" s="391"/>
      <c r="V191" s="391"/>
      <c r="W191" s="392"/>
      <c r="X191" s="391"/>
      <c r="Y191" s="391"/>
      <c r="Z191" s="391"/>
      <c r="AA191" s="391"/>
      <c r="AB191" s="392"/>
      <c r="AC191" s="391"/>
      <c r="AD191" s="391"/>
      <c r="AE191" s="391"/>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c r="BC191" s="189"/>
      <c r="BD191" s="189"/>
      <c r="BE191" s="189"/>
      <c r="BF191" s="189"/>
    </row>
    <row r="192" spans="1:58" ht="15.75" customHeight="1" x14ac:dyDescent="0.2">
      <c r="A192" s="189"/>
      <c r="B192" s="189"/>
      <c r="C192" s="55"/>
      <c r="D192" s="391"/>
      <c r="E192" s="391"/>
      <c r="F192" s="391"/>
      <c r="G192" s="391"/>
      <c r="H192" s="392"/>
      <c r="I192" s="391"/>
      <c r="J192" s="391"/>
      <c r="K192" s="391"/>
      <c r="L192" s="391"/>
      <c r="M192" s="392"/>
      <c r="N192" s="391"/>
      <c r="O192" s="391"/>
      <c r="P192" s="391"/>
      <c r="Q192" s="391"/>
      <c r="R192" s="392"/>
      <c r="S192" s="391"/>
      <c r="T192" s="391"/>
      <c r="U192" s="391"/>
      <c r="V192" s="391"/>
      <c r="W192" s="392"/>
      <c r="X192" s="391"/>
      <c r="Y192" s="391"/>
      <c r="Z192" s="391"/>
      <c r="AA192" s="391"/>
      <c r="AB192" s="392"/>
      <c r="AC192" s="391"/>
      <c r="AD192" s="391"/>
      <c r="AE192" s="391"/>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89"/>
      <c r="BD192" s="189"/>
      <c r="BE192" s="189"/>
      <c r="BF192" s="189"/>
    </row>
    <row r="193" spans="1:58" ht="15.75" customHeight="1" x14ac:dyDescent="0.2">
      <c r="A193" s="189"/>
      <c r="B193" s="189"/>
      <c r="C193" s="55"/>
      <c r="D193" s="391"/>
      <c r="E193" s="391"/>
      <c r="F193" s="391"/>
      <c r="G193" s="391"/>
      <c r="H193" s="392"/>
      <c r="I193" s="391"/>
      <c r="J193" s="391"/>
      <c r="K193" s="391"/>
      <c r="L193" s="391"/>
      <c r="M193" s="392"/>
      <c r="N193" s="391"/>
      <c r="O193" s="391"/>
      <c r="P193" s="391"/>
      <c r="Q193" s="391"/>
      <c r="R193" s="392"/>
      <c r="S193" s="391"/>
      <c r="T193" s="391"/>
      <c r="U193" s="391"/>
      <c r="V193" s="391"/>
      <c r="W193" s="392"/>
      <c r="X193" s="391"/>
      <c r="Y193" s="391"/>
      <c r="Z193" s="391"/>
      <c r="AA193" s="391"/>
      <c r="AB193" s="392"/>
      <c r="AC193" s="391"/>
      <c r="AD193" s="391"/>
      <c r="AE193" s="391"/>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c r="BD193" s="189"/>
      <c r="BE193" s="189"/>
      <c r="BF193" s="189"/>
    </row>
    <row r="194" spans="1:58" ht="15.75" customHeight="1" x14ac:dyDescent="0.2">
      <c r="A194" s="189"/>
      <c r="B194" s="189"/>
      <c r="C194" s="55"/>
      <c r="D194" s="391"/>
      <c r="E194" s="391"/>
      <c r="F194" s="391"/>
      <c r="G194" s="391"/>
      <c r="H194" s="392"/>
      <c r="I194" s="391"/>
      <c r="J194" s="391"/>
      <c r="K194" s="391"/>
      <c r="L194" s="391"/>
      <c r="M194" s="392"/>
      <c r="N194" s="391"/>
      <c r="O194" s="391"/>
      <c r="P194" s="391"/>
      <c r="Q194" s="391"/>
      <c r="R194" s="392"/>
      <c r="S194" s="391"/>
      <c r="T194" s="391"/>
      <c r="U194" s="391"/>
      <c r="V194" s="391"/>
      <c r="W194" s="392"/>
      <c r="X194" s="391"/>
      <c r="Y194" s="391"/>
      <c r="Z194" s="391"/>
      <c r="AA194" s="391"/>
      <c r="AB194" s="392"/>
      <c r="AC194" s="391"/>
      <c r="AD194" s="391"/>
      <c r="AE194" s="391"/>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c r="BD194" s="189"/>
      <c r="BE194" s="189"/>
      <c r="BF194" s="189"/>
    </row>
    <row r="195" spans="1:58" ht="15.75" customHeight="1" x14ac:dyDescent="0.2">
      <c r="A195" s="189"/>
      <c r="B195" s="189"/>
      <c r="C195" s="55"/>
      <c r="D195" s="391"/>
      <c r="E195" s="391"/>
      <c r="F195" s="391"/>
      <c r="G195" s="391"/>
      <c r="H195" s="392"/>
      <c r="I195" s="391"/>
      <c r="J195" s="391"/>
      <c r="K195" s="391"/>
      <c r="L195" s="391"/>
      <c r="M195" s="392"/>
      <c r="N195" s="391"/>
      <c r="O195" s="391"/>
      <c r="P195" s="391"/>
      <c r="Q195" s="391"/>
      <c r="R195" s="392"/>
      <c r="S195" s="391"/>
      <c r="T195" s="391"/>
      <c r="U195" s="391"/>
      <c r="V195" s="391"/>
      <c r="W195" s="392"/>
      <c r="X195" s="391"/>
      <c r="Y195" s="391"/>
      <c r="Z195" s="391"/>
      <c r="AA195" s="391"/>
      <c r="AB195" s="392"/>
      <c r="AC195" s="391"/>
      <c r="AD195" s="391"/>
      <c r="AE195" s="391"/>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89"/>
      <c r="BD195" s="189"/>
      <c r="BE195" s="189"/>
      <c r="BF195" s="189"/>
    </row>
    <row r="196" spans="1:58" ht="15.75" customHeight="1" x14ac:dyDescent="0.2">
      <c r="A196" s="189"/>
      <c r="B196" s="189"/>
      <c r="C196" s="55"/>
      <c r="D196" s="391"/>
      <c r="E196" s="391"/>
      <c r="F196" s="391"/>
      <c r="G196" s="391"/>
      <c r="H196" s="392"/>
      <c r="I196" s="391"/>
      <c r="J196" s="391"/>
      <c r="K196" s="391"/>
      <c r="L196" s="391"/>
      <c r="M196" s="392"/>
      <c r="N196" s="391"/>
      <c r="O196" s="391"/>
      <c r="P196" s="391"/>
      <c r="Q196" s="391"/>
      <c r="R196" s="392"/>
      <c r="S196" s="391"/>
      <c r="T196" s="391"/>
      <c r="U196" s="391"/>
      <c r="V196" s="391"/>
      <c r="W196" s="392"/>
      <c r="X196" s="391"/>
      <c r="Y196" s="391"/>
      <c r="Z196" s="391"/>
      <c r="AA196" s="391"/>
      <c r="AB196" s="392"/>
      <c r="AC196" s="391"/>
      <c r="AD196" s="391"/>
      <c r="AE196" s="391"/>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89"/>
      <c r="BD196" s="189"/>
      <c r="BE196" s="189"/>
      <c r="BF196" s="189"/>
    </row>
    <row r="197" spans="1:58" ht="15.75" customHeight="1" x14ac:dyDescent="0.2">
      <c r="A197" s="189"/>
      <c r="B197" s="189"/>
      <c r="C197" s="55"/>
      <c r="D197" s="391"/>
      <c r="E197" s="391"/>
      <c r="F197" s="391"/>
      <c r="G197" s="391"/>
      <c r="H197" s="392"/>
      <c r="I197" s="391"/>
      <c r="J197" s="391"/>
      <c r="K197" s="391"/>
      <c r="L197" s="391"/>
      <c r="M197" s="392"/>
      <c r="N197" s="391"/>
      <c r="O197" s="391"/>
      <c r="P197" s="391"/>
      <c r="Q197" s="391"/>
      <c r="R197" s="392"/>
      <c r="S197" s="391"/>
      <c r="T197" s="391"/>
      <c r="U197" s="391"/>
      <c r="V197" s="391"/>
      <c r="W197" s="392"/>
      <c r="X197" s="391"/>
      <c r="Y197" s="391"/>
      <c r="Z197" s="391"/>
      <c r="AA197" s="391"/>
      <c r="AB197" s="392"/>
      <c r="AC197" s="391"/>
      <c r="AD197" s="391"/>
      <c r="AE197" s="391"/>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row>
    <row r="198" spans="1:58" ht="15.75" customHeight="1" x14ac:dyDescent="0.2">
      <c r="A198" s="189"/>
      <c r="B198" s="189"/>
      <c r="C198" s="55"/>
      <c r="D198" s="391"/>
      <c r="E198" s="391"/>
      <c r="F198" s="391"/>
      <c r="G198" s="391"/>
      <c r="H198" s="392"/>
      <c r="I198" s="391"/>
      <c r="J198" s="391"/>
      <c r="K198" s="391"/>
      <c r="L198" s="391"/>
      <c r="M198" s="392"/>
      <c r="N198" s="391"/>
      <c r="O198" s="391"/>
      <c r="P198" s="391"/>
      <c r="Q198" s="391"/>
      <c r="R198" s="392"/>
      <c r="S198" s="391"/>
      <c r="T198" s="391"/>
      <c r="U198" s="391"/>
      <c r="V198" s="391"/>
      <c r="W198" s="392"/>
      <c r="X198" s="391"/>
      <c r="Y198" s="391"/>
      <c r="Z198" s="391"/>
      <c r="AA198" s="391"/>
      <c r="AB198" s="392"/>
      <c r="AC198" s="391"/>
      <c r="AD198" s="391"/>
      <c r="AE198" s="391"/>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c r="BD198" s="189"/>
      <c r="BE198" s="189"/>
      <c r="BF198" s="189"/>
    </row>
    <row r="199" spans="1:58" ht="15.75" customHeight="1" x14ac:dyDescent="0.2">
      <c r="A199" s="189"/>
      <c r="B199" s="189"/>
      <c r="C199" s="55"/>
      <c r="D199" s="391"/>
      <c r="E199" s="391"/>
      <c r="F199" s="391"/>
      <c r="G199" s="391"/>
      <c r="H199" s="392"/>
      <c r="I199" s="391"/>
      <c r="J199" s="391"/>
      <c r="K199" s="391"/>
      <c r="L199" s="391"/>
      <c r="M199" s="392"/>
      <c r="N199" s="391"/>
      <c r="O199" s="391"/>
      <c r="P199" s="391"/>
      <c r="Q199" s="391"/>
      <c r="R199" s="392"/>
      <c r="S199" s="391"/>
      <c r="T199" s="391"/>
      <c r="U199" s="391"/>
      <c r="V199" s="391"/>
      <c r="W199" s="392"/>
      <c r="X199" s="391"/>
      <c r="Y199" s="391"/>
      <c r="Z199" s="391"/>
      <c r="AA199" s="391"/>
      <c r="AB199" s="392"/>
      <c r="AC199" s="391"/>
      <c r="AD199" s="391"/>
      <c r="AE199" s="391"/>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c r="BD199" s="189"/>
      <c r="BE199" s="189"/>
      <c r="BF199" s="189"/>
    </row>
    <row r="200" spans="1:58" ht="15.75" customHeight="1" x14ac:dyDescent="0.2">
      <c r="A200" s="189"/>
      <c r="B200" s="189"/>
      <c r="C200" s="55"/>
      <c r="D200" s="391"/>
      <c r="E200" s="391"/>
      <c r="F200" s="391"/>
      <c r="G200" s="391"/>
      <c r="H200" s="392"/>
      <c r="I200" s="391"/>
      <c r="J200" s="391"/>
      <c r="K200" s="391"/>
      <c r="L200" s="391"/>
      <c r="M200" s="392"/>
      <c r="N200" s="391"/>
      <c r="O200" s="391"/>
      <c r="P200" s="391"/>
      <c r="Q200" s="391"/>
      <c r="R200" s="392"/>
      <c r="S200" s="391"/>
      <c r="T200" s="391"/>
      <c r="U200" s="391"/>
      <c r="V200" s="391"/>
      <c r="W200" s="392"/>
      <c r="X200" s="391"/>
      <c r="Y200" s="391"/>
      <c r="Z200" s="391"/>
      <c r="AA200" s="391"/>
      <c r="AB200" s="392"/>
      <c r="AC200" s="391"/>
      <c r="AD200" s="391"/>
      <c r="AE200" s="391"/>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row>
    <row r="201" spans="1:58" ht="15.75" customHeight="1" x14ac:dyDescent="0.2">
      <c r="A201" s="189"/>
      <c r="B201" s="189"/>
      <c r="C201" s="55"/>
      <c r="D201" s="391"/>
      <c r="E201" s="391"/>
      <c r="F201" s="391"/>
      <c r="G201" s="391"/>
      <c r="H201" s="392"/>
      <c r="I201" s="391"/>
      <c r="J201" s="391"/>
      <c r="K201" s="391"/>
      <c r="L201" s="391"/>
      <c r="M201" s="392"/>
      <c r="N201" s="391"/>
      <c r="O201" s="391"/>
      <c r="P201" s="391"/>
      <c r="Q201" s="391"/>
      <c r="R201" s="392"/>
      <c r="S201" s="391"/>
      <c r="T201" s="391"/>
      <c r="U201" s="391"/>
      <c r="V201" s="391"/>
      <c r="W201" s="392"/>
      <c r="X201" s="391"/>
      <c r="Y201" s="391"/>
      <c r="Z201" s="391"/>
      <c r="AA201" s="391"/>
      <c r="AB201" s="392"/>
      <c r="AC201" s="391"/>
      <c r="AD201" s="391"/>
      <c r="AE201" s="391"/>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row>
    <row r="202" spans="1:58" ht="15.75" customHeight="1" x14ac:dyDescent="0.2">
      <c r="A202" s="189"/>
      <c r="B202" s="189"/>
      <c r="C202" s="55"/>
      <c r="D202" s="391"/>
      <c r="E202" s="391"/>
      <c r="F202" s="391"/>
      <c r="G202" s="391"/>
      <c r="H202" s="392"/>
      <c r="I202" s="391"/>
      <c r="J202" s="391"/>
      <c r="K202" s="391"/>
      <c r="L202" s="391"/>
      <c r="M202" s="392"/>
      <c r="N202" s="391"/>
      <c r="O202" s="391"/>
      <c r="P202" s="391"/>
      <c r="Q202" s="391"/>
      <c r="R202" s="392"/>
      <c r="S202" s="391"/>
      <c r="T202" s="391"/>
      <c r="U202" s="391"/>
      <c r="V202" s="391"/>
      <c r="W202" s="392"/>
      <c r="X202" s="391"/>
      <c r="Y202" s="391"/>
      <c r="Z202" s="391"/>
      <c r="AA202" s="391"/>
      <c r="AB202" s="392"/>
      <c r="AC202" s="391"/>
      <c r="AD202" s="391"/>
      <c r="AE202" s="391"/>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row>
    <row r="203" spans="1:58" ht="15.75" customHeight="1" x14ac:dyDescent="0.2">
      <c r="A203" s="189"/>
      <c r="B203" s="189"/>
      <c r="C203" s="55"/>
      <c r="D203" s="391"/>
      <c r="E203" s="391"/>
      <c r="F203" s="391"/>
      <c r="G203" s="391"/>
      <c r="H203" s="392"/>
      <c r="I203" s="391"/>
      <c r="J203" s="391"/>
      <c r="K203" s="391"/>
      <c r="L203" s="391"/>
      <c r="M203" s="392"/>
      <c r="N203" s="391"/>
      <c r="O203" s="391"/>
      <c r="P203" s="391"/>
      <c r="Q203" s="391"/>
      <c r="R203" s="392"/>
      <c r="S203" s="391"/>
      <c r="T203" s="391"/>
      <c r="U203" s="391"/>
      <c r="V203" s="391"/>
      <c r="W203" s="392"/>
      <c r="X203" s="391"/>
      <c r="Y203" s="391"/>
      <c r="Z203" s="391"/>
      <c r="AA203" s="391"/>
      <c r="AB203" s="392"/>
      <c r="AC203" s="391"/>
      <c r="AD203" s="391"/>
      <c r="AE203" s="391"/>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row>
    <row r="204" spans="1:58" ht="15.75" customHeight="1" x14ac:dyDescent="0.2">
      <c r="A204" s="189"/>
      <c r="B204" s="189"/>
      <c r="C204" s="55"/>
      <c r="D204" s="391"/>
      <c r="E204" s="391"/>
      <c r="F204" s="391"/>
      <c r="G204" s="391"/>
      <c r="H204" s="392"/>
      <c r="I204" s="391"/>
      <c r="J204" s="391"/>
      <c r="K204" s="391"/>
      <c r="L204" s="391"/>
      <c r="M204" s="392"/>
      <c r="N204" s="391"/>
      <c r="O204" s="391"/>
      <c r="P204" s="391"/>
      <c r="Q204" s="391"/>
      <c r="R204" s="392"/>
      <c r="S204" s="391"/>
      <c r="T204" s="391"/>
      <c r="U204" s="391"/>
      <c r="V204" s="391"/>
      <c r="W204" s="392"/>
      <c r="X204" s="391"/>
      <c r="Y204" s="391"/>
      <c r="Z204" s="391"/>
      <c r="AA204" s="391"/>
      <c r="AB204" s="392"/>
      <c r="AC204" s="391"/>
      <c r="AD204" s="391"/>
      <c r="AE204" s="391"/>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row>
    <row r="205" spans="1:58" ht="15.75" customHeight="1" x14ac:dyDescent="0.2">
      <c r="A205" s="189"/>
      <c r="B205" s="189"/>
      <c r="C205" s="55"/>
      <c r="D205" s="391"/>
      <c r="E205" s="391"/>
      <c r="F205" s="391"/>
      <c r="G205" s="391"/>
      <c r="H205" s="392"/>
      <c r="I205" s="391"/>
      <c r="J205" s="391"/>
      <c r="K205" s="391"/>
      <c r="L205" s="391"/>
      <c r="M205" s="392"/>
      <c r="N205" s="391"/>
      <c r="O205" s="391"/>
      <c r="P205" s="391"/>
      <c r="Q205" s="391"/>
      <c r="R205" s="392"/>
      <c r="S205" s="391"/>
      <c r="T205" s="391"/>
      <c r="U205" s="391"/>
      <c r="V205" s="391"/>
      <c r="W205" s="392"/>
      <c r="X205" s="391"/>
      <c r="Y205" s="391"/>
      <c r="Z205" s="391"/>
      <c r="AA205" s="391"/>
      <c r="AB205" s="392"/>
      <c r="AC205" s="391"/>
      <c r="AD205" s="391"/>
      <c r="AE205" s="391"/>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row>
    <row r="206" spans="1:58" ht="15.75" customHeight="1" x14ac:dyDescent="0.2">
      <c r="A206" s="189"/>
      <c r="B206" s="189"/>
      <c r="C206" s="55"/>
      <c r="D206" s="391"/>
      <c r="E206" s="391"/>
      <c r="F206" s="391"/>
      <c r="G206" s="391"/>
      <c r="H206" s="392"/>
      <c r="I206" s="391"/>
      <c r="J206" s="391"/>
      <c r="K206" s="391"/>
      <c r="L206" s="391"/>
      <c r="M206" s="392"/>
      <c r="N206" s="391"/>
      <c r="O206" s="391"/>
      <c r="P206" s="391"/>
      <c r="Q206" s="391"/>
      <c r="R206" s="392"/>
      <c r="S206" s="391"/>
      <c r="T206" s="391"/>
      <c r="U206" s="391"/>
      <c r="V206" s="391"/>
      <c r="W206" s="392"/>
      <c r="X206" s="391"/>
      <c r="Y206" s="391"/>
      <c r="Z206" s="391"/>
      <c r="AA206" s="391"/>
      <c r="AB206" s="392"/>
      <c r="AC206" s="391"/>
      <c r="AD206" s="391"/>
      <c r="AE206" s="391"/>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row>
    <row r="207" spans="1:58" ht="15.75" customHeight="1" x14ac:dyDescent="0.2">
      <c r="A207" s="189"/>
      <c r="B207" s="189"/>
      <c r="C207" s="55"/>
      <c r="D207" s="391"/>
      <c r="E207" s="391"/>
      <c r="F207" s="391"/>
      <c r="G207" s="391"/>
      <c r="H207" s="392"/>
      <c r="I207" s="391"/>
      <c r="J207" s="391"/>
      <c r="K207" s="391"/>
      <c r="L207" s="391"/>
      <c r="M207" s="392"/>
      <c r="N207" s="391"/>
      <c r="O207" s="391"/>
      <c r="P207" s="391"/>
      <c r="Q207" s="391"/>
      <c r="R207" s="392"/>
      <c r="S207" s="391"/>
      <c r="T207" s="391"/>
      <c r="U207" s="391"/>
      <c r="V207" s="391"/>
      <c r="W207" s="392"/>
      <c r="X207" s="391"/>
      <c r="Y207" s="391"/>
      <c r="Z207" s="391"/>
      <c r="AA207" s="391"/>
      <c r="AB207" s="392"/>
      <c r="AC207" s="391"/>
      <c r="AD207" s="391"/>
      <c r="AE207" s="391"/>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row>
    <row r="208" spans="1:58" ht="15.75" customHeight="1" x14ac:dyDescent="0.2">
      <c r="A208" s="189"/>
      <c r="B208" s="189"/>
      <c r="C208" s="55"/>
      <c r="D208" s="391"/>
      <c r="E208" s="391"/>
      <c r="F208" s="391"/>
      <c r="G208" s="391"/>
      <c r="H208" s="392"/>
      <c r="I208" s="391"/>
      <c r="J208" s="391"/>
      <c r="K208" s="391"/>
      <c r="L208" s="391"/>
      <c r="M208" s="392"/>
      <c r="N208" s="391"/>
      <c r="O208" s="391"/>
      <c r="P208" s="391"/>
      <c r="Q208" s="391"/>
      <c r="R208" s="392"/>
      <c r="S208" s="391"/>
      <c r="T208" s="391"/>
      <c r="U208" s="391"/>
      <c r="V208" s="391"/>
      <c r="W208" s="392"/>
      <c r="X208" s="391"/>
      <c r="Y208" s="391"/>
      <c r="Z208" s="391"/>
      <c r="AA208" s="391"/>
      <c r="AB208" s="392"/>
      <c r="AC208" s="391"/>
      <c r="AD208" s="391"/>
      <c r="AE208" s="391"/>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c r="BD208" s="189"/>
      <c r="BE208" s="189"/>
      <c r="BF208" s="189"/>
    </row>
    <row r="209" spans="1:58" ht="15.75" customHeight="1" x14ac:dyDescent="0.2">
      <c r="A209" s="189"/>
      <c r="B209" s="189"/>
      <c r="C209" s="55"/>
      <c r="D209" s="391"/>
      <c r="E209" s="391"/>
      <c r="F209" s="391"/>
      <c r="G209" s="391"/>
      <c r="H209" s="392"/>
      <c r="I209" s="391"/>
      <c r="J209" s="391"/>
      <c r="K209" s="391"/>
      <c r="L209" s="391"/>
      <c r="M209" s="392"/>
      <c r="N209" s="391"/>
      <c r="O209" s="391"/>
      <c r="P209" s="391"/>
      <c r="Q209" s="391"/>
      <c r="R209" s="392"/>
      <c r="S209" s="391"/>
      <c r="T209" s="391"/>
      <c r="U209" s="391"/>
      <c r="V209" s="391"/>
      <c r="W209" s="392"/>
      <c r="X209" s="391"/>
      <c r="Y209" s="391"/>
      <c r="Z209" s="391"/>
      <c r="AA209" s="391"/>
      <c r="AB209" s="392"/>
      <c r="AC209" s="391"/>
      <c r="AD209" s="391"/>
      <c r="AE209" s="391"/>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row>
    <row r="210" spans="1:58" ht="15.75" customHeight="1" x14ac:dyDescent="0.2">
      <c r="A210" s="189"/>
      <c r="B210" s="189"/>
      <c r="C210" s="55"/>
      <c r="D210" s="391"/>
      <c r="E210" s="391"/>
      <c r="F210" s="391"/>
      <c r="G210" s="391"/>
      <c r="H210" s="392"/>
      <c r="I210" s="391"/>
      <c r="J210" s="391"/>
      <c r="K210" s="391"/>
      <c r="L210" s="391"/>
      <c r="M210" s="392"/>
      <c r="N210" s="391"/>
      <c r="O210" s="391"/>
      <c r="P210" s="391"/>
      <c r="Q210" s="391"/>
      <c r="R210" s="392"/>
      <c r="S210" s="391"/>
      <c r="T210" s="391"/>
      <c r="U210" s="391"/>
      <c r="V210" s="391"/>
      <c r="W210" s="392"/>
      <c r="X210" s="391"/>
      <c r="Y210" s="391"/>
      <c r="Z210" s="391"/>
      <c r="AA210" s="391"/>
      <c r="AB210" s="392"/>
      <c r="AC210" s="391"/>
      <c r="AD210" s="391"/>
      <c r="AE210" s="391"/>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row>
    <row r="211" spans="1:58" ht="15.75" customHeight="1" x14ac:dyDescent="0.2">
      <c r="A211" s="189"/>
      <c r="B211" s="189"/>
      <c r="C211" s="55"/>
      <c r="D211" s="391"/>
      <c r="E211" s="391"/>
      <c r="F211" s="391"/>
      <c r="G211" s="391"/>
      <c r="H211" s="392"/>
      <c r="I211" s="391"/>
      <c r="J211" s="391"/>
      <c r="K211" s="391"/>
      <c r="L211" s="391"/>
      <c r="M211" s="392"/>
      <c r="N211" s="391"/>
      <c r="O211" s="391"/>
      <c r="P211" s="391"/>
      <c r="Q211" s="391"/>
      <c r="R211" s="392"/>
      <c r="S211" s="391"/>
      <c r="T211" s="391"/>
      <c r="U211" s="391"/>
      <c r="V211" s="391"/>
      <c r="W211" s="392"/>
      <c r="X211" s="391"/>
      <c r="Y211" s="391"/>
      <c r="Z211" s="391"/>
      <c r="AA211" s="391"/>
      <c r="AB211" s="392"/>
      <c r="AC211" s="391"/>
      <c r="AD211" s="391"/>
      <c r="AE211" s="391"/>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row>
    <row r="212" spans="1:58" ht="15.75" customHeight="1" x14ac:dyDescent="0.2">
      <c r="A212" s="189"/>
      <c r="B212" s="189"/>
      <c r="C212" s="55"/>
      <c r="D212" s="391"/>
      <c r="E212" s="391"/>
      <c r="F212" s="391"/>
      <c r="G212" s="391"/>
      <c r="H212" s="392"/>
      <c r="I212" s="391"/>
      <c r="J212" s="391"/>
      <c r="K212" s="391"/>
      <c r="L212" s="391"/>
      <c r="M212" s="392"/>
      <c r="N212" s="391"/>
      <c r="O212" s="391"/>
      <c r="P212" s="391"/>
      <c r="Q212" s="391"/>
      <c r="R212" s="392"/>
      <c r="S212" s="391"/>
      <c r="T212" s="391"/>
      <c r="U212" s="391"/>
      <c r="V212" s="391"/>
      <c r="W212" s="392"/>
      <c r="X212" s="391"/>
      <c r="Y212" s="391"/>
      <c r="Z212" s="391"/>
      <c r="AA212" s="391"/>
      <c r="AB212" s="392"/>
      <c r="AC212" s="391"/>
      <c r="AD212" s="391"/>
      <c r="AE212" s="391"/>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row>
    <row r="213" spans="1:58" ht="15.75" customHeight="1" x14ac:dyDescent="0.2">
      <c r="A213" s="189"/>
      <c r="B213" s="189"/>
      <c r="C213" s="55"/>
      <c r="D213" s="391"/>
      <c r="E213" s="391"/>
      <c r="F213" s="391"/>
      <c r="G213" s="391"/>
      <c r="H213" s="392"/>
      <c r="I213" s="391"/>
      <c r="J213" s="391"/>
      <c r="K213" s="391"/>
      <c r="L213" s="391"/>
      <c r="M213" s="392"/>
      <c r="N213" s="391"/>
      <c r="O213" s="391"/>
      <c r="P213" s="391"/>
      <c r="Q213" s="391"/>
      <c r="R213" s="392"/>
      <c r="S213" s="391"/>
      <c r="T213" s="391"/>
      <c r="U213" s="391"/>
      <c r="V213" s="391"/>
      <c r="W213" s="392"/>
      <c r="X213" s="391"/>
      <c r="Y213" s="391"/>
      <c r="Z213" s="391"/>
      <c r="AA213" s="391"/>
      <c r="AB213" s="392"/>
      <c r="AC213" s="391"/>
      <c r="AD213" s="391"/>
      <c r="AE213" s="391"/>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row>
    <row r="214" spans="1:58" ht="15.75" customHeight="1" x14ac:dyDescent="0.2">
      <c r="A214" s="189"/>
      <c r="B214" s="189"/>
      <c r="C214" s="55"/>
      <c r="D214" s="391"/>
      <c r="E214" s="391"/>
      <c r="F214" s="391"/>
      <c r="G214" s="391"/>
      <c r="H214" s="392"/>
      <c r="I214" s="391"/>
      <c r="J214" s="391"/>
      <c r="K214" s="391"/>
      <c r="L214" s="391"/>
      <c r="M214" s="392"/>
      <c r="N214" s="391"/>
      <c r="O214" s="391"/>
      <c r="P214" s="391"/>
      <c r="Q214" s="391"/>
      <c r="R214" s="392"/>
      <c r="S214" s="391"/>
      <c r="T214" s="391"/>
      <c r="U214" s="391"/>
      <c r="V214" s="391"/>
      <c r="W214" s="392"/>
      <c r="X214" s="391"/>
      <c r="Y214" s="391"/>
      <c r="Z214" s="391"/>
      <c r="AA214" s="391"/>
      <c r="AB214" s="392"/>
      <c r="AC214" s="391"/>
      <c r="AD214" s="391"/>
      <c r="AE214" s="391"/>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c r="BD214" s="189"/>
      <c r="BE214" s="189"/>
      <c r="BF214" s="189"/>
    </row>
    <row r="215" spans="1:58" ht="15.75" customHeight="1" x14ac:dyDescent="0.2">
      <c r="A215" s="189"/>
      <c r="B215" s="189"/>
      <c r="C215" s="55"/>
      <c r="D215" s="391"/>
      <c r="E215" s="391"/>
      <c r="F215" s="391"/>
      <c r="G215" s="391"/>
      <c r="H215" s="392"/>
      <c r="I215" s="391"/>
      <c r="J215" s="391"/>
      <c r="K215" s="391"/>
      <c r="L215" s="391"/>
      <c r="M215" s="392"/>
      <c r="N215" s="391"/>
      <c r="O215" s="391"/>
      <c r="P215" s="391"/>
      <c r="Q215" s="391"/>
      <c r="R215" s="392"/>
      <c r="S215" s="391"/>
      <c r="T215" s="391"/>
      <c r="U215" s="391"/>
      <c r="V215" s="391"/>
      <c r="W215" s="392"/>
      <c r="X215" s="391"/>
      <c r="Y215" s="391"/>
      <c r="Z215" s="391"/>
      <c r="AA215" s="391"/>
      <c r="AB215" s="392"/>
      <c r="AC215" s="391"/>
      <c r="AD215" s="391"/>
      <c r="AE215" s="391"/>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c r="BD215" s="189"/>
      <c r="BE215" s="189"/>
      <c r="BF215" s="189"/>
    </row>
    <row r="216" spans="1:58" ht="15.75" customHeight="1" x14ac:dyDescent="0.2">
      <c r="A216" s="189"/>
      <c r="B216" s="189"/>
      <c r="C216" s="55"/>
      <c r="D216" s="391"/>
      <c r="E216" s="391"/>
      <c r="F216" s="391"/>
      <c r="G216" s="391"/>
      <c r="H216" s="392"/>
      <c r="I216" s="391"/>
      <c r="J216" s="391"/>
      <c r="K216" s="391"/>
      <c r="L216" s="391"/>
      <c r="M216" s="392"/>
      <c r="N216" s="391"/>
      <c r="O216" s="391"/>
      <c r="P216" s="391"/>
      <c r="Q216" s="391"/>
      <c r="R216" s="392"/>
      <c r="S216" s="391"/>
      <c r="T216" s="391"/>
      <c r="U216" s="391"/>
      <c r="V216" s="391"/>
      <c r="W216" s="392"/>
      <c r="X216" s="391"/>
      <c r="Y216" s="391"/>
      <c r="Z216" s="391"/>
      <c r="AA216" s="391"/>
      <c r="AB216" s="392"/>
      <c r="AC216" s="391"/>
      <c r="AD216" s="391"/>
      <c r="AE216" s="391"/>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row>
    <row r="217" spans="1:58" ht="15.75" customHeight="1" x14ac:dyDescent="0.2">
      <c r="A217" s="189"/>
      <c r="B217" s="189"/>
      <c r="C217" s="55"/>
      <c r="D217" s="391"/>
      <c r="E217" s="391"/>
      <c r="F217" s="391"/>
      <c r="G217" s="391"/>
      <c r="H217" s="392"/>
      <c r="I217" s="391"/>
      <c r="J217" s="391"/>
      <c r="K217" s="391"/>
      <c r="L217" s="391"/>
      <c r="M217" s="392"/>
      <c r="N217" s="391"/>
      <c r="O217" s="391"/>
      <c r="P217" s="391"/>
      <c r="Q217" s="391"/>
      <c r="R217" s="392"/>
      <c r="S217" s="391"/>
      <c r="T217" s="391"/>
      <c r="U217" s="391"/>
      <c r="V217" s="391"/>
      <c r="W217" s="392"/>
      <c r="X217" s="391"/>
      <c r="Y217" s="391"/>
      <c r="Z217" s="391"/>
      <c r="AA217" s="391"/>
      <c r="AB217" s="392"/>
      <c r="AC217" s="391"/>
      <c r="AD217" s="391"/>
      <c r="AE217" s="391"/>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c r="BD217" s="189"/>
      <c r="BE217" s="189"/>
      <c r="BF217" s="189"/>
    </row>
    <row r="218" spans="1:58" ht="15.75" customHeight="1" x14ac:dyDescent="0.2">
      <c r="A218" s="189"/>
      <c r="B218" s="189"/>
      <c r="C218" s="55"/>
      <c r="D218" s="391"/>
      <c r="E218" s="391"/>
      <c r="F218" s="391"/>
      <c r="G218" s="391"/>
      <c r="H218" s="392"/>
      <c r="I218" s="391"/>
      <c r="J218" s="391"/>
      <c r="K218" s="391"/>
      <c r="L218" s="391"/>
      <c r="M218" s="392"/>
      <c r="N218" s="391"/>
      <c r="O218" s="391"/>
      <c r="P218" s="391"/>
      <c r="Q218" s="391"/>
      <c r="R218" s="392"/>
      <c r="S218" s="391"/>
      <c r="T218" s="391"/>
      <c r="U218" s="391"/>
      <c r="V218" s="391"/>
      <c r="W218" s="392"/>
      <c r="X218" s="391"/>
      <c r="Y218" s="391"/>
      <c r="Z218" s="391"/>
      <c r="AA218" s="391"/>
      <c r="AB218" s="392"/>
      <c r="AC218" s="391"/>
      <c r="AD218" s="391"/>
      <c r="AE218" s="391"/>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89"/>
      <c r="BE218" s="189"/>
      <c r="BF218" s="189"/>
    </row>
    <row r="219" spans="1:58" ht="15.75" customHeight="1" x14ac:dyDescent="0.2">
      <c r="A219" s="189"/>
      <c r="B219" s="189"/>
      <c r="C219" s="55"/>
      <c r="D219" s="391"/>
      <c r="E219" s="391"/>
      <c r="F219" s="391"/>
      <c r="G219" s="391"/>
      <c r="H219" s="392"/>
      <c r="I219" s="391"/>
      <c r="J219" s="391"/>
      <c r="K219" s="391"/>
      <c r="L219" s="391"/>
      <c r="M219" s="392"/>
      <c r="N219" s="391"/>
      <c r="O219" s="391"/>
      <c r="P219" s="391"/>
      <c r="Q219" s="391"/>
      <c r="R219" s="392"/>
      <c r="S219" s="391"/>
      <c r="T219" s="391"/>
      <c r="U219" s="391"/>
      <c r="V219" s="391"/>
      <c r="W219" s="392"/>
      <c r="X219" s="391"/>
      <c r="Y219" s="391"/>
      <c r="Z219" s="391"/>
      <c r="AA219" s="391"/>
      <c r="AB219" s="392"/>
      <c r="AC219" s="391"/>
      <c r="AD219" s="391"/>
      <c r="AE219" s="391"/>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89"/>
      <c r="BD219" s="189"/>
      <c r="BE219" s="189"/>
      <c r="BF219" s="189"/>
    </row>
    <row r="220" spans="1:58" ht="15.75" customHeight="1" x14ac:dyDescent="0.2">
      <c r="A220" s="189"/>
      <c r="B220" s="189"/>
      <c r="C220" s="55"/>
      <c r="D220" s="391"/>
      <c r="E220" s="391"/>
      <c r="F220" s="391"/>
      <c r="G220" s="391"/>
      <c r="H220" s="392"/>
      <c r="I220" s="391"/>
      <c r="J220" s="391"/>
      <c r="K220" s="391"/>
      <c r="L220" s="391"/>
      <c r="M220" s="392"/>
      <c r="N220" s="391"/>
      <c r="O220" s="391"/>
      <c r="P220" s="391"/>
      <c r="Q220" s="391"/>
      <c r="R220" s="392"/>
      <c r="S220" s="391"/>
      <c r="T220" s="391"/>
      <c r="U220" s="391"/>
      <c r="V220" s="391"/>
      <c r="W220" s="392"/>
      <c r="X220" s="391"/>
      <c r="Y220" s="391"/>
      <c r="Z220" s="391"/>
      <c r="AA220" s="391"/>
      <c r="AB220" s="392"/>
      <c r="AC220" s="391"/>
      <c r="AD220" s="391"/>
      <c r="AE220" s="391"/>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c r="BD220" s="189"/>
      <c r="BE220" s="189"/>
      <c r="BF220" s="189"/>
    </row>
    <row r="221" spans="1:58" ht="15.75" customHeight="1" x14ac:dyDescent="0.2">
      <c r="A221" s="189"/>
      <c r="B221" s="189"/>
      <c r="C221" s="55"/>
      <c r="D221" s="391"/>
      <c r="E221" s="391"/>
      <c r="F221" s="391"/>
      <c r="G221" s="391"/>
      <c r="H221" s="392"/>
      <c r="I221" s="391"/>
      <c r="J221" s="391"/>
      <c r="K221" s="391"/>
      <c r="L221" s="391"/>
      <c r="M221" s="392"/>
      <c r="N221" s="391"/>
      <c r="O221" s="391"/>
      <c r="P221" s="391"/>
      <c r="Q221" s="391"/>
      <c r="R221" s="392"/>
      <c r="S221" s="391"/>
      <c r="T221" s="391"/>
      <c r="U221" s="391"/>
      <c r="V221" s="391"/>
      <c r="W221" s="392"/>
      <c r="X221" s="391"/>
      <c r="Y221" s="391"/>
      <c r="Z221" s="391"/>
      <c r="AA221" s="391"/>
      <c r="AB221" s="392"/>
      <c r="AC221" s="391"/>
      <c r="AD221" s="391"/>
      <c r="AE221" s="391"/>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89"/>
      <c r="BD221" s="189"/>
      <c r="BE221" s="189"/>
      <c r="BF221" s="189"/>
    </row>
    <row r="222" spans="1:58" ht="15.75" customHeight="1" x14ac:dyDescent="0.2">
      <c r="A222" s="189"/>
      <c r="B222" s="189"/>
      <c r="C222" s="55"/>
      <c r="D222" s="391"/>
      <c r="E222" s="391"/>
      <c r="F222" s="391"/>
      <c r="G222" s="391"/>
      <c r="H222" s="392"/>
      <c r="I222" s="391"/>
      <c r="J222" s="391"/>
      <c r="K222" s="391"/>
      <c r="L222" s="391"/>
      <c r="M222" s="392"/>
      <c r="N222" s="391"/>
      <c r="O222" s="391"/>
      <c r="P222" s="391"/>
      <c r="Q222" s="391"/>
      <c r="R222" s="392"/>
      <c r="S222" s="391"/>
      <c r="T222" s="391"/>
      <c r="U222" s="391"/>
      <c r="V222" s="391"/>
      <c r="W222" s="392"/>
      <c r="X222" s="391"/>
      <c r="Y222" s="391"/>
      <c r="Z222" s="391"/>
      <c r="AA222" s="391"/>
      <c r="AB222" s="392"/>
      <c r="AC222" s="391"/>
      <c r="AD222" s="391"/>
      <c r="AE222" s="391"/>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89"/>
      <c r="BD222" s="189"/>
      <c r="BE222" s="189"/>
      <c r="BF222" s="189"/>
    </row>
    <row r="223" spans="1:58" ht="15.75" customHeight="1" x14ac:dyDescent="0.2">
      <c r="A223" s="189"/>
      <c r="B223" s="189"/>
      <c r="C223" s="55"/>
      <c r="D223" s="391"/>
      <c r="E223" s="391"/>
      <c r="F223" s="391"/>
      <c r="G223" s="391"/>
      <c r="H223" s="392"/>
      <c r="I223" s="391"/>
      <c r="J223" s="391"/>
      <c r="K223" s="391"/>
      <c r="L223" s="391"/>
      <c r="M223" s="392"/>
      <c r="N223" s="391"/>
      <c r="O223" s="391"/>
      <c r="P223" s="391"/>
      <c r="Q223" s="391"/>
      <c r="R223" s="392"/>
      <c r="S223" s="391"/>
      <c r="T223" s="391"/>
      <c r="U223" s="391"/>
      <c r="V223" s="391"/>
      <c r="W223" s="392"/>
      <c r="X223" s="391"/>
      <c r="Y223" s="391"/>
      <c r="Z223" s="391"/>
      <c r="AA223" s="391"/>
      <c r="AB223" s="392"/>
      <c r="AC223" s="391"/>
      <c r="AD223" s="391"/>
      <c r="AE223" s="391"/>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row>
    <row r="224" spans="1:58" ht="15.75" customHeight="1" x14ac:dyDescent="0.2">
      <c r="A224" s="189"/>
      <c r="B224" s="189"/>
      <c r="C224" s="55"/>
      <c r="D224" s="391"/>
      <c r="E224" s="391"/>
      <c r="F224" s="391"/>
      <c r="G224" s="391"/>
      <c r="H224" s="392"/>
      <c r="I224" s="391"/>
      <c r="J224" s="391"/>
      <c r="K224" s="391"/>
      <c r="L224" s="391"/>
      <c r="M224" s="392"/>
      <c r="N224" s="391"/>
      <c r="O224" s="391"/>
      <c r="P224" s="391"/>
      <c r="Q224" s="391"/>
      <c r="R224" s="392"/>
      <c r="S224" s="391"/>
      <c r="T224" s="391"/>
      <c r="U224" s="391"/>
      <c r="V224" s="391"/>
      <c r="W224" s="392"/>
      <c r="X224" s="391"/>
      <c r="Y224" s="391"/>
      <c r="Z224" s="391"/>
      <c r="AA224" s="391"/>
      <c r="AB224" s="392"/>
      <c r="AC224" s="391"/>
      <c r="AD224" s="391"/>
      <c r="AE224" s="391"/>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row>
    <row r="225" spans="1:58" ht="15.75" customHeight="1" x14ac:dyDescent="0.2">
      <c r="A225" s="189"/>
      <c r="B225" s="189"/>
      <c r="C225" s="55"/>
      <c r="D225" s="391"/>
      <c r="E225" s="391"/>
      <c r="F225" s="391"/>
      <c r="G225" s="391"/>
      <c r="H225" s="392"/>
      <c r="I225" s="391"/>
      <c r="J225" s="391"/>
      <c r="K225" s="391"/>
      <c r="L225" s="391"/>
      <c r="M225" s="392"/>
      <c r="N225" s="391"/>
      <c r="O225" s="391"/>
      <c r="P225" s="391"/>
      <c r="Q225" s="391"/>
      <c r="R225" s="392"/>
      <c r="S225" s="391"/>
      <c r="T225" s="391"/>
      <c r="U225" s="391"/>
      <c r="V225" s="391"/>
      <c r="W225" s="392"/>
      <c r="X225" s="391"/>
      <c r="Y225" s="391"/>
      <c r="Z225" s="391"/>
      <c r="AA225" s="391"/>
      <c r="AB225" s="392"/>
      <c r="AC225" s="391"/>
      <c r="AD225" s="391"/>
      <c r="AE225" s="391"/>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row>
    <row r="226" spans="1:58" ht="15.75" customHeight="1" x14ac:dyDescent="0.2">
      <c r="A226" s="189"/>
      <c r="B226" s="189"/>
      <c r="C226" s="55"/>
      <c r="D226" s="391"/>
      <c r="E226" s="391"/>
      <c r="F226" s="391"/>
      <c r="G226" s="391"/>
      <c r="H226" s="392"/>
      <c r="I226" s="391"/>
      <c r="J226" s="391"/>
      <c r="K226" s="391"/>
      <c r="L226" s="391"/>
      <c r="M226" s="392"/>
      <c r="N226" s="391"/>
      <c r="O226" s="391"/>
      <c r="P226" s="391"/>
      <c r="Q226" s="391"/>
      <c r="R226" s="392"/>
      <c r="S226" s="391"/>
      <c r="T226" s="391"/>
      <c r="U226" s="391"/>
      <c r="V226" s="391"/>
      <c r="W226" s="392"/>
      <c r="X226" s="391"/>
      <c r="Y226" s="391"/>
      <c r="Z226" s="391"/>
      <c r="AA226" s="391"/>
      <c r="AB226" s="392"/>
      <c r="AC226" s="391"/>
      <c r="AD226" s="391"/>
      <c r="AE226" s="391"/>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row>
    <row r="227" spans="1:58" ht="15.75" customHeight="1" x14ac:dyDescent="0.2">
      <c r="A227" s="189"/>
      <c r="B227" s="189"/>
      <c r="C227" s="55"/>
      <c r="D227" s="391"/>
      <c r="E227" s="391"/>
      <c r="F227" s="391"/>
      <c r="G227" s="391"/>
      <c r="H227" s="392"/>
      <c r="I227" s="391"/>
      <c r="J227" s="391"/>
      <c r="K227" s="391"/>
      <c r="L227" s="391"/>
      <c r="M227" s="392"/>
      <c r="N227" s="391"/>
      <c r="O227" s="391"/>
      <c r="P227" s="391"/>
      <c r="Q227" s="391"/>
      <c r="R227" s="392"/>
      <c r="S227" s="391"/>
      <c r="T227" s="391"/>
      <c r="U227" s="391"/>
      <c r="V227" s="391"/>
      <c r="W227" s="392"/>
      <c r="X227" s="391"/>
      <c r="Y227" s="391"/>
      <c r="Z227" s="391"/>
      <c r="AA227" s="391"/>
      <c r="AB227" s="392"/>
      <c r="AC227" s="391"/>
      <c r="AD227" s="391"/>
      <c r="AE227" s="391"/>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row>
    <row r="228" spans="1:58" ht="15.75" customHeight="1" x14ac:dyDescent="0.2">
      <c r="A228" s="189"/>
      <c r="B228" s="189"/>
      <c r="C228" s="55"/>
      <c r="D228" s="391"/>
      <c r="E228" s="391"/>
      <c r="F228" s="391"/>
      <c r="G228" s="391"/>
      <c r="H228" s="392"/>
      <c r="I228" s="391"/>
      <c r="J228" s="391"/>
      <c r="K228" s="391"/>
      <c r="L228" s="391"/>
      <c r="M228" s="392"/>
      <c r="N228" s="391"/>
      <c r="O228" s="391"/>
      <c r="P228" s="391"/>
      <c r="Q228" s="391"/>
      <c r="R228" s="392"/>
      <c r="S228" s="391"/>
      <c r="T228" s="391"/>
      <c r="U228" s="391"/>
      <c r="V228" s="391"/>
      <c r="W228" s="392"/>
      <c r="X228" s="391"/>
      <c r="Y228" s="391"/>
      <c r="Z228" s="391"/>
      <c r="AA228" s="391"/>
      <c r="AB228" s="392"/>
      <c r="AC228" s="391"/>
      <c r="AD228" s="391"/>
      <c r="AE228" s="391"/>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row>
    <row r="229" spans="1:58" ht="15.75" customHeight="1" x14ac:dyDescent="0.2">
      <c r="A229" s="189"/>
      <c r="B229" s="189"/>
      <c r="C229" s="55"/>
      <c r="D229" s="391"/>
      <c r="E229" s="391"/>
      <c r="F229" s="391"/>
      <c r="G229" s="391"/>
      <c r="H229" s="392"/>
      <c r="I229" s="391"/>
      <c r="J229" s="391"/>
      <c r="K229" s="391"/>
      <c r="L229" s="391"/>
      <c r="M229" s="392"/>
      <c r="N229" s="391"/>
      <c r="O229" s="391"/>
      <c r="P229" s="391"/>
      <c r="Q229" s="391"/>
      <c r="R229" s="392"/>
      <c r="S229" s="391"/>
      <c r="T229" s="391"/>
      <c r="U229" s="391"/>
      <c r="V229" s="391"/>
      <c r="W229" s="392"/>
      <c r="X229" s="391"/>
      <c r="Y229" s="391"/>
      <c r="Z229" s="391"/>
      <c r="AA229" s="391"/>
      <c r="AB229" s="392"/>
      <c r="AC229" s="391"/>
      <c r="AD229" s="391"/>
      <c r="AE229" s="391"/>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c r="BD229" s="189"/>
      <c r="BE229" s="189"/>
      <c r="BF229" s="189"/>
    </row>
    <row r="230" spans="1:58" ht="15.75" customHeight="1" x14ac:dyDescent="0.2">
      <c r="A230" s="189"/>
      <c r="B230" s="189"/>
      <c r="C230" s="55"/>
      <c r="D230" s="391"/>
      <c r="E230" s="391"/>
      <c r="F230" s="391"/>
      <c r="G230" s="391"/>
      <c r="H230" s="392"/>
      <c r="I230" s="391"/>
      <c r="J230" s="391"/>
      <c r="K230" s="391"/>
      <c r="L230" s="391"/>
      <c r="M230" s="392"/>
      <c r="N230" s="391"/>
      <c r="O230" s="391"/>
      <c r="P230" s="391"/>
      <c r="Q230" s="391"/>
      <c r="R230" s="392"/>
      <c r="S230" s="391"/>
      <c r="T230" s="391"/>
      <c r="U230" s="391"/>
      <c r="V230" s="391"/>
      <c r="W230" s="392"/>
      <c r="X230" s="391"/>
      <c r="Y230" s="391"/>
      <c r="Z230" s="391"/>
      <c r="AA230" s="391"/>
      <c r="AB230" s="392"/>
      <c r="AC230" s="391"/>
      <c r="AD230" s="391"/>
      <c r="AE230" s="391"/>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c r="BD230" s="189"/>
      <c r="BE230" s="189"/>
      <c r="BF230" s="189"/>
    </row>
    <row r="231" spans="1:58" ht="15.75" customHeight="1" x14ac:dyDescent="0.2">
      <c r="A231" s="189"/>
      <c r="B231" s="189"/>
      <c r="C231" s="55"/>
      <c r="D231" s="391"/>
      <c r="E231" s="391"/>
      <c r="F231" s="391"/>
      <c r="G231" s="391"/>
      <c r="H231" s="392"/>
      <c r="I231" s="391"/>
      <c r="J231" s="391"/>
      <c r="K231" s="391"/>
      <c r="L231" s="391"/>
      <c r="M231" s="392"/>
      <c r="N231" s="391"/>
      <c r="O231" s="391"/>
      <c r="P231" s="391"/>
      <c r="Q231" s="391"/>
      <c r="R231" s="392"/>
      <c r="S231" s="391"/>
      <c r="T231" s="391"/>
      <c r="U231" s="391"/>
      <c r="V231" s="391"/>
      <c r="W231" s="392"/>
      <c r="X231" s="391"/>
      <c r="Y231" s="391"/>
      <c r="Z231" s="391"/>
      <c r="AA231" s="391"/>
      <c r="AB231" s="392"/>
      <c r="AC231" s="391"/>
      <c r="AD231" s="391"/>
      <c r="AE231" s="391"/>
      <c r="AF231" s="189"/>
      <c r="AG231" s="189"/>
      <c r="AH231" s="189"/>
      <c r="AI231" s="189"/>
      <c r="AJ231" s="189"/>
      <c r="AK231" s="189"/>
      <c r="AL231" s="189"/>
      <c r="AM231" s="189"/>
      <c r="AN231" s="189"/>
      <c r="AO231" s="189"/>
      <c r="AP231" s="189"/>
      <c r="AQ231" s="189"/>
      <c r="AR231" s="189"/>
      <c r="AS231" s="189"/>
      <c r="AT231" s="189"/>
      <c r="AU231" s="189"/>
      <c r="AV231" s="189"/>
      <c r="AW231" s="189"/>
      <c r="AX231" s="189"/>
      <c r="AY231" s="189"/>
      <c r="AZ231" s="189"/>
      <c r="BA231" s="189"/>
      <c r="BB231" s="189"/>
      <c r="BC231" s="189"/>
      <c r="BD231" s="189"/>
      <c r="BE231" s="189"/>
      <c r="BF231" s="189"/>
    </row>
    <row r="232" spans="1:58" ht="15.75" customHeight="1" x14ac:dyDescent="0.2">
      <c r="A232" s="189"/>
      <c r="B232" s="189"/>
      <c r="C232" s="55"/>
      <c r="D232" s="391"/>
      <c r="E232" s="391"/>
      <c r="F232" s="391"/>
      <c r="G232" s="391"/>
      <c r="H232" s="392"/>
      <c r="I232" s="391"/>
      <c r="J232" s="391"/>
      <c r="K232" s="391"/>
      <c r="L232" s="391"/>
      <c r="M232" s="392"/>
      <c r="N232" s="391"/>
      <c r="O232" s="391"/>
      <c r="P232" s="391"/>
      <c r="Q232" s="391"/>
      <c r="R232" s="392"/>
      <c r="S232" s="391"/>
      <c r="T232" s="391"/>
      <c r="U232" s="391"/>
      <c r="V232" s="391"/>
      <c r="W232" s="392"/>
      <c r="X232" s="391"/>
      <c r="Y232" s="391"/>
      <c r="Z232" s="391"/>
      <c r="AA232" s="391"/>
      <c r="AB232" s="392"/>
      <c r="AC232" s="391"/>
      <c r="AD232" s="391"/>
      <c r="AE232" s="391"/>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c r="BD232" s="189"/>
      <c r="BE232" s="189"/>
      <c r="BF232" s="189"/>
    </row>
    <row r="233" spans="1:58" ht="15.75" customHeight="1" x14ac:dyDescent="0.2">
      <c r="A233" s="189"/>
      <c r="B233" s="189"/>
      <c r="C233" s="55"/>
      <c r="D233" s="391"/>
      <c r="E233" s="391"/>
      <c r="F233" s="391"/>
      <c r="G233" s="391"/>
      <c r="H233" s="392"/>
      <c r="I233" s="391"/>
      <c r="J233" s="391"/>
      <c r="K233" s="391"/>
      <c r="L233" s="391"/>
      <c r="M233" s="392"/>
      <c r="N233" s="391"/>
      <c r="O233" s="391"/>
      <c r="P233" s="391"/>
      <c r="Q233" s="391"/>
      <c r="R233" s="392"/>
      <c r="S233" s="391"/>
      <c r="T233" s="391"/>
      <c r="U233" s="391"/>
      <c r="V233" s="391"/>
      <c r="W233" s="392"/>
      <c r="X233" s="391"/>
      <c r="Y233" s="391"/>
      <c r="Z233" s="391"/>
      <c r="AA233" s="391"/>
      <c r="AB233" s="392"/>
      <c r="AC233" s="391"/>
      <c r="AD233" s="391"/>
      <c r="AE233" s="391"/>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c r="BD233" s="189"/>
      <c r="BE233" s="189"/>
      <c r="BF233" s="189"/>
    </row>
    <row r="234" spans="1:58" ht="15.75" customHeight="1" x14ac:dyDescent="0.2">
      <c r="A234" s="189"/>
      <c r="B234" s="189"/>
      <c r="C234" s="55"/>
      <c r="D234" s="391"/>
      <c r="E234" s="391"/>
      <c r="F234" s="391"/>
      <c r="G234" s="391"/>
      <c r="H234" s="392"/>
      <c r="I234" s="391"/>
      <c r="J234" s="391"/>
      <c r="K234" s="391"/>
      <c r="L234" s="391"/>
      <c r="M234" s="392"/>
      <c r="N234" s="391"/>
      <c r="O234" s="391"/>
      <c r="P234" s="391"/>
      <c r="Q234" s="391"/>
      <c r="R234" s="392"/>
      <c r="S234" s="391"/>
      <c r="T234" s="391"/>
      <c r="U234" s="391"/>
      <c r="V234" s="391"/>
      <c r="W234" s="392"/>
      <c r="X234" s="391"/>
      <c r="Y234" s="391"/>
      <c r="Z234" s="391"/>
      <c r="AA234" s="391"/>
      <c r="AB234" s="392"/>
      <c r="AC234" s="391"/>
      <c r="AD234" s="391"/>
      <c r="AE234" s="391"/>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row>
    <row r="235" spans="1:58" ht="15.75" customHeight="1" x14ac:dyDescent="0.2">
      <c r="A235" s="189"/>
      <c r="B235" s="189"/>
      <c r="C235" s="55"/>
      <c r="D235" s="391"/>
      <c r="E235" s="391"/>
      <c r="F235" s="391"/>
      <c r="G235" s="391"/>
      <c r="H235" s="392"/>
      <c r="I235" s="391"/>
      <c r="J235" s="391"/>
      <c r="K235" s="391"/>
      <c r="L235" s="391"/>
      <c r="M235" s="392"/>
      <c r="N235" s="391"/>
      <c r="O235" s="391"/>
      <c r="P235" s="391"/>
      <c r="Q235" s="391"/>
      <c r="R235" s="392"/>
      <c r="S235" s="391"/>
      <c r="T235" s="391"/>
      <c r="U235" s="391"/>
      <c r="V235" s="391"/>
      <c r="W235" s="392"/>
      <c r="X235" s="391"/>
      <c r="Y235" s="391"/>
      <c r="Z235" s="391"/>
      <c r="AA235" s="391"/>
      <c r="AB235" s="392"/>
      <c r="AC235" s="391"/>
      <c r="AD235" s="391"/>
      <c r="AE235" s="391"/>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row>
    <row r="236" spans="1:58" ht="15.75" customHeight="1" x14ac:dyDescent="0.2">
      <c r="A236" s="189"/>
      <c r="B236" s="189"/>
      <c r="C236" s="55"/>
      <c r="D236" s="391"/>
      <c r="E236" s="391"/>
      <c r="F236" s="391"/>
      <c r="G236" s="391"/>
      <c r="H236" s="392"/>
      <c r="I236" s="391"/>
      <c r="J236" s="391"/>
      <c r="K236" s="391"/>
      <c r="L236" s="391"/>
      <c r="M236" s="392"/>
      <c r="N236" s="391"/>
      <c r="O236" s="391"/>
      <c r="P236" s="391"/>
      <c r="Q236" s="391"/>
      <c r="R236" s="392"/>
      <c r="S236" s="391"/>
      <c r="T236" s="391"/>
      <c r="U236" s="391"/>
      <c r="V236" s="391"/>
      <c r="W236" s="392"/>
      <c r="X236" s="391"/>
      <c r="Y236" s="391"/>
      <c r="Z236" s="391"/>
      <c r="AA236" s="391"/>
      <c r="AB236" s="392"/>
      <c r="AC236" s="391"/>
      <c r="AD236" s="391"/>
      <c r="AE236" s="391"/>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c r="BD236" s="189"/>
      <c r="BE236" s="189"/>
      <c r="BF236" s="189"/>
    </row>
    <row r="237" spans="1:58" ht="15.75" customHeight="1" x14ac:dyDescent="0.2">
      <c r="A237" s="189"/>
      <c r="B237" s="189"/>
      <c r="C237" s="55"/>
      <c r="D237" s="391"/>
      <c r="E237" s="391"/>
      <c r="F237" s="391"/>
      <c r="G237" s="391"/>
      <c r="H237" s="392"/>
      <c r="I237" s="391"/>
      <c r="J237" s="391"/>
      <c r="K237" s="391"/>
      <c r="L237" s="391"/>
      <c r="M237" s="392"/>
      <c r="N237" s="391"/>
      <c r="O237" s="391"/>
      <c r="P237" s="391"/>
      <c r="Q237" s="391"/>
      <c r="R237" s="392"/>
      <c r="S237" s="391"/>
      <c r="T237" s="391"/>
      <c r="U237" s="391"/>
      <c r="V237" s="391"/>
      <c r="W237" s="392"/>
      <c r="X237" s="391"/>
      <c r="Y237" s="391"/>
      <c r="Z237" s="391"/>
      <c r="AA237" s="391"/>
      <c r="AB237" s="392"/>
      <c r="AC237" s="391"/>
      <c r="AD237" s="391"/>
      <c r="AE237" s="391"/>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row>
    <row r="238" spans="1:58" ht="15.75" customHeight="1" x14ac:dyDescent="0.2">
      <c r="A238" s="189"/>
      <c r="B238" s="189"/>
      <c r="C238" s="55"/>
      <c r="D238" s="391"/>
      <c r="E238" s="391"/>
      <c r="F238" s="391"/>
      <c r="G238" s="391"/>
      <c r="H238" s="392"/>
      <c r="I238" s="391"/>
      <c r="J238" s="391"/>
      <c r="K238" s="391"/>
      <c r="L238" s="391"/>
      <c r="M238" s="392"/>
      <c r="N238" s="391"/>
      <c r="O238" s="391"/>
      <c r="P238" s="391"/>
      <c r="Q238" s="391"/>
      <c r="R238" s="392"/>
      <c r="S238" s="391"/>
      <c r="T238" s="391"/>
      <c r="U238" s="391"/>
      <c r="V238" s="391"/>
      <c r="W238" s="392"/>
      <c r="X238" s="391"/>
      <c r="Y238" s="391"/>
      <c r="Z238" s="391"/>
      <c r="AA238" s="391"/>
      <c r="AB238" s="392"/>
      <c r="AC238" s="391"/>
      <c r="AD238" s="391"/>
      <c r="AE238" s="391"/>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row>
    <row r="239" spans="1:58" ht="15.75" customHeight="1" x14ac:dyDescent="0.2">
      <c r="A239" s="189"/>
      <c r="B239" s="189"/>
      <c r="C239" s="55"/>
      <c r="D239" s="391"/>
      <c r="E239" s="391"/>
      <c r="F239" s="391"/>
      <c r="G239" s="391"/>
      <c r="H239" s="392"/>
      <c r="I239" s="391"/>
      <c r="J239" s="391"/>
      <c r="K239" s="391"/>
      <c r="L239" s="391"/>
      <c r="M239" s="392"/>
      <c r="N239" s="391"/>
      <c r="O239" s="391"/>
      <c r="P239" s="391"/>
      <c r="Q239" s="391"/>
      <c r="R239" s="392"/>
      <c r="S239" s="391"/>
      <c r="T239" s="391"/>
      <c r="U239" s="391"/>
      <c r="V239" s="391"/>
      <c r="W239" s="392"/>
      <c r="X239" s="391"/>
      <c r="Y239" s="391"/>
      <c r="Z239" s="391"/>
      <c r="AA239" s="391"/>
      <c r="AB239" s="392"/>
      <c r="AC239" s="391"/>
      <c r="AD239" s="391"/>
      <c r="AE239" s="391"/>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c r="BD239" s="189"/>
      <c r="BE239" s="189"/>
      <c r="BF239" s="189"/>
    </row>
    <row r="240" spans="1:58" ht="15.75" customHeight="1" x14ac:dyDescent="0.2">
      <c r="A240" s="189"/>
      <c r="B240" s="189"/>
      <c r="C240" s="55"/>
      <c r="D240" s="391"/>
      <c r="E240" s="391"/>
      <c r="F240" s="391"/>
      <c r="G240" s="391"/>
      <c r="H240" s="392"/>
      <c r="I240" s="391"/>
      <c r="J240" s="391"/>
      <c r="K240" s="391"/>
      <c r="L240" s="391"/>
      <c r="M240" s="392"/>
      <c r="N240" s="391"/>
      <c r="O240" s="391"/>
      <c r="P240" s="391"/>
      <c r="Q240" s="391"/>
      <c r="R240" s="392"/>
      <c r="S240" s="391"/>
      <c r="T240" s="391"/>
      <c r="U240" s="391"/>
      <c r="V240" s="391"/>
      <c r="W240" s="392"/>
      <c r="X240" s="391"/>
      <c r="Y240" s="391"/>
      <c r="Z240" s="391"/>
      <c r="AA240" s="391"/>
      <c r="AB240" s="392"/>
      <c r="AC240" s="391"/>
      <c r="AD240" s="391"/>
      <c r="AE240" s="391"/>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c r="BD240" s="189"/>
      <c r="BE240" s="189"/>
      <c r="BF240" s="189"/>
    </row>
    <row r="241" spans="1:58" ht="15.75" customHeight="1" x14ac:dyDescent="0.2">
      <c r="A241" s="189"/>
      <c r="B241" s="189"/>
      <c r="C241" s="55"/>
      <c r="D241" s="391"/>
      <c r="E241" s="391"/>
      <c r="F241" s="391"/>
      <c r="G241" s="391"/>
      <c r="H241" s="392"/>
      <c r="I241" s="391"/>
      <c r="J241" s="391"/>
      <c r="K241" s="391"/>
      <c r="L241" s="391"/>
      <c r="M241" s="392"/>
      <c r="N241" s="391"/>
      <c r="O241" s="391"/>
      <c r="P241" s="391"/>
      <c r="Q241" s="391"/>
      <c r="R241" s="392"/>
      <c r="S241" s="391"/>
      <c r="T241" s="391"/>
      <c r="U241" s="391"/>
      <c r="V241" s="391"/>
      <c r="W241" s="392"/>
      <c r="X241" s="391"/>
      <c r="Y241" s="391"/>
      <c r="Z241" s="391"/>
      <c r="AA241" s="391"/>
      <c r="AB241" s="392"/>
      <c r="AC241" s="391"/>
      <c r="AD241" s="391"/>
      <c r="AE241" s="391"/>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row>
    <row r="242" spans="1:58" ht="15.75" customHeight="1" x14ac:dyDescent="0.2">
      <c r="A242" s="189"/>
      <c r="B242" s="189"/>
      <c r="C242" s="55"/>
      <c r="D242" s="391"/>
      <c r="E242" s="391"/>
      <c r="F242" s="391"/>
      <c r="G242" s="391"/>
      <c r="H242" s="392"/>
      <c r="I242" s="391"/>
      <c r="J242" s="391"/>
      <c r="K242" s="391"/>
      <c r="L242" s="391"/>
      <c r="M242" s="392"/>
      <c r="N242" s="391"/>
      <c r="O242" s="391"/>
      <c r="P242" s="391"/>
      <c r="Q242" s="391"/>
      <c r="R242" s="392"/>
      <c r="S242" s="391"/>
      <c r="T242" s="391"/>
      <c r="U242" s="391"/>
      <c r="V242" s="391"/>
      <c r="W242" s="392"/>
      <c r="X242" s="391"/>
      <c r="Y242" s="391"/>
      <c r="Z242" s="391"/>
      <c r="AA242" s="391"/>
      <c r="AB242" s="392"/>
      <c r="AC242" s="391"/>
      <c r="AD242" s="391"/>
      <c r="AE242" s="391"/>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row>
    <row r="243" spans="1:58" ht="15.75" customHeight="1" x14ac:dyDescent="0.2">
      <c r="A243" s="189"/>
      <c r="B243" s="189"/>
      <c r="C243" s="55"/>
      <c r="D243" s="391"/>
      <c r="E243" s="391"/>
      <c r="F243" s="391"/>
      <c r="G243" s="391"/>
      <c r="H243" s="392"/>
      <c r="I243" s="391"/>
      <c r="J243" s="391"/>
      <c r="K243" s="391"/>
      <c r="L243" s="391"/>
      <c r="M243" s="392"/>
      <c r="N243" s="391"/>
      <c r="O243" s="391"/>
      <c r="P243" s="391"/>
      <c r="Q243" s="391"/>
      <c r="R243" s="392"/>
      <c r="S243" s="391"/>
      <c r="T243" s="391"/>
      <c r="U243" s="391"/>
      <c r="V243" s="391"/>
      <c r="W243" s="392"/>
      <c r="X243" s="391"/>
      <c r="Y243" s="391"/>
      <c r="Z243" s="391"/>
      <c r="AA243" s="391"/>
      <c r="AB243" s="392"/>
      <c r="AC243" s="391"/>
      <c r="AD243" s="391"/>
      <c r="AE243" s="391"/>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c r="BD243" s="189"/>
      <c r="BE243" s="189"/>
      <c r="BF243" s="189"/>
    </row>
    <row r="244" spans="1:58" ht="15.75" customHeight="1" x14ac:dyDescent="0.2">
      <c r="A244" s="189"/>
      <c r="B244" s="189"/>
      <c r="C244" s="55"/>
      <c r="D244" s="391"/>
      <c r="E244" s="391"/>
      <c r="F244" s="391"/>
      <c r="G244" s="391"/>
      <c r="H244" s="392"/>
      <c r="I244" s="391"/>
      <c r="J244" s="391"/>
      <c r="K244" s="391"/>
      <c r="L244" s="391"/>
      <c r="M244" s="392"/>
      <c r="N244" s="391"/>
      <c r="O244" s="391"/>
      <c r="P244" s="391"/>
      <c r="Q244" s="391"/>
      <c r="R244" s="392"/>
      <c r="S244" s="391"/>
      <c r="T244" s="391"/>
      <c r="U244" s="391"/>
      <c r="V244" s="391"/>
      <c r="W244" s="392"/>
      <c r="X244" s="391"/>
      <c r="Y244" s="391"/>
      <c r="Z244" s="391"/>
      <c r="AA244" s="391"/>
      <c r="AB244" s="392"/>
      <c r="AC244" s="391"/>
      <c r="AD244" s="391"/>
      <c r="AE244" s="391"/>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189"/>
      <c r="BC244" s="189"/>
      <c r="BD244" s="189"/>
      <c r="BE244" s="189"/>
      <c r="BF244" s="189"/>
    </row>
    <row r="245" spans="1:58" ht="15.75" customHeight="1" x14ac:dyDescent="0.2">
      <c r="A245" s="189"/>
      <c r="B245" s="189"/>
      <c r="C245" s="55"/>
      <c r="D245" s="391"/>
      <c r="E245" s="391"/>
      <c r="F245" s="391"/>
      <c r="G245" s="391"/>
      <c r="H245" s="392"/>
      <c r="I245" s="391"/>
      <c r="J245" s="391"/>
      <c r="K245" s="391"/>
      <c r="L245" s="391"/>
      <c r="M245" s="392"/>
      <c r="N245" s="391"/>
      <c r="O245" s="391"/>
      <c r="P245" s="391"/>
      <c r="Q245" s="391"/>
      <c r="R245" s="392"/>
      <c r="S245" s="391"/>
      <c r="T245" s="391"/>
      <c r="U245" s="391"/>
      <c r="V245" s="391"/>
      <c r="W245" s="392"/>
      <c r="X245" s="391"/>
      <c r="Y245" s="391"/>
      <c r="Z245" s="391"/>
      <c r="AA245" s="391"/>
      <c r="AB245" s="392"/>
      <c r="AC245" s="391"/>
      <c r="AD245" s="391"/>
      <c r="AE245" s="391"/>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row>
    <row r="246" spans="1:58" ht="15.75" customHeight="1" x14ac:dyDescent="0.2">
      <c r="A246" s="189"/>
      <c r="B246" s="189"/>
      <c r="C246" s="55"/>
      <c r="D246" s="391"/>
      <c r="E246" s="391"/>
      <c r="F246" s="391"/>
      <c r="G246" s="391"/>
      <c r="H246" s="392"/>
      <c r="I246" s="391"/>
      <c r="J246" s="391"/>
      <c r="K246" s="391"/>
      <c r="L246" s="391"/>
      <c r="M246" s="392"/>
      <c r="N246" s="391"/>
      <c r="O246" s="391"/>
      <c r="P246" s="391"/>
      <c r="Q246" s="391"/>
      <c r="R246" s="392"/>
      <c r="S246" s="391"/>
      <c r="T246" s="391"/>
      <c r="U246" s="391"/>
      <c r="V246" s="391"/>
      <c r="W246" s="392"/>
      <c r="X246" s="391"/>
      <c r="Y246" s="391"/>
      <c r="Z246" s="391"/>
      <c r="AA246" s="391"/>
      <c r="AB246" s="392"/>
      <c r="AC246" s="391"/>
      <c r="AD246" s="391"/>
      <c r="AE246" s="391"/>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row>
    <row r="247" spans="1:58" ht="15.75" customHeight="1" x14ac:dyDescent="0.2">
      <c r="A247" s="189"/>
      <c r="B247" s="189"/>
      <c r="C247" s="55"/>
      <c r="D247" s="391"/>
      <c r="E247" s="391"/>
      <c r="F247" s="391"/>
      <c r="G247" s="391"/>
      <c r="H247" s="392"/>
      <c r="I247" s="391"/>
      <c r="J247" s="391"/>
      <c r="K247" s="391"/>
      <c r="L247" s="391"/>
      <c r="M247" s="392"/>
      <c r="N247" s="391"/>
      <c r="O247" s="391"/>
      <c r="P247" s="391"/>
      <c r="Q247" s="391"/>
      <c r="R247" s="392"/>
      <c r="S247" s="391"/>
      <c r="T247" s="391"/>
      <c r="U247" s="391"/>
      <c r="V247" s="391"/>
      <c r="W247" s="392"/>
      <c r="X247" s="391"/>
      <c r="Y247" s="391"/>
      <c r="Z247" s="391"/>
      <c r="AA247" s="391"/>
      <c r="AB247" s="392"/>
      <c r="AC247" s="391"/>
      <c r="AD247" s="391"/>
      <c r="AE247" s="391"/>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189"/>
      <c r="BC247" s="189"/>
      <c r="BD247" s="189"/>
      <c r="BE247" s="189"/>
      <c r="BF247" s="189"/>
    </row>
    <row r="248" spans="1:58" ht="15.75" customHeight="1" x14ac:dyDescent="0.2">
      <c r="A248" s="189"/>
      <c r="B248" s="189"/>
      <c r="C248" s="55"/>
      <c r="D248" s="391"/>
      <c r="E248" s="391"/>
      <c r="F248" s="391"/>
      <c r="G248" s="391"/>
      <c r="H248" s="392"/>
      <c r="I248" s="391"/>
      <c r="J248" s="391"/>
      <c r="K248" s="391"/>
      <c r="L248" s="391"/>
      <c r="M248" s="392"/>
      <c r="N248" s="391"/>
      <c r="O248" s="391"/>
      <c r="P248" s="391"/>
      <c r="Q248" s="391"/>
      <c r="R248" s="392"/>
      <c r="S248" s="391"/>
      <c r="T248" s="391"/>
      <c r="U248" s="391"/>
      <c r="V248" s="391"/>
      <c r="W248" s="392"/>
      <c r="X248" s="391"/>
      <c r="Y248" s="391"/>
      <c r="Z248" s="391"/>
      <c r="AA248" s="391"/>
      <c r="AB248" s="392"/>
      <c r="AC248" s="391"/>
      <c r="AD248" s="391"/>
      <c r="AE248" s="391"/>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c r="BD248" s="189"/>
      <c r="BE248" s="189"/>
      <c r="BF248" s="189"/>
    </row>
    <row r="249" spans="1:58" ht="15.75" customHeight="1" x14ac:dyDescent="0.2">
      <c r="A249" s="189"/>
      <c r="B249" s="189"/>
      <c r="C249" s="55"/>
      <c r="D249" s="391"/>
      <c r="E249" s="391"/>
      <c r="F249" s="391"/>
      <c r="G249" s="391"/>
      <c r="H249" s="392"/>
      <c r="I249" s="391"/>
      <c r="J249" s="391"/>
      <c r="K249" s="391"/>
      <c r="L249" s="391"/>
      <c r="M249" s="392"/>
      <c r="N249" s="391"/>
      <c r="O249" s="391"/>
      <c r="P249" s="391"/>
      <c r="Q249" s="391"/>
      <c r="R249" s="392"/>
      <c r="S249" s="391"/>
      <c r="T249" s="391"/>
      <c r="U249" s="391"/>
      <c r="V249" s="391"/>
      <c r="W249" s="392"/>
      <c r="X249" s="391"/>
      <c r="Y249" s="391"/>
      <c r="Z249" s="391"/>
      <c r="AA249" s="391"/>
      <c r="AB249" s="392"/>
      <c r="AC249" s="391"/>
      <c r="AD249" s="391"/>
      <c r="AE249" s="391"/>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row>
    <row r="250" spans="1:58" ht="15.75" customHeight="1" x14ac:dyDescent="0.2">
      <c r="A250" s="189"/>
      <c r="B250" s="189"/>
      <c r="C250" s="55"/>
      <c r="D250" s="391"/>
      <c r="E250" s="391"/>
      <c r="F250" s="391"/>
      <c r="G250" s="391"/>
      <c r="H250" s="392"/>
      <c r="I250" s="391"/>
      <c r="J250" s="391"/>
      <c r="K250" s="391"/>
      <c r="L250" s="391"/>
      <c r="M250" s="392"/>
      <c r="N250" s="391"/>
      <c r="O250" s="391"/>
      <c r="P250" s="391"/>
      <c r="Q250" s="391"/>
      <c r="R250" s="392"/>
      <c r="S250" s="391"/>
      <c r="T250" s="391"/>
      <c r="U250" s="391"/>
      <c r="V250" s="391"/>
      <c r="W250" s="392"/>
      <c r="X250" s="391"/>
      <c r="Y250" s="391"/>
      <c r="Z250" s="391"/>
      <c r="AA250" s="391"/>
      <c r="AB250" s="392"/>
      <c r="AC250" s="391"/>
      <c r="AD250" s="391"/>
      <c r="AE250" s="391"/>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89"/>
      <c r="BC250" s="189"/>
      <c r="BD250" s="189"/>
      <c r="BE250" s="189"/>
      <c r="BF250" s="189"/>
    </row>
    <row r="251" spans="1:58" ht="15.75" customHeight="1" x14ac:dyDescent="0.2">
      <c r="A251" s="189"/>
      <c r="B251" s="189"/>
      <c r="C251" s="55"/>
      <c r="D251" s="391"/>
      <c r="E251" s="391"/>
      <c r="F251" s="391"/>
      <c r="G251" s="391"/>
      <c r="H251" s="392"/>
      <c r="I251" s="391"/>
      <c r="J251" s="391"/>
      <c r="K251" s="391"/>
      <c r="L251" s="391"/>
      <c r="M251" s="392"/>
      <c r="N251" s="391"/>
      <c r="O251" s="391"/>
      <c r="P251" s="391"/>
      <c r="Q251" s="391"/>
      <c r="R251" s="392"/>
      <c r="S251" s="391"/>
      <c r="T251" s="391"/>
      <c r="U251" s="391"/>
      <c r="V251" s="391"/>
      <c r="W251" s="392"/>
      <c r="X251" s="391"/>
      <c r="Y251" s="391"/>
      <c r="Z251" s="391"/>
      <c r="AA251" s="391"/>
      <c r="AB251" s="392"/>
      <c r="AC251" s="391"/>
      <c r="AD251" s="391"/>
      <c r="AE251" s="391"/>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c r="BD251" s="189"/>
      <c r="BE251" s="189"/>
      <c r="BF251" s="189"/>
    </row>
    <row r="252" spans="1:58" ht="15.75" customHeight="1" x14ac:dyDescent="0.2">
      <c r="A252" s="189"/>
      <c r="B252" s="189"/>
      <c r="C252" s="55"/>
      <c r="D252" s="391"/>
      <c r="E252" s="391"/>
      <c r="F252" s="391"/>
      <c r="G252" s="391"/>
      <c r="H252" s="392"/>
      <c r="I252" s="391"/>
      <c r="J252" s="391"/>
      <c r="K252" s="391"/>
      <c r="L252" s="391"/>
      <c r="M252" s="392"/>
      <c r="N252" s="391"/>
      <c r="O252" s="391"/>
      <c r="P252" s="391"/>
      <c r="Q252" s="391"/>
      <c r="R252" s="392"/>
      <c r="S252" s="391"/>
      <c r="T252" s="391"/>
      <c r="U252" s="391"/>
      <c r="V252" s="391"/>
      <c r="W252" s="392"/>
      <c r="X252" s="391"/>
      <c r="Y252" s="391"/>
      <c r="Z252" s="391"/>
      <c r="AA252" s="391"/>
      <c r="AB252" s="392"/>
      <c r="AC252" s="391"/>
      <c r="AD252" s="391"/>
      <c r="AE252" s="391"/>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row>
    <row r="253" spans="1:58" ht="15.75" customHeight="1" x14ac:dyDescent="0.2">
      <c r="A253" s="189"/>
      <c r="B253" s="189"/>
      <c r="C253" s="55"/>
      <c r="D253" s="391"/>
      <c r="E253" s="391"/>
      <c r="F253" s="391"/>
      <c r="G253" s="391"/>
      <c r="H253" s="392"/>
      <c r="I253" s="391"/>
      <c r="J253" s="391"/>
      <c r="K253" s="391"/>
      <c r="L253" s="391"/>
      <c r="M253" s="392"/>
      <c r="N253" s="391"/>
      <c r="O253" s="391"/>
      <c r="P253" s="391"/>
      <c r="Q253" s="391"/>
      <c r="R253" s="392"/>
      <c r="S253" s="391"/>
      <c r="T253" s="391"/>
      <c r="U253" s="391"/>
      <c r="V253" s="391"/>
      <c r="W253" s="392"/>
      <c r="X253" s="391"/>
      <c r="Y253" s="391"/>
      <c r="Z253" s="391"/>
      <c r="AA253" s="391"/>
      <c r="AB253" s="392"/>
      <c r="AC253" s="391"/>
      <c r="AD253" s="391"/>
      <c r="AE253" s="391"/>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row>
    <row r="254" spans="1:58" ht="15.75" customHeight="1" x14ac:dyDescent="0.2">
      <c r="A254" s="189"/>
      <c r="B254" s="189"/>
      <c r="C254" s="55"/>
      <c r="D254" s="391"/>
      <c r="E254" s="391"/>
      <c r="F254" s="391"/>
      <c r="G254" s="391"/>
      <c r="H254" s="392"/>
      <c r="I254" s="391"/>
      <c r="J254" s="391"/>
      <c r="K254" s="391"/>
      <c r="L254" s="391"/>
      <c r="M254" s="392"/>
      <c r="N254" s="391"/>
      <c r="O254" s="391"/>
      <c r="P254" s="391"/>
      <c r="Q254" s="391"/>
      <c r="R254" s="392"/>
      <c r="S254" s="391"/>
      <c r="T254" s="391"/>
      <c r="U254" s="391"/>
      <c r="V254" s="391"/>
      <c r="W254" s="392"/>
      <c r="X254" s="391"/>
      <c r="Y254" s="391"/>
      <c r="Z254" s="391"/>
      <c r="AA254" s="391"/>
      <c r="AB254" s="392"/>
      <c r="AC254" s="391"/>
      <c r="AD254" s="391"/>
      <c r="AE254" s="391"/>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c r="BC254" s="189"/>
      <c r="BD254" s="189"/>
      <c r="BE254" s="189"/>
      <c r="BF254" s="189"/>
    </row>
    <row r="255" spans="1:58" ht="15.75" customHeight="1" x14ac:dyDescent="0.2">
      <c r="A255" s="189"/>
      <c r="B255" s="189"/>
      <c r="C255" s="55"/>
      <c r="D255" s="391"/>
      <c r="E255" s="391"/>
      <c r="F255" s="391"/>
      <c r="G255" s="391"/>
      <c r="H255" s="392"/>
      <c r="I255" s="391"/>
      <c r="J255" s="391"/>
      <c r="K255" s="391"/>
      <c r="L255" s="391"/>
      <c r="M255" s="392"/>
      <c r="N255" s="391"/>
      <c r="O255" s="391"/>
      <c r="P255" s="391"/>
      <c r="Q255" s="391"/>
      <c r="R255" s="392"/>
      <c r="S255" s="391"/>
      <c r="T255" s="391"/>
      <c r="U255" s="391"/>
      <c r="V255" s="391"/>
      <c r="W255" s="392"/>
      <c r="X255" s="391"/>
      <c r="Y255" s="391"/>
      <c r="Z255" s="391"/>
      <c r="AA255" s="391"/>
      <c r="AB255" s="392"/>
      <c r="AC255" s="391"/>
      <c r="AD255" s="391"/>
      <c r="AE255" s="391"/>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c r="BD255" s="189"/>
      <c r="BE255" s="189"/>
      <c r="BF255" s="189"/>
    </row>
    <row r="256" spans="1:58" ht="15.75" customHeight="1" x14ac:dyDescent="0.2">
      <c r="A256" s="189"/>
      <c r="B256" s="189"/>
      <c r="C256" s="55"/>
      <c r="D256" s="391"/>
      <c r="E256" s="391"/>
      <c r="F256" s="391"/>
      <c r="G256" s="391"/>
      <c r="H256" s="392"/>
      <c r="I256" s="391"/>
      <c r="J256" s="391"/>
      <c r="K256" s="391"/>
      <c r="L256" s="391"/>
      <c r="M256" s="392"/>
      <c r="N256" s="391"/>
      <c r="O256" s="391"/>
      <c r="P256" s="391"/>
      <c r="Q256" s="391"/>
      <c r="R256" s="392"/>
      <c r="S256" s="391"/>
      <c r="T256" s="391"/>
      <c r="U256" s="391"/>
      <c r="V256" s="391"/>
      <c r="W256" s="392"/>
      <c r="X256" s="391"/>
      <c r="Y256" s="391"/>
      <c r="Z256" s="391"/>
      <c r="AA256" s="391"/>
      <c r="AB256" s="392"/>
      <c r="AC256" s="391"/>
      <c r="AD256" s="391"/>
      <c r="AE256" s="391"/>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c r="BD256" s="189"/>
      <c r="BE256" s="189"/>
      <c r="BF256" s="189"/>
    </row>
    <row r="257" spans="1:58" ht="15.75" customHeight="1" x14ac:dyDescent="0.2">
      <c r="A257" s="189"/>
      <c r="B257" s="189"/>
      <c r="C257" s="55"/>
      <c r="D257" s="391"/>
      <c r="E257" s="391"/>
      <c r="F257" s="391"/>
      <c r="G257" s="391"/>
      <c r="H257" s="392"/>
      <c r="I257" s="391"/>
      <c r="J257" s="391"/>
      <c r="K257" s="391"/>
      <c r="L257" s="391"/>
      <c r="M257" s="392"/>
      <c r="N257" s="391"/>
      <c r="O257" s="391"/>
      <c r="P257" s="391"/>
      <c r="Q257" s="391"/>
      <c r="R257" s="392"/>
      <c r="S257" s="391"/>
      <c r="T257" s="391"/>
      <c r="U257" s="391"/>
      <c r="V257" s="391"/>
      <c r="W257" s="392"/>
      <c r="X257" s="391"/>
      <c r="Y257" s="391"/>
      <c r="Z257" s="391"/>
      <c r="AA257" s="391"/>
      <c r="AB257" s="392"/>
      <c r="AC257" s="391"/>
      <c r="AD257" s="391"/>
      <c r="AE257" s="391"/>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row>
    <row r="258" spans="1:58" ht="15.75" customHeight="1" x14ac:dyDescent="0.2">
      <c r="A258" s="189"/>
      <c r="B258" s="189"/>
      <c r="C258" s="55"/>
      <c r="D258" s="391"/>
      <c r="E258" s="391"/>
      <c r="F258" s="391"/>
      <c r="G258" s="391"/>
      <c r="H258" s="392"/>
      <c r="I258" s="391"/>
      <c r="J258" s="391"/>
      <c r="K258" s="391"/>
      <c r="L258" s="391"/>
      <c r="M258" s="392"/>
      <c r="N258" s="391"/>
      <c r="O258" s="391"/>
      <c r="P258" s="391"/>
      <c r="Q258" s="391"/>
      <c r="R258" s="392"/>
      <c r="S258" s="391"/>
      <c r="T258" s="391"/>
      <c r="U258" s="391"/>
      <c r="V258" s="391"/>
      <c r="W258" s="392"/>
      <c r="X258" s="391"/>
      <c r="Y258" s="391"/>
      <c r="Z258" s="391"/>
      <c r="AA258" s="391"/>
      <c r="AB258" s="392"/>
      <c r="AC258" s="391"/>
      <c r="AD258" s="391"/>
      <c r="AE258" s="391"/>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89"/>
      <c r="BC258" s="189"/>
      <c r="BD258" s="189"/>
      <c r="BE258" s="189"/>
      <c r="BF258" s="189"/>
    </row>
    <row r="259" spans="1:58" ht="15.75" customHeight="1" x14ac:dyDescent="0.2">
      <c r="A259" s="189"/>
      <c r="B259" s="189"/>
      <c r="C259" s="55"/>
      <c r="D259" s="391"/>
      <c r="E259" s="391"/>
      <c r="F259" s="391"/>
      <c r="G259" s="391"/>
      <c r="H259" s="392"/>
      <c r="I259" s="391"/>
      <c r="J259" s="391"/>
      <c r="K259" s="391"/>
      <c r="L259" s="391"/>
      <c r="M259" s="392"/>
      <c r="N259" s="391"/>
      <c r="O259" s="391"/>
      <c r="P259" s="391"/>
      <c r="Q259" s="391"/>
      <c r="R259" s="392"/>
      <c r="S259" s="391"/>
      <c r="T259" s="391"/>
      <c r="U259" s="391"/>
      <c r="V259" s="391"/>
      <c r="W259" s="392"/>
      <c r="X259" s="391"/>
      <c r="Y259" s="391"/>
      <c r="Z259" s="391"/>
      <c r="AA259" s="391"/>
      <c r="AB259" s="392"/>
      <c r="AC259" s="391"/>
      <c r="AD259" s="391"/>
      <c r="AE259" s="391"/>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c r="BD259" s="189"/>
      <c r="BE259" s="189"/>
      <c r="BF259" s="189"/>
    </row>
    <row r="260" spans="1:58" ht="15.75" customHeight="1" x14ac:dyDescent="0.2">
      <c r="A260" s="189"/>
      <c r="B260" s="189"/>
      <c r="C260" s="55"/>
      <c r="D260" s="391"/>
      <c r="E260" s="391"/>
      <c r="F260" s="391"/>
      <c r="G260" s="391"/>
      <c r="H260" s="392"/>
      <c r="I260" s="391"/>
      <c r="J260" s="391"/>
      <c r="K260" s="391"/>
      <c r="L260" s="391"/>
      <c r="M260" s="392"/>
      <c r="N260" s="391"/>
      <c r="O260" s="391"/>
      <c r="P260" s="391"/>
      <c r="Q260" s="391"/>
      <c r="R260" s="392"/>
      <c r="S260" s="391"/>
      <c r="T260" s="391"/>
      <c r="U260" s="391"/>
      <c r="V260" s="391"/>
      <c r="W260" s="392"/>
      <c r="X260" s="391"/>
      <c r="Y260" s="391"/>
      <c r="Z260" s="391"/>
      <c r="AA260" s="391"/>
      <c r="AB260" s="392"/>
      <c r="AC260" s="391"/>
      <c r="AD260" s="391"/>
      <c r="AE260" s="391"/>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row>
    <row r="261" spans="1:58" ht="15.75" customHeight="1" x14ac:dyDescent="0.2">
      <c r="A261" s="189"/>
      <c r="B261" s="189"/>
      <c r="C261" s="55"/>
      <c r="D261" s="391"/>
      <c r="E261" s="391"/>
      <c r="F261" s="391"/>
      <c r="G261" s="391"/>
      <c r="H261" s="392"/>
      <c r="I261" s="391"/>
      <c r="J261" s="391"/>
      <c r="K261" s="391"/>
      <c r="L261" s="391"/>
      <c r="M261" s="392"/>
      <c r="N261" s="391"/>
      <c r="O261" s="391"/>
      <c r="P261" s="391"/>
      <c r="Q261" s="391"/>
      <c r="R261" s="392"/>
      <c r="S261" s="391"/>
      <c r="T261" s="391"/>
      <c r="U261" s="391"/>
      <c r="V261" s="391"/>
      <c r="W261" s="392"/>
      <c r="X261" s="391"/>
      <c r="Y261" s="391"/>
      <c r="Z261" s="391"/>
      <c r="AA261" s="391"/>
      <c r="AB261" s="392"/>
      <c r="AC261" s="391"/>
      <c r="AD261" s="391"/>
      <c r="AE261" s="391"/>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c r="BB261" s="189"/>
      <c r="BC261" s="189"/>
      <c r="BD261" s="189"/>
      <c r="BE261" s="189"/>
      <c r="BF261" s="189"/>
    </row>
    <row r="262" spans="1:58" ht="15.75" customHeight="1" x14ac:dyDescent="0.2">
      <c r="A262" s="189"/>
      <c r="B262" s="189"/>
      <c r="C262" s="55"/>
      <c r="D262" s="391"/>
      <c r="E262" s="391"/>
      <c r="F262" s="391"/>
      <c r="G262" s="391"/>
      <c r="H262" s="392"/>
      <c r="I262" s="391"/>
      <c r="J262" s="391"/>
      <c r="K262" s="391"/>
      <c r="L262" s="391"/>
      <c r="M262" s="392"/>
      <c r="N262" s="391"/>
      <c r="O262" s="391"/>
      <c r="P262" s="391"/>
      <c r="Q262" s="391"/>
      <c r="R262" s="392"/>
      <c r="S262" s="391"/>
      <c r="T262" s="391"/>
      <c r="U262" s="391"/>
      <c r="V262" s="391"/>
      <c r="W262" s="392"/>
      <c r="X262" s="391"/>
      <c r="Y262" s="391"/>
      <c r="Z262" s="391"/>
      <c r="AA262" s="391"/>
      <c r="AB262" s="392"/>
      <c r="AC262" s="391"/>
      <c r="AD262" s="391"/>
      <c r="AE262" s="391"/>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row>
    <row r="263" spans="1:58" ht="15.75" customHeight="1" x14ac:dyDescent="0.2">
      <c r="A263" s="189"/>
      <c r="B263" s="189"/>
      <c r="C263" s="55"/>
      <c r="D263" s="391"/>
      <c r="E263" s="391"/>
      <c r="F263" s="391"/>
      <c r="G263" s="391"/>
      <c r="H263" s="392"/>
      <c r="I263" s="391"/>
      <c r="J263" s="391"/>
      <c r="K263" s="391"/>
      <c r="L263" s="391"/>
      <c r="M263" s="392"/>
      <c r="N263" s="391"/>
      <c r="O263" s="391"/>
      <c r="P263" s="391"/>
      <c r="Q263" s="391"/>
      <c r="R263" s="392"/>
      <c r="S263" s="391"/>
      <c r="T263" s="391"/>
      <c r="U263" s="391"/>
      <c r="V263" s="391"/>
      <c r="W263" s="392"/>
      <c r="X263" s="391"/>
      <c r="Y263" s="391"/>
      <c r="Z263" s="391"/>
      <c r="AA263" s="391"/>
      <c r="AB263" s="392"/>
      <c r="AC263" s="391"/>
      <c r="AD263" s="391"/>
      <c r="AE263" s="391"/>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c r="BB263" s="189"/>
      <c r="BC263" s="189"/>
      <c r="BD263" s="189"/>
      <c r="BE263" s="189"/>
      <c r="BF263" s="189"/>
    </row>
    <row r="264" spans="1:58" ht="15.75" customHeight="1" x14ac:dyDescent="0.2">
      <c r="A264" s="189"/>
      <c r="B264" s="189"/>
      <c r="C264" s="55"/>
      <c r="D264" s="391"/>
      <c r="E264" s="391"/>
      <c r="F264" s="391"/>
      <c r="G264" s="391"/>
      <c r="H264" s="392"/>
      <c r="I264" s="391"/>
      <c r="J264" s="391"/>
      <c r="K264" s="391"/>
      <c r="L264" s="391"/>
      <c r="M264" s="392"/>
      <c r="N264" s="391"/>
      <c r="O264" s="391"/>
      <c r="P264" s="391"/>
      <c r="Q264" s="391"/>
      <c r="R264" s="392"/>
      <c r="S264" s="391"/>
      <c r="T264" s="391"/>
      <c r="U264" s="391"/>
      <c r="V264" s="391"/>
      <c r="W264" s="392"/>
      <c r="X264" s="391"/>
      <c r="Y264" s="391"/>
      <c r="Z264" s="391"/>
      <c r="AA264" s="391"/>
      <c r="AB264" s="392"/>
      <c r="AC264" s="391"/>
      <c r="AD264" s="391"/>
      <c r="AE264" s="391"/>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row>
    <row r="265" spans="1:58" ht="15.75" customHeight="1" x14ac:dyDescent="0.2">
      <c r="A265" s="189"/>
      <c r="B265" s="189"/>
      <c r="C265" s="55"/>
      <c r="D265" s="391"/>
      <c r="E265" s="391"/>
      <c r="F265" s="391"/>
      <c r="G265" s="391"/>
      <c r="H265" s="392"/>
      <c r="I265" s="391"/>
      <c r="J265" s="391"/>
      <c r="K265" s="391"/>
      <c r="L265" s="391"/>
      <c r="M265" s="392"/>
      <c r="N265" s="391"/>
      <c r="O265" s="391"/>
      <c r="P265" s="391"/>
      <c r="Q265" s="391"/>
      <c r="R265" s="392"/>
      <c r="S265" s="391"/>
      <c r="T265" s="391"/>
      <c r="U265" s="391"/>
      <c r="V265" s="391"/>
      <c r="W265" s="392"/>
      <c r="X265" s="391"/>
      <c r="Y265" s="391"/>
      <c r="Z265" s="391"/>
      <c r="AA265" s="391"/>
      <c r="AB265" s="392"/>
      <c r="AC265" s="391"/>
      <c r="AD265" s="391"/>
      <c r="AE265" s="391"/>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c r="BD265" s="189"/>
      <c r="BE265" s="189"/>
      <c r="BF265" s="189"/>
    </row>
    <row r="266" spans="1:58" ht="15.75" customHeight="1" x14ac:dyDescent="0.2">
      <c r="A266" s="189"/>
      <c r="B266" s="189"/>
      <c r="C266" s="55"/>
      <c r="D266" s="391"/>
      <c r="E266" s="391"/>
      <c r="F266" s="391"/>
      <c r="G266" s="391"/>
      <c r="H266" s="392"/>
      <c r="I266" s="391"/>
      <c r="J266" s="391"/>
      <c r="K266" s="391"/>
      <c r="L266" s="391"/>
      <c r="M266" s="392"/>
      <c r="N266" s="391"/>
      <c r="O266" s="391"/>
      <c r="P266" s="391"/>
      <c r="Q266" s="391"/>
      <c r="R266" s="392"/>
      <c r="S266" s="391"/>
      <c r="T266" s="391"/>
      <c r="U266" s="391"/>
      <c r="V266" s="391"/>
      <c r="W266" s="392"/>
      <c r="X266" s="391"/>
      <c r="Y266" s="391"/>
      <c r="Z266" s="391"/>
      <c r="AA266" s="391"/>
      <c r="AB266" s="392"/>
      <c r="AC266" s="391"/>
      <c r="AD266" s="391"/>
      <c r="AE266" s="391"/>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89"/>
      <c r="BC266" s="189"/>
      <c r="BD266" s="189"/>
      <c r="BE266" s="189"/>
      <c r="BF266" s="189"/>
    </row>
    <row r="267" spans="1:58" ht="15.75" customHeight="1" x14ac:dyDescent="0.2">
      <c r="A267" s="189"/>
      <c r="B267" s="189"/>
      <c r="C267" s="55"/>
      <c r="D267" s="391"/>
      <c r="E267" s="391"/>
      <c r="F267" s="391"/>
      <c r="G267" s="391"/>
      <c r="H267" s="392"/>
      <c r="I267" s="391"/>
      <c r="J267" s="391"/>
      <c r="K267" s="391"/>
      <c r="L267" s="391"/>
      <c r="M267" s="392"/>
      <c r="N267" s="391"/>
      <c r="O267" s="391"/>
      <c r="P267" s="391"/>
      <c r="Q267" s="391"/>
      <c r="R267" s="392"/>
      <c r="S267" s="391"/>
      <c r="T267" s="391"/>
      <c r="U267" s="391"/>
      <c r="V267" s="391"/>
      <c r="W267" s="392"/>
      <c r="X267" s="391"/>
      <c r="Y267" s="391"/>
      <c r="Z267" s="391"/>
      <c r="AA267" s="391"/>
      <c r="AB267" s="392"/>
      <c r="AC267" s="391"/>
      <c r="AD267" s="391"/>
      <c r="AE267" s="391"/>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c r="BD267" s="189"/>
      <c r="BE267" s="189"/>
      <c r="BF267" s="189"/>
    </row>
    <row r="268" spans="1:58" ht="15.75" customHeight="1" x14ac:dyDescent="0.2">
      <c r="A268" s="189"/>
      <c r="B268" s="189"/>
      <c r="C268" s="55"/>
      <c r="D268" s="391"/>
      <c r="E268" s="391"/>
      <c r="F268" s="391"/>
      <c r="G268" s="391"/>
      <c r="H268" s="392"/>
      <c r="I268" s="391"/>
      <c r="J268" s="391"/>
      <c r="K268" s="391"/>
      <c r="L268" s="391"/>
      <c r="M268" s="392"/>
      <c r="N268" s="391"/>
      <c r="O268" s="391"/>
      <c r="P268" s="391"/>
      <c r="Q268" s="391"/>
      <c r="R268" s="392"/>
      <c r="S268" s="391"/>
      <c r="T268" s="391"/>
      <c r="U268" s="391"/>
      <c r="V268" s="391"/>
      <c r="W268" s="392"/>
      <c r="X268" s="391"/>
      <c r="Y268" s="391"/>
      <c r="Z268" s="391"/>
      <c r="AA268" s="391"/>
      <c r="AB268" s="392"/>
      <c r="AC268" s="391"/>
      <c r="AD268" s="391"/>
      <c r="AE268" s="391"/>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89"/>
      <c r="BC268" s="189"/>
      <c r="BD268" s="189"/>
      <c r="BE268" s="189"/>
      <c r="BF268" s="189"/>
    </row>
    <row r="269" spans="1:58" ht="15.75" customHeight="1" x14ac:dyDescent="0.2">
      <c r="A269" s="189"/>
      <c r="B269" s="189"/>
      <c r="C269" s="55"/>
      <c r="D269" s="391"/>
      <c r="E269" s="391"/>
      <c r="F269" s="391"/>
      <c r="G269" s="391"/>
      <c r="H269" s="392"/>
      <c r="I269" s="391"/>
      <c r="J269" s="391"/>
      <c r="K269" s="391"/>
      <c r="L269" s="391"/>
      <c r="M269" s="392"/>
      <c r="N269" s="391"/>
      <c r="O269" s="391"/>
      <c r="P269" s="391"/>
      <c r="Q269" s="391"/>
      <c r="R269" s="392"/>
      <c r="S269" s="391"/>
      <c r="T269" s="391"/>
      <c r="U269" s="391"/>
      <c r="V269" s="391"/>
      <c r="W269" s="392"/>
      <c r="X269" s="391"/>
      <c r="Y269" s="391"/>
      <c r="Z269" s="391"/>
      <c r="AA269" s="391"/>
      <c r="AB269" s="392"/>
      <c r="AC269" s="391"/>
      <c r="AD269" s="391"/>
      <c r="AE269" s="391"/>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row>
    <row r="270" spans="1:58" ht="15.75" customHeight="1" x14ac:dyDescent="0.2">
      <c r="A270" s="189"/>
      <c r="B270" s="189"/>
      <c r="C270" s="55"/>
      <c r="D270" s="391"/>
      <c r="E270" s="391"/>
      <c r="F270" s="391"/>
      <c r="G270" s="391"/>
      <c r="H270" s="392"/>
      <c r="I270" s="391"/>
      <c r="J270" s="391"/>
      <c r="K270" s="391"/>
      <c r="L270" s="391"/>
      <c r="M270" s="392"/>
      <c r="N270" s="391"/>
      <c r="O270" s="391"/>
      <c r="P270" s="391"/>
      <c r="Q270" s="391"/>
      <c r="R270" s="392"/>
      <c r="S270" s="391"/>
      <c r="T270" s="391"/>
      <c r="U270" s="391"/>
      <c r="V270" s="391"/>
      <c r="W270" s="392"/>
      <c r="X270" s="391"/>
      <c r="Y270" s="391"/>
      <c r="Z270" s="391"/>
      <c r="AA270" s="391"/>
      <c r="AB270" s="392"/>
      <c r="AC270" s="391"/>
      <c r="AD270" s="391"/>
      <c r="AE270" s="391"/>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row>
    <row r="271" spans="1:58" ht="15.75" customHeight="1" x14ac:dyDescent="0.2">
      <c r="A271" s="189"/>
      <c r="B271" s="189"/>
      <c r="C271" s="55"/>
      <c r="D271" s="391"/>
      <c r="E271" s="391"/>
      <c r="F271" s="391"/>
      <c r="G271" s="391"/>
      <c r="H271" s="392"/>
      <c r="I271" s="391"/>
      <c r="J271" s="391"/>
      <c r="K271" s="391"/>
      <c r="L271" s="391"/>
      <c r="M271" s="392"/>
      <c r="N271" s="391"/>
      <c r="O271" s="391"/>
      <c r="P271" s="391"/>
      <c r="Q271" s="391"/>
      <c r="R271" s="392"/>
      <c r="S271" s="391"/>
      <c r="T271" s="391"/>
      <c r="U271" s="391"/>
      <c r="V271" s="391"/>
      <c r="W271" s="392"/>
      <c r="X271" s="391"/>
      <c r="Y271" s="391"/>
      <c r="Z271" s="391"/>
      <c r="AA271" s="391"/>
      <c r="AB271" s="392"/>
      <c r="AC271" s="391"/>
      <c r="AD271" s="391"/>
      <c r="AE271" s="391"/>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row>
    <row r="272" spans="1:58" ht="15.75" customHeight="1" x14ac:dyDescent="0.2">
      <c r="A272" s="189"/>
      <c r="B272" s="189"/>
      <c r="C272" s="55"/>
      <c r="D272" s="391"/>
      <c r="E272" s="391"/>
      <c r="F272" s="391"/>
      <c r="G272" s="391"/>
      <c r="H272" s="392"/>
      <c r="I272" s="391"/>
      <c r="J272" s="391"/>
      <c r="K272" s="391"/>
      <c r="L272" s="391"/>
      <c r="M272" s="392"/>
      <c r="N272" s="391"/>
      <c r="O272" s="391"/>
      <c r="P272" s="391"/>
      <c r="Q272" s="391"/>
      <c r="R272" s="392"/>
      <c r="S272" s="391"/>
      <c r="T272" s="391"/>
      <c r="U272" s="391"/>
      <c r="V272" s="391"/>
      <c r="W272" s="392"/>
      <c r="X272" s="391"/>
      <c r="Y272" s="391"/>
      <c r="Z272" s="391"/>
      <c r="AA272" s="391"/>
      <c r="AB272" s="392"/>
      <c r="AC272" s="391"/>
      <c r="AD272" s="391"/>
      <c r="AE272" s="391"/>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row>
    <row r="273" spans="1:58" ht="15.75" customHeight="1" x14ac:dyDescent="0.2">
      <c r="A273" s="189"/>
      <c r="B273" s="189"/>
      <c r="C273" s="55"/>
      <c r="D273" s="391"/>
      <c r="E273" s="391"/>
      <c r="F273" s="391"/>
      <c r="G273" s="391"/>
      <c r="H273" s="392"/>
      <c r="I273" s="391"/>
      <c r="J273" s="391"/>
      <c r="K273" s="391"/>
      <c r="L273" s="391"/>
      <c r="M273" s="392"/>
      <c r="N273" s="391"/>
      <c r="O273" s="391"/>
      <c r="P273" s="391"/>
      <c r="Q273" s="391"/>
      <c r="R273" s="392"/>
      <c r="S273" s="391"/>
      <c r="T273" s="391"/>
      <c r="U273" s="391"/>
      <c r="V273" s="391"/>
      <c r="W273" s="392"/>
      <c r="X273" s="391"/>
      <c r="Y273" s="391"/>
      <c r="Z273" s="391"/>
      <c r="AA273" s="391"/>
      <c r="AB273" s="392"/>
      <c r="AC273" s="391"/>
      <c r="AD273" s="391"/>
      <c r="AE273" s="391"/>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row>
    <row r="274" spans="1:58" ht="15.75" customHeight="1" x14ac:dyDescent="0.2">
      <c r="A274" s="189"/>
      <c r="B274" s="189"/>
      <c r="C274" s="55"/>
      <c r="D274" s="391"/>
      <c r="E274" s="391"/>
      <c r="F274" s="391"/>
      <c r="G274" s="391"/>
      <c r="H274" s="392"/>
      <c r="I274" s="391"/>
      <c r="J274" s="391"/>
      <c r="K274" s="391"/>
      <c r="L274" s="391"/>
      <c r="M274" s="392"/>
      <c r="N274" s="391"/>
      <c r="O274" s="391"/>
      <c r="P274" s="391"/>
      <c r="Q274" s="391"/>
      <c r="R274" s="392"/>
      <c r="S274" s="391"/>
      <c r="T274" s="391"/>
      <c r="U274" s="391"/>
      <c r="V274" s="391"/>
      <c r="W274" s="392"/>
      <c r="X274" s="391"/>
      <c r="Y274" s="391"/>
      <c r="Z274" s="391"/>
      <c r="AA274" s="391"/>
      <c r="AB274" s="392"/>
      <c r="AC274" s="391"/>
      <c r="AD274" s="391"/>
      <c r="AE274" s="391"/>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row>
    <row r="275" spans="1:58" ht="15.75" customHeight="1" x14ac:dyDescent="0.2">
      <c r="A275" s="189"/>
      <c r="B275" s="189"/>
      <c r="C275" s="55"/>
      <c r="D275" s="391"/>
      <c r="E275" s="391"/>
      <c r="F275" s="391"/>
      <c r="G275" s="391"/>
      <c r="H275" s="392"/>
      <c r="I275" s="391"/>
      <c r="J275" s="391"/>
      <c r="K275" s="391"/>
      <c r="L275" s="391"/>
      <c r="M275" s="392"/>
      <c r="N275" s="391"/>
      <c r="O275" s="391"/>
      <c r="P275" s="391"/>
      <c r="Q275" s="391"/>
      <c r="R275" s="392"/>
      <c r="S275" s="391"/>
      <c r="T275" s="391"/>
      <c r="U275" s="391"/>
      <c r="V275" s="391"/>
      <c r="W275" s="392"/>
      <c r="X275" s="391"/>
      <c r="Y275" s="391"/>
      <c r="Z275" s="391"/>
      <c r="AA275" s="391"/>
      <c r="AB275" s="392"/>
      <c r="AC275" s="391"/>
      <c r="AD275" s="391"/>
      <c r="AE275" s="391"/>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row>
    <row r="276" spans="1:58" ht="15.75" customHeight="1" x14ac:dyDescent="0.2">
      <c r="A276" s="189"/>
      <c r="B276" s="189"/>
      <c r="C276" s="55"/>
      <c r="D276" s="391"/>
      <c r="E276" s="391"/>
      <c r="F276" s="391"/>
      <c r="G276" s="391"/>
      <c r="H276" s="392"/>
      <c r="I276" s="391"/>
      <c r="J276" s="391"/>
      <c r="K276" s="391"/>
      <c r="L276" s="391"/>
      <c r="M276" s="392"/>
      <c r="N276" s="391"/>
      <c r="O276" s="391"/>
      <c r="P276" s="391"/>
      <c r="Q276" s="391"/>
      <c r="R276" s="392"/>
      <c r="S276" s="391"/>
      <c r="T276" s="391"/>
      <c r="U276" s="391"/>
      <c r="V276" s="391"/>
      <c r="W276" s="392"/>
      <c r="X276" s="391"/>
      <c r="Y276" s="391"/>
      <c r="Z276" s="391"/>
      <c r="AA276" s="391"/>
      <c r="AB276" s="392"/>
      <c r="AC276" s="391"/>
      <c r="AD276" s="391"/>
      <c r="AE276" s="391"/>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row>
    <row r="277" spans="1:58" ht="15.75" customHeight="1" x14ac:dyDescent="0.2">
      <c r="A277" s="189"/>
      <c r="B277" s="189"/>
      <c r="C277" s="55"/>
      <c r="D277" s="391"/>
      <c r="E277" s="391"/>
      <c r="F277" s="391"/>
      <c r="G277" s="391"/>
      <c r="H277" s="392"/>
      <c r="I277" s="391"/>
      <c r="J277" s="391"/>
      <c r="K277" s="391"/>
      <c r="L277" s="391"/>
      <c r="M277" s="392"/>
      <c r="N277" s="391"/>
      <c r="O277" s="391"/>
      <c r="P277" s="391"/>
      <c r="Q277" s="391"/>
      <c r="R277" s="392"/>
      <c r="S277" s="391"/>
      <c r="T277" s="391"/>
      <c r="U277" s="391"/>
      <c r="V277" s="391"/>
      <c r="W277" s="392"/>
      <c r="X277" s="391"/>
      <c r="Y277" s="391"/>
      <c r="Z277" s="391"/>
      <c r="AA277" s="391"/>
      <c r="AB277" s="392"/>
      <c r="AC277" s="391"/>
      <c r="AD277" s="391"/>
      <c r="AE277" s="391"/>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row>
    <row r="278" spans="1:58" ht="15.75" customHeight="1" x14ac:dyDescent="0.2">
      <c r="A278" s="189"/>
      <c r="B278" s="189"/>
      <c r="C278" s="55"/>
      <c r="D278" s="391"/>
      <c r="E278" s="391"/>
      <c r="F278" s="391"/>
      <c r="G278" s="391"/>
      <c r="H278" s="392"/>
      <c r="I278" s="391"/>
      <c r="J278" s="391"/>
      <c r="K278" s="391"/>
      <c r="L278" s="391"/>
      <c r="M278" s="392"/>
      <c r="N278" s="391"/>
      <c r="O278" s="391"/>
      <c r="P278" s="391"/>
      <c r="Q278" s="391"/>
      <c r="R278" s="392"/>
      <c r="S278" s="391"/>
      <c r="T278" s="391"/>
      <c r="U278" s="391"/>
      <c r="V278" s="391"/>
      <c r="W278" s="392"/>
      <c r="X278" s="391"/>
      <c r="Y278" s="391"/>
      <c r="Z278" s="391"/>
      <c r="AA278" s="391"/>
      <c r="AB278" s="392"/>
      <c r="AC278" s="391"/>
      <c r="AD278" s="391"/>
      <c r="AE278" s="391"/>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row>
    <row r="279" spans="1:58" ht="15.75" customHeight="1" x14ac:dyDescent="0.2">
      <c r="A279" s="189"/>
      <c r="B279" s="189"/>
      <c r="C279" s="55"/>
      <c r="D279" s="391"/>
      <c r="E279" s="391"/>
      <c r="F279" s="391"/>
      <c r="G279" s="391"/>
      <c r="H279" s="392"/>
      <c r="I279" s="391"/>
      <c r="J279" s="391"/>
      <c r="K279" s="391"/>
      <c r="L279" s="391"/>
      <c r="M279" s="392"/>
      <c r="N279" s="391"/>
      <c r="O279" s="391"/>
      <c r="P279" s="391"/>
      <c r="Q279" s="391"/>
      <c r="R279" s="392"/>
      <c r="S279" s="391"/>
      <c r="T279" s="391"/>
      <c r="U279" s="391"/>
      <c r="V279" s="391"/>
      <c r="W279" s="392"/>
      <c r="X279" s="391"/>
      <c r="Y279" s="391"/>
      <c r="Z279" s="391"/>
      <c r="AA279" s="391"/>
      <c r="AB279" s="392"/>
      <c r="AC279" s="391"/>
      <c r="AD279" s="391"/>
      <c r="AE279" s="391"/>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row>
    <row r="280" spans="1:58" ht="15.75" customHeight="1" x14ac:dyDescent="0.2">
      <c r="A280" s="189"/>
      <c r="B280" s="189"/>
      <c r="C280" s="55"/>
      <c r="D280" s="391"/>
      <c r="E280" s="391"/>
      <c r="F280" s="391"/>
      <c r="G280" s="391"/>
      <c r="H280" s="392"/>
      <c r="I280" s="391"/>
      <c r="J280" s="391"/>
      <c r="K280" s="391"/>
      <c r="L280" s="391"/>
      <c r="M280" s="392"/>
      <c r="N280" s="391"/>
      <c r="O280" s="391"/>
      <c r="P280" s="391"/>
      <c r="Q280" s="391"/>
      <c r="R280" s="392"/>
      <c r="S280" s="391"/>
      <c r="T280" s="391"/>
      <c r="U280" s="391"/>
      <c r="V280" s="391"/>
      <c r="W280" s="392"/>
      <c r="X280" s="391"/>
      <c r="Y280" s="391"/>
      <c r="Z280" s="391"/>
      <c r="AA280" s="391"/>
      <c r="AB280" s="392"/>
      <c r="AC280" s="391"/>
      <c r="AD280" s="391"/>
      <c r="AE280" s="391"/>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row>
    <row r="281" spans="1:58" ht="15.75" customHeight="1" x14ac:dyDescent="0.2">
      <c r="A281" s="189"/>
      <c r="B281" s="189"/>
      <c r="C281" s="55"/>
      <c r="D281" s="391"/>
      <c r="E281" s="391"/>
      <c r="F281" s="391"/>
      <c r="G281" s="391"/>
      <c r="H281" s="392"/>
      <c r="I281" s="391"/>
      <c r="J281" s="391"/>
      <c r="K281" s="391"/>
      <c r="L281" s="391"/>
      <c r="M281" s="392"/>
      <c r="N281" s="391"/>
      <c r="O281" s="391"/>
      <c r="P281" s="391"/>
      <c r="Q281" s="391"/>
      <c r="R281" s="392"/>
      <c r="S281" s="391"/>
      <c r="T281" s="391"/>
      <c r="U281" s="391"/>
      <c r="V281" s="391"/>
      <c r="W281" s="392"/>
      <c r="X281" s="391"/>
      <c r="Y281" s="391"/>
      <c r="Z281" s="391"/>
      <c r="AA281" s="391"/>
      <c r="AB281" s="392"/>
      <c r="AC281" s="391"/>
      <c r="AD281" s="391"/>
      <c r="AE281" s="391"/>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row>
    <row r="282" spans="1:58" ht="15.75" customHeight="1" x14ac:dyDescent="0.2">
      <c r="A282" s="189"/>
      <c r="B282" s="189"/>
      <c r="C282" s="55"/>
      <c r="D282" s="391"/>
      <c r="E282" s="391"/>
      <c r="F282" s="391"/>
      <c r="G282" s="391"/>
      <c r="H282" s="392"/>
      <c r="I282" s="391"/>
      <c r="J282" s="391"/>
      <c r="K282" s="391"/>
      <c r="L282" s="391"/>
      <c r="M282" s="392"/>
      <c r="N282" s="391"/>
      <c r="O282" s="391"/>
      <c r="P282" s="391"/>
      <c r="Q282" s="391"/>
      <c r="R282" s="392"/>
      <c r="S282" s="391"/>
      <c r="T282" s="391"/>
      <c r="U282" s="391"/>
      <c r="V282" s="391"/>
      <c r="W282" s="392"/>
      <c r="X282" s="391"/>
      <c r="Y282" s="391"/>
      <c r="Z282" s="391"/>
      <c r="AA282" s="391"/>
      <c r="AB282" s="392"/>
      <c r="AC282" s="391"/>
      <c r="AD282" s="391"/>
      <c r="AE282" s="391"/>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row>
    <row r="283" spans="1:58" ht="15.75" customHeight="1" x14ac:dyDescent="0.2">
      <c r="A283" s="189"/>
      <c r="B283" s="189"/>
      <c r="C283" s="55"/>
      <c r="D283" s="391"/>
      <c r="E283" s="391"/>
      <c r="F283" s="391"/>
      <c r="G283" s="391"/>
      <c r="H283" s="392"/>
      <c r="I283" s="391"/>
      <c r="J283" s="391"/>
      <c r="K283" s="391"/>
      <c r="L283" s="391"/>
      <c r="M283" s="392"/>
      <c r="N283" s="391"/>
      <c r="O283" s="391"/>
      <c r="P283" s="391"/>
      <c r="Q283" s="391"/>
      <c r="R283" s="392"/>
      <c r="S283" s="391"/>
      <c r="T283" s="391"/>
      <c r="U283" s="391"/>
      <c r="V283" s="391"/>
      <c r="W283" s="392"/>
      <c r="X283" s="391"/>
      <c r="Y283" s="391"/>
      <c r="Z283" s="391"/>
      <c r="AA283" s="391"/>
      <c r="AB283" s="392"/>
      <c r="AC283" s="391"/>
      <c r="AD283" s="391"/>
      <c r="AE283" s="391"/>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row>
    <row r="284" spans="1:58" ht="15.75" customHeight="1" x14ac:dyDescent="0.2">
      <c r="A284" s="189"/>
      <c r="B284" s="189"/>
      <c r="C284" s="55"/>
      <c r="D284" s="391"/>
      <c r="E284" s="391"/>
      <c r="F284" s="391"/>
      <c r="G284" s="391"/>
      <c r="H284" s="392"/>
      <c r="I284" s="391"/>
      <c r="J284" s="391"/>
      <c r="K284" s="391"/>
      <c r="L284" s="391"/>
      <c r="M284" s="392"/>
      <c r="N284" s="391"/>
      <c r="O284" s="391"/>
      <c r="P284" s="391"/>
      <c r="Q284" s="391"/>
      <c r="R284" s="392"/>
      <c r="S284" s="391"/>
      <c r="T284" s="391"/>
      <c r="U284" s="391"/>
      <c r="V284" s="391"/>
      <c r="W284" s="392"/>
      <c r="X284" s="391"/>
      <c r="Y284" s="391"/>
      <c r="Z284" s="391"/>
      <c r="AA284" s="391"/>
      <c r="AB284" s="392"/>
      <c r="AC284" s="391"/>
      <c r="AD284" s="391"/>
      <c r="AE284" s="391"/>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row>
    <row r="285" spans="1:58" ht="15.75" customHeight="1" x14ac:dyDescent="0.2">
      <c r="A285" s="189"/>
      <c r="B285" s="189"/>
      <c r="C285" s="55"/>
      <c r="D285" s="391"/>
      <c r="E285" s="391"/>
      <c r="F285" s="391"/>
      <c r="G285" s="391"/>
      <c r="H285" s="392"/>
      <c r="I285" s="391"/>
      <c r="J285" s="391"/>
      <c r="K285" s="391"/>
      <c r="L285" s="391"/>
      <c r="M285" s="392"/>
      <c r="N285" s="391"/>
      <c r="O285" s="391"/>
      <c r="P285" s="391"/>
      <c r="Q285" s="391"/>
      <c r="R285" s="392"/>
      <c r="S285" s="391"/>
      <c r="T285" s="391"/>
      <c r="U285" s="391"/>
      <c r="V285" s="391"/>
      <c r="W285" s="392"/>
      <c r="X285" s="391"/>
      <c r="Y285" s="391"/>
      <c r="Z285" s="391"/>
      <c r="AA285" s="391"/>
      <c r="AB285" s="392"/>
      <c r="AC285" s="391"/>
      <c r="AD285" s="391"/>
      <c r="AE285" s="391"/>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row>
    <row r="286" spans="1:58" ht="15.75" customHeight="1" x14ac:dyDescent="0.2">
      <c r="A286" s="189"/>
      <c r="B286" s="189"/>
      <c r="C286" s="55"/>
      <c r="D286" s="391"/>
      <c r="E286" s="391"/>
      <c r="F286" s="391"/>
      <c r="G286" s="391"/>
      <c r="H286" s="392"/>
      <c r="I286" s="391"/>
      <c r="J286" s="391"/>
      <c r="K286" s="391"/>
      <c r="L286" s="391"/>
      <c r="M286" s="392"/>
      <c r="N286" s="391"/>
      <c r="O286" s="391"/>
      <c r="P286" s="391"/>
      <c r="Q286" s="391"/>
      <c r="R286" s="392"/>
      <c r="S286" s="391"/>
      <c r="T286" s="391"/>
      <c r="U286" s="391"/>
      <c r="V286" s="391"/>
      <c r="W286" s="392"/>
      <c r="X286" s="391"/>
      <c r="Y286" s="391"/>
      <c r="Z286" s="391"/>
      <c r="AA286" s="391"/>
      <c r="AB286" s="392"/>
      <c r="AC286" s="391"/>
      <c r="AD286" s="391"/>
      <c r="AE286" s="391"/>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row>
    <row r="287" spans="1:58" ht="15.75" customHeight="1" x14ac:dyDescent="0.2">
      <c r="A287" s="189"/>
      <c r="B287" s="189"/>
      <c r="C287" s="55"/>
      <c r="D287" s="391"/>
      <c r="E287" s="391"/>
      <c r="F287" s="391"/>
      <c r="G287" s="391"/>
      <c r="H287" s="392"/>
      <c r="I287" s="391"/>
      <c r="J287" s="391"/>
      <c r="K287" s="391"/>
      <c r="L287" s="391"/>
      <c r="M287" s="392"/>
      <c r="N287" s="391"/>
      <c r="O287" s="391"/>
      <c r="P287" s="391"/>
      <c r="Q287" s="391"/>
      <c r="R287" s="392"/>
      <c r="S287" s="391"/>
      <c r="T287" s="391"/>
      <c r="U287" s="391"/>
      <c r="V287" s="391"/>
      <c r="W287" s="392"/>
      <c r="X287" s="391"/>
      <c r="Y287" s="391"/>
      <c r="Z287" s="391"/>
      <c r="AA287" s="391"/>
      <c r="AB287" s="392"/>
      <c r="AC287" s="391"/>
      <c r="AD287" s="391"/>
      <c r="AE287" s="391"/>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row>
    <row r="288" spans="1:58" ht="15.75" customHeight="1" x14ac:dyDescent="0.2">
      <c r="A288" s="189"/>
      <c r="B288" s="189"/>
      <c r="C288" s="55"/>
      <c r="D288" s="391"/>
      <c r="E288" s="391"/>
      <c r="F288" s="391"/>
      <c r="G288" s="391"/>
      <c r="H288" s="392"/>
      <c r="I288" s="391"/>
      <c r="J288" s="391"/>
      <c r="K288" s="391"/>
      <c r="L288" s="391"/>
      <c r="M288" s="392"/>
      <c r="N288" s="391"/>
      <c r="O288" s="391"/>
      <c r="P288" s="391"/>
      <c r="Q288" s="391"/>
      <c r="R288" s="392"/>
      <c r="S288" s="391"/>
      <c r="T288" s="391"/>
      <c r="U288" s="391"/>
      <c r="V288" s="391"/>
      <c r="W288" s="392"/>
      <c r="X288" s="391"/>
      <c r="Y288" s="391"/>
      <c r="Z288" s="391"/>
      <c r="AA288" s="391"/>
      <c r="AB288" s="392"/>
      <c r="AC288" s="391"/>
      <c r="AD288" s="391"/>
      <c r="AE288" s="391"/>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row>
    <row r="289" spans="1:58" ht="15.75" customHeight="1" x14ac:dyDescent="0.2">
      <c r="A289" s="189"/>
      <c r="B289" s="189"/>
      <c r="C289" s="55"/>
      <c r="D289" s="391"/>
      <c r="E289" s="391"/>
      <c r="F289" s="391"/>
      <c r="G289" s="391"/>
      <c r="H289" s="392"/>
      <c r="I289" s="391"/>
      <c r="J289" s="391"/>
      <c r="K289" s="391"/>
      <c r="L289" s="391"/>
      <c r="M289" s="392"/>
      <c r="N289" s="391"/>
      <c r="O289" s="391"/>
      <c r="P289" s="391"/>
      <c r="Q289" s="391"/>
      <c r="R289" s="392"/>
      <c r="S289" s="391"/>
      <c r="T289" s="391"/>
      <c r="U289" s="391"/>
      <c r="V289" s="391"/>
      <c r="W289" s="392"/>
      <c r="X289" s="391"/>
      <c r="Y289" s="391"/>
      <c r="Z289" s="391"/>
      <c r="AA289" s="391"/>
      <c r="AB289" s="392"/>
      <c r="AC289" s="391"/>
      <c r="AD289" s="391"/>
      <c r="AE289" s="391"/>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row>
    <row r="290" spans="1:58" ht="15.75" customHeight="1" x14ac:dyDescent="0.2">
      <c r="A290" s="189"/>
      <c r="B290" s="189"/>
      <c r="C290" s="55"/>
      <c r="D290" s="391"/>
      <c r="E290" s="391"/>
      <c r="F290" s="391"/>
      <c r="G290" s="391"/>
      <c r="H290" s="392"/>
      <c r="I290" s="391"/>
      <c r="J290" s="391"/>
      <c r="K290" s="391"/>
      <c r="L290" s="391"/>
      <c r="M290" s="392"/>
      <c r="N290" s="391"/>
      <c r="O290" s="391"/>
      <c r="P290" s="391"/>
      <c r="Q290" s="391"/>
      <c r="R290" s="392"/>
      <c r="S290" s="391"/>
      <c r="T290" s="391"/>
      <c r="U290" s="391"/>
      <c r="V290" s="391"/>
      <c r="W290" s="392"/>
      <c r="X290" s="391"/>
      <c r="Y290" s="391"/>
      <c r="Z290" s="391"/>
      <c r="AA290" s="391"/>
      <c r="AB290" s="392"/>
      <c r="AC290" s="391"/>
      <c r="AD290" s="391"/>
      <c r="AE290" s="391"/>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row>
    <row r="291" spans="1:58" ht="15.75" customHeight="1" x14ac:dyDescent="0.2">
      <c r="A291" s="189"/>
      <c r="B291" s="189"/>
      <c r="C291" s="55"/>
      <c r="D291" s="391"/>
      <c r="E291" s="391"/>
      <c r="F291" s="391"/>
      <c r="G291" s="391"/>
      <c r="H291" s="392"/>
      <c r="I291" s="391"/>
      <c r="J291" s="391"/>
      <c r="K291" s="391"/>
      <c r="L291" s="391"/>
      <c r="M291" s="392"/>
      <c r="N291" s="391"/>
      <c r="O291" s="391"/>
      <c r="P291" s="391"/>
      <c r="Q291" s="391"/>
      <c r="R291" s="392"/>
      <c r="S291" s="391"/>
      <c r="T291" s="391"/>
      <c r="U291" s="391"/>
      <c r="V291" s="391"/>
      <c r="W291" s="392"/>
      <c r="X291" s="391"/>
      <c r="Y291" s="391"/>
      <c r="Z291" s="391"/>
      <c r="AA291" s="391"/>
      <c r="AB291" s="392"/>
      <c r="AC291" s="391"/>
      <c r="AD291" s="391"/>
      <c r="AE291" s="391"/>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row>
    <row r="292" spans="1:58" ht="15.75" customHeight="1" x14ac:dyDescent="0.2">
      <c r="A292" s="189"/>
      <c r="B292" s="189"/>
      <c r="C292" s="55"/>
      <c r="D292" s="391"/>
      <c r="E292" s="391"/>
      <c r="F292" s="391"/>
      <c r="G292" s="391"/>
      <c r="H292" s="392"/>
      <c r="I292" s="391"/>
      <c r="J292" s="391"/>
      <c r="K292" s="391"/>
      <c r="L292" s="391"/>
      <c r="M292" s="392"/>
      <c r="N292" s="391"/>
      <c r="O292" s="391"/>
      <c r="P292" s="391"/>
      <c r="Q292" s="391"/>
      <c r="R292" s="392"/>
      <c r="S292" s="391"/>
      <c r="T292" s="391"/>
      <c r="U292" s="391"/>
      <c r="V292" s="391"/>
      <c r="W292" s="392"/>
      <c r="X292" s="391"/>
      <c r="Y292" s="391"/>
      <c r="Z292" s="391"/>
      <c r="AA292" s="391"/>
      <c r="AB292" s="392"/>
      <c r="AC292" s="391"/>
      <c r="AD292" s="391"/>
      <c r="AE292" s="391"/>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row>
    <row r="293" spans="1:58" ht="15.75" customHeight="1" x14ac:dyDescent="0.2">
      <c r="A293" s="189"/>
      <c r="B293" s="189"/>
      <c r="C293" s="55"/>
      <c r="D293" s="391"/>
      <c r="E293" s="391"/>
      <c r="F293" s="391"/>
      <c r="G293" s="391"/>
      <c r="H293" s="392"/>
      <c r="I293" s="391"/>
      <c r="J293" s="391"/>
      <c r="K293" s="391"/>
      <c r="L293" s="391"/>
      <c r="M293" s="392"/>
      <c r="N293" s="391"/>
      <c r="O293" s="391"/>
      <c r="P293" s="391"/>
      <c r="Q293" s="391"/>
      <c r="R293" s="392"/>
      <c r="S293" s="391"/>
      <c r="T293" s="391"/>
      <c r="U293" s="391"/>
      <c r="V293" s="391"/>
      <c r="W293" s="392"/>
      <c r="X293" s="391"/>
      <c r="Y293" s="391"/>
      <c r="Z293" s="391"/>
      <c r="AA293" s="391"/>
      <c r="AB293" s="392"/>
      <c r="AC293" s="391"/>
      <c r="AD293" s="391"/>
      <c r="AE293" s="391"/>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row>
    <row r="294" spans="1:58" ht="15.75" customHeight="1" x14ac:dyDescent="0.2">
      <c r="A294" s="189"/>
      <c r="B294" s="189"/>
      <c r="C294" s="55"/>
      <c r="D294" s="391"/>
      <c r="E294" s="391"/>
      <c r="F294" s="391"/>
      <c r="G294" s="391"/>
      <c r="H294" s="392"/>
      <c r="I294" s="391"/>
      <c r="J294" s="391"/>
      <c r="K294" s="391"/>
      <c r="L294" s="391"/>
      <c r="M294" s="392"/>
      <c r="N294" s="391"/>
      <c r="O294" s="391"/>
      <c r="P294" s="391"/>
      <c r="Q294" s="391"/>
      <c r="R294" s="392"/>
      <c r="S294" s="391"/>
      <c r="T294" s="391"/>
      <c r="U294" s="391"/>
      <c r="V294" s="391"/>
      <c r="W294" s="392"/>
      <c r="X294" s="391"/>
      <c r="Y294" s="391"/>
      <c r="Z294" s="391"/>
      <c r="AA294" s="391"/>
      <c r="AB294" s="392"/>
      <c r="AC294" s="391"/>
      <c r="AD294" s="391"/>
      <c r="AE294" s="391"/>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row>
    <row r="295" spans="1:58" ht="15.75" customHeight="1" x14ac:dyDescent="0.2">
      <c r="A295" s="189"/>
      <c r="B295" s="189"/>
      <c r="C295" s="55"/>
      <c r="D295" s="391"/>
      <c r="E295" s="391"/>
      <c r="F295" s="391"/>
      <c r="G295" s="391"/>
      <c r="H295" s="392"/>
      <c r="I295" s="391"/>
      <c r="J295" s="391"/>
      <c r="K295" s="391"/>
      <c r="L295" s="391"/>
      <c r="M295" s="392"/>
      <c r="N295" s="391"/>
      <c r="O295" s="391"/>
      <c r="P295" s="391"/>
      <c r="Q295" s="391"/>
      <c r="R295" s="392"/>
      <c r="S295" s="391"/>
      <c r="T295" s="391"/>
      <c r="U295" s="391"/>
      <c r="V295" s="391"/>
      <c r="W295" s="392"/>
      <c r="X295" s="391"/>
      <c r="Y295" s="391"/>
      <c r="Z295" s="391"/>
      <c r="AA295" s="391"/>
      <c r="AB295" s="392"/>
      <c r="AC295" s="391"/>
      <c r="AD295" s="391"/>
      <c r="AE295" s="391"/>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row>
    <row r="296" spans="1:58" ht="15.75" customHeight="1" x14ac:dyDescent="0.2">
      <c r="A296" s="189"/>
      <c r="B296" s="189"/>
      <c r="C296" s="55"/>
      <c r="D296" s="391"/>
      <c r="E296" s="391"/>
      <c r="F296" s="391"/>
      <c r="G296" s="391"/>
      <c r="H296" s="392"/>
      <c r="I296" s="391"/>
      <c r="J296" s="391"/>
      <c r="K296" s="391"/>
      <c r="L296" s="391"/>
      <c r="M296" s="392"/>
      <c r="N296" s="391"/>
      <c r="O296" s="391"/>
      <c r="P296" s="391"/>
      <c r="Q296" s="391"/>
      <c r="R296" s="392"/>
      <c r="S296" s="391"/>
      <c r="T296" s="391"/>
      <c r="U296" s="391"/>
      <c r="V296" s="391"/>
      <c r="W296" s="392"/>
      <c r="X296" s="391"/>
      <c r="Y296" s="391"/>
      <c r="Z296" s="391"/>
      <c r="AA296" s="391"/>
      <c r="AB296" s="392"/>
      <c r="AC296" s="391"/>
      <c r="AD296" s="391"/>
      <c r="AE296" s="391"/>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row>
    <row r="297" spans="1:58" ht="15.75" customHeight="1" x14ac:dyDescent="0.2">
      <c r="A297" s="189"/>
      <c r="B297" s="189"/>
      <c r="C297" s="55"/>
      <c r="D297" s="391"/>
      <c r="E297" s="391"/>
      <c r="F297" s="391"/>
      <c r="G297" s="391"/>
      <c r="H297" s="392"/>
      <c r="I297" s="391"/>
      <c r="J297" s="391"/>
      <c r="K297" s="391"/>
      <c r="L297" s="391"/>
      <c r="M297" s="392"/>
      <c r="N297" s="391"/>
      <c r="O297" s="391"/>
      <c r="P297" s="391"/>
      <c r="Q297" s="391"/>
      <c r="R297" s="392"/>
      <c r="S297" s="391"/>
      <c r="T297" s="391"/>
      <c r="U297" s="391"/>
      <c r="V297" s="391"/>
      <c r="W297" s="392"/>
      <c r="X297" s="391"/>
      <c r="Y297" s="391"/>
      <c r="Z297" s="391"/>
      <c r="AA297" s="391"/>
      <c r="AB297" s="392"/>
      <c r="AC297" s="391"/>
      <c r="AD297" s="391"/>
      <c r="AE297" s="391"/>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row>
    <row r="298" spans="1:58" ht="15.75" customHeight="1" x14ac:dyDescent="0.2">
      <c r="A298" s="189"/>
      <c r="B298" s="189"/>
      <c r="C298" s="55"/>
      <c r="D298" s="391"/>
      <c r="E298" s="391"/>
      <c r="F298" s="391"/>
      <c r="G298" s="391"/>
      <c r="H298" s="392"/>
      <c r="I298" s="391"/>
      <c r="J298" s="391"/>
      <c r="K298" s="391"/>
      <c r="L298" s="391"/>
      <c r="M298" s="392"/>
      <c r="N298" s="391"/>
      <c r="O298" s="391"/>
      <c r="P298" s="391"/>
      <c r="Q298" s="391"/>
      <c r="R298" s="392"/>
      <c r="S298" s="391"/>
      <c r="T298" s="391"/>
      <c r="U298" s="391"/>
      <c r="V298" s="391"/>
      <c r="W298" s="392"/>
      <c r="X298" s="391"/>
      <c r="Y298" s="391"/>
      <c r="Z298" s="391"/>
      <c r="AA298" s="391"/>
      <c r="AB298" s="392"/>
      <c r="AC298" s="391"/>
      <c r="AD298" s="391"/>
      <c r="AE298" s="391"/>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row>
    <row r="299" spans="1:58" ht="15.75" customHeight="1" x14ac:dyDescent="0.2">
      <c r="A299" s="189"/>
      <c r="B299" s="189"/>
      <c r="C299" s="55"/>
      <c r="D299" s="391"/>
      <c r="E299" s="391"/>
      <c r="F299" s="391"/>
      <c r="G299" s="391"/>
      <c r="H299" s="392"/>
      <c r="I299" s="391"/>
      <c r="J299" s="391"/>
      <c r="K299" s="391"/>
      <c r="L299" s="391"/>
      <c r="M299" s="392"/>
      <c r="N299" s="391"/>
      <c r="O299" s="391"/>
      <c r="P299" s="391"/>
      <c r="Q299" s="391"/>
      <c r="R299" s="392"/>
      <c r="S299" s="391"/>
      <c r="T299" s="391"/>
      <c r="U299" s="391"/>
      <c r="V299" s="391"/>
      <c r="W299" s="392"/>
      <c r="X299" s="391"/>
      <c r="Y299" s="391"/>
      <c r="Z299" s="391"/>
      <c r="AA299" s="391"/>
      <c r="AB299" s="392"/>
      <c r="AC299" s="391"/>
      <c r="AD299" s="391"/>
      <c r="AE299" s="391"/>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row>
    <row r="300" spans="1:58" ht="15.75" customHeight="1" x14ac:dyDescent="0.2">
      <c r="A300" s="189"/>
      <c r="B300" s="189"/>
      <c r="C300" s="55"/>
      <c r="D300" s="391"/>
      <c r="E300" s="391"/>
      <c r="F300" s="391"/>
      <c r="G300" s="391"/>
      <c r="H300" s="392"/>
      <c r="I300" s="391"/>
      <c r="J300" s="391"/>
      <c r="K300" s="391"/>
      <c r="L300" s="391"/>
      <c r="M300" s="392"/>
      <c r="N300" s="391"/>
      <c r="O300" s="391"/>
      <c r="P300" s="391"/>
      <c r="Q300" s="391"/>
      <c r="R300" s="392"/>
      <c r="S300" s="391"/>
      <c r="T300" s="391"/>
      <c r="U300" s="391"/>
      <c r="V300" s="391"/>
      <c r="W300" s="392"/>
      <c r="X300" s="391"/>
      <c r="Y300" s="391"/>
      <c r="Z300" s="391"/>
      <c r="AA300" s="391"/>
      <c r="AB300" s="392"/>
      <c r="AC300" s="391"/>
      <c r="AD300" s="391"/>
      <c r="AE300" s="391"/>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row>
    <row r="301" spans="1:58" ht="15.75" customHeight="1" x14ac:dyDescent="0.2">
      <c r="A301" s="189"/>
      <c r="B301" s="189"/>
      <c r="C301" s="55"/>
      <c r="D301" s="391"/>
      <c r="E301" s="391"/>
      <c r="F301" s="391"/>
      <c r="G301" s="391"/>
      <c r="H301" s="392"/>
      <c r="I301" s="391"/>
      <c r="J301" s="391"/>
      <c r="K301" s="391"/>
      <c r="L301" s="391"/>
      <c r="M301" s="392"/>
      <c r="N301" s="391"/>
      <c r="O301" s="391"/>
      <c r="P301" s="391"/>
      <c r="Q301" s="391"/>
      <c r="R301" s="392"/>
      <c r="S301" s="391"/>
      <c r="T301" s="391"/>
      <c r="U301" s="391"/>
      <c r="V301" s="391"/>
      <c r="W301" s="392"/>
      <c r="X301" s="391"/>
      <c r="Y301" s="391"/>
      <c r="Z301" s="391"/>
      <c r="AA301" s="391"/>
      <c r="AB301" s="392"/>
      <c r="AC301" s="391"/>
      <c r="AD301" s="391"/>
      <c r="AE301" s="391"/>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row>
    <row r="302" spans="1:58" ht="15.75" customHeight="1" x14ac:dyDescent="0.2">
      <c r="A302" s="189"/>
      <c r="B302" s="189"/>
      <c r="C302" s="55"/>
      <c r="D302" s="391"/>
      <c r="E302" s="391"/>
      <c r="F302" s="391"/>
      <c r="G302" s="391"/>
      <c r="H302" s="392"/>
      <c r="I302" s="391"/>
      <c r="J302" s="391"/>
      <c r="K302" s="391"/>
      <c r="L302" s="391"/>
      <c r="M302" s="392"/>
      <c r="N302" s="391"/>
      <c r="O302" s="391"/>
      <c r="P302" s="391"/>
      <c r="Q302" s="391"/>
      <c r="R302" s="392"/>
      <c r="S302" s="391"/>
      <c r="T302" s="391"/>
      <c r="U302" s="391"/>
      <c r="V302" s="391"/>
      <c r="W302" s="392"/>
      <c r="X302" s="391"/>
      <c r="Y302" s="391"/>
      <c r="Z302" s="391"/>
      <c r="AA302" s="391"/>
      <c r="AB302" s="392"/>
      <c r="AC302" s="391"/>
      <c r="AD302" s="391"/>
      <c r="AE302" s="391"/>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row>
    <row r="303" spans="1:58" ht="15.75" customHeight="1" x14ac:dyDescent="0.2">
      <c r="A303" s="189"/>
      <c r="B303" s="189"/>
      <c r="C303" s="55"/>
      <c r="D303" s="391"/>
      <c r="E303" s="391"/>
      <c r="F303" s="391"/>
      <c r="G303" s="391"/>
      <c r="H303" s="392"/>
      <c r="I303" s="391"/>
      <c r="J303" s="391"/>
      <c r="K303" s="391"/>
      <c r="L303" s="391"/>
      <c r="M303" s="392"/>
      <c r="N303" s="391"/>
      <c r="O303" s="391"/>
      <c r="P303" s="391"/>
      <c r="Q303" s="391"/>
      <c r="R303" s="392"/>
      <c r="S303" s="391"/>
      <c r="T303" s="391"/>
      <c r="U303" s="391"/>
      <c r="V303" s="391"/>
      <c r="W303" s="392"/>
      <c r="X303" s="391"/>
      <c r="Y303" s="391"/>
      <c r="Z303" s="391"/>
      <c r="AA303" s="391"/>
      <c r="AB303" s="392"/>
      <c r="AC303" s="391"/>
      <c r="AD303" s="391"/>
      <c r="AE303" s="391"/>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row>
    <row r="304" spans="1:58" ht="15.75" customHeight="1" x14ac:dyDescent="0.2">
      <c r="A304" s="189"/>
      <c r="B304" s="189"/>
      <c r="C304" s="55"/>
      <c r="D304" s="391"/>
      <c r="E304" s="391"/>
      <c r="F304" s="391"/>
      <c r="G304" s="391"/>
      <c r="H304" s="392"/>
      <c r="I304" s="391"/>
      <c r="J304" s="391"/>
      <c r="K304" s="391"/>
      <c r="L304" s="391"/>
      <c r="M304" s="392"/>
      <c r="N304" s="391"/>
      <c r="O304" s="391"/>
      <c r="P304" s="391"/>
      <c r="Q304" s="391"/>
      <c r="R304" s="392"/>
      <c r="S304" s="391"/>
      <c r="T304" s="391"/>
      <c r="U304" s="391"/>
      <c r="V304" s="391"/>
      <c r="W304" s="392"/>
      <c r="X304" s="391"/>
      <c r="Y304" s="391"/>
      <c r="Z304" s="391"/>
      <c r="AA304" s="391"/>
      <c r="AB304" s="392"/>
      <c r="AC304" s="391"/>
      <c r="AD304" s="391"/>
      <c r="AE304" s="391"/>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row>
    <row r="305" spans="1:58" ht="15.75" customHeight="1" x14ac:dyDescent="0.2">
      <c r="A305" s="189"/>
      <c r="B305" s="189"/>
      <c r="C305" s="55"/>
      <c r="D305" s="391"/>
      <c r="E305" s="391"/>
      <c r="F305" s="391"/>
      <c r="G305" s="391"/>
      <c r="H305" s="392"/>
      <c r="I305" s="391"/>
      <c r="J305" s="391"/>
      <c r="K305" s="391"/>
      <c r="L305" s="391"/>
      <c r="M305" s="392"/>
      <c r="N305" s="391"/>
      <c r="O305" s="391"/>
      <c r="P305" s="391"/>
      <c r="Q305" s="391"/>
      <c r="R305" s="392"/>
      <c r="S305" s="391"/>
      <c r="T305" s="391"/>
      <c r="U305" s="391"/>
      <c r="V305" s="391"/>
      <c r="W305" s="392"/>
      <c r="X305" s="391"/>
      <c r="Y305" s="391"/>
      <c r="Z305" s="391"/>
      <c r="AA305" s="391"/>
      <c r="AB305" s="392"/>
      <c r="AC305" s="391"/>
      <c r="AD305" s="391"/>
      <c r="AE305" s="391"/>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row>
    <row r="306" spans="1:58" ht="15.75" customHeight="1" x14ac:dyDescent="0.2">
      <c r="A306" s="189"/>
      <c r="B306" s="189"/>
      <c r="C306" s="55"/>
      <c r="D306" s="391"/>
      <c r="E306" s="391"/>
      <c r="F306" s="391"/>
      <c r="G306" s="391"/>
      <c r="H306" s="392"/>
      <c r="I306" s="391"/>
      <c r="J306" s="391"/>
      <c r="K306" s="391"/>
      <c r="L306" s="391"/>
      <c r="M306" s="392"/>
      <c r="N306" s="391"/>
      <c r="O306" s="391"/>
      <c r="P306" s="391"/>
      <c r="Q306" s="391"/>
      <c r="R306" s="392"/>
      <c r="S306" s="391"/>
      <c r="T306" s="391"/>
      <c r="U306" s="391"/>
      <c r="V306" s="391"/>
      <c r="W306" s="392"/>
      <c r="X306" s="391"/>
      <c r="Y306" s="391"/>
      <c r="Z306" s="391"/>
      <c r="AA306" s="391"/>
      <c r="AB306" s="392"/>
      <c r="AC306" s="391"/>
      <c r="AD306" s="391"/>
      <c r="AE306" s="391"/>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row>
    <row r="307" spans="1:58" ht="15.75" customHeight="1" x14ac:dyDescent="0.2">
      <c r="A307" s="189"/>
      <c r="B307" s="189"/>
      <c r="C307" s="55"/>
      <c r="D307" s="391"/>
      <c r="E307" s="391"/>
      <c r="F307" s="391"/>
      <c r="G307" s="391"/>
      <c r="H307" s="392"/>
      <c r="I307" s="391"/>
      <c r="J307" s="391"/>
      <c r="K307" s="391"/>
      <c r="L307" s="391"/>
      <c r="M307" s="392"/>
      <c r="N307" s="391"/>
      <c r="O307" s="391"/>
      <c r="P307" s="391"/>
      <c r="Q307" s="391"/>
      <c r="R307" s="392"/>
      <c r="S307" s="391"/>
      <c r="T307" s="391"/>
      <c r="U307" s="391"/>
      <c r="V307" s="391"/>
      <c r="W307" s="392"/>
      <c r="X307" s="391"/>
      <c r="Y307" s="391"/>
      <c r="Z307" s="391"/>
      <c r="AA307" s="391"/>
      <c r="AB307" s="392"/>
      <c r="AC307" s="391"/>
      <c r="AD307" s="391"/>
      <c r="AE307" s="391"/>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row>
    <row r="308" spans="1:58" ht="15.75" customHeight="1" x14ac:dyDescent="0.2">
      <c r="A308" s="189"/>
      <c r="B308" s="189"/>
      <c r="C308" s="55"/>
      <c r="D308" s="391"/>
      <c r="E308" s="391"/>
      <c r="F308" s="391"/>
      <c r="G308" s="391"/>
      <c r="H308" s="392"/>
      <c r="I308" s="391"/>
      <c r="J308" s="391"/>
      <c r="K308" s="391"/>
      <c r="L308" s="391"/>
      <c r="M308" s="392"/>
      <c r="N308" s="391"/>
      <c r="O308" s="391"/>
      <c r="P308" s="391"/>
      <c r="Q308" s="391"/>
      <c r="R308" s="392"/>
      <c r="S308" s="391"/>
      <c r="T308" s="391"/>
      <c r="U308" s="391"/>
      <c r="V308" s="391"/>
      <c r="W308" s="392"/>
      <c r="X308" s="391"/>
      <c r="Y308" s="391"/>
      <c r="Z308" s="391"/>
      <c r="AA308" s="391"/>
      <c r="AB308" s="392"/>
      <c r="AC308" s="391"/>
      <c r="AD308" s="391"/>
      <c r="AE308" s="391"/>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row>
    <row r="309" spans="1:58" ht="15.75" customHeight="1" x14ac:dyDescent="0.2">
      <c r="A309" s="189"/>
      <c r="B309" s="189"/>
      <c r="C309" s="55"/>
      <c r="D309" s="391"/>
      <c r="E309" s="391"/>
      <c r="F309" s="391"/>
      <c r="G309" s="391"/>
      <c r="H309" s="392"/>
      <c r="I309" s="391"/>
      <c r="J309" s="391"/>
      <c r="K309" s="391"/>
      <c r="L309" s="391"/>
      <c r="M309" s="392"/>
      <c r="N309" s="391"/>
      <c r="O309" s="391"/>
      <c r="P309" s="391"/>
      <c r="Q309" s="391"/>
      <c r="R309" s="392"/>
      <c r="S309" s="391"/>
      <c r="T309" s="391"/>
      <c r="U309" s="391"/>
      <c r="V309" s="391"/>
      <c r="W309" s="392"/>
      <c r="X309" s="391"/>
      <c r="Y309" s="391"/>
      <c r="Z309" s="391"/>
      <c r="AA309" s="391"/>
      <c r="AB309" s="392"/>
      <c r="AC309" s="391"/>
      <c r="AD309" s="391"/>
      <c r="AE309" s="391"/>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row>
    <row r="310" spans="1:58" ht="15.75" customHeight="1" x14ac:dyDescent="0.2">
      <c r="A310" s="189"/>
      <c r="B310" s="189"/>
      <c r="C310" s="55"/>
      <c r="D310" s="391"/>
      <c r="E310" s="391"/>
      <c r="F310" s="391"/>
      <c r="G310" s="391"/>
      <c r="H310" s="392"/>
      <c r="I310" s="391"/>
      <c r="J310" s="391"/>
      <c r="K310" s="391"/>
      <c r="L310" s="391"/>
      <c r="M310" s="392"/>
      <c r="N310" s="391"/>
      <c r="O310" s="391"/>
      <c r="P310" s="391"/>
      <c r="Q310" s="391"/>
      <c r="R310" s="392"/>
      <c r="S310" s="391"/>
      <c r="T310" s="391"/>
      <c r="U310" s="391"/>
      <c r="V310" s="391"/>
      <c r="W310" s="392"/>
      <c r="X310" s="391"/>
      <c r="Y310" s="391"/>
      <c r="Z310" s="391"/>
      <c r="AA310" s="391"/>
      <c r="AB310" s="392"/>
      <c r="AC310" s="391"/>
      <c r="AD310" s="391"/>
      <c r="AE310" s="391"/>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row>
    <row r="311" spans="1:58" ht="15.75" customHeight="1" x14ac:dyDescent="0.2">
      <c r="A311" s="189"/>
      <c r="B311" s="189"/>
      <c r="C311" s="55"/>
      <c r="D311" s="391"/>
      <c r="E311" s="391"/>
      <c r="F311" s="391"/>
      <c r="G311" s="391"/>
      <c r="H311" s="392"/>
      <c r="I311" s="391"/>
      <c r="J311" s="391"/>
      <c r="K311" s="391"/>
      <c r="L311" s="391"/>
      <c r="M311" s="392"/>
      <c r="N311" s="391"/>
      <c r="O311" s="391"/>
      <c r="P311" s="391"/>
      <c r="Q311" s="391"/>
      <c r="R311" s="392"/>
      <c r="S311" s="391"/>
      <c r="T311" s="391"/>
      <c r="U311" s="391"/>
      <c r="V311" s="391"/>
      <c r="W311" s="392"/>
      <c r="X311" s="391"/>
      <c r="Y311" s="391"/>
      <c r="Z311" s="391"/>
      <c r="AA311" s="391"/>
      <c r="AB311" s="392"/>
      <c r="AC311" s="391"/>
      <c r="AD311" s="391"/>
      <c r="AE311" s="391"/>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row>
    <row r="312" spans="1:58" ht="15.75" customHeight="1" x14ac:dyDescent="0.2">
      <c r="A312" s="189"/>
      <c r="B312" s="189"/>
      <c r="C312" s="55"/>
      <c r="D312" s="391"/>
      <c r="E312" s="391"/>
      <c r="F312" s="391"/>
      <c r="G312" s="391"/>
      <c r="H312" s="392"/>
      <c r="I312" s="391"/>
      <c r="J312" s="391"/>
      <c r="K312" s="391"/>
      <c r="L312" s="391"/>
      <c r="M312" s="392"/>
      <c r="N312" s="391"/>
      <c r="O312" s="391"/>
      <c r="P312" s="391"/>
      <c r="Q312" s="391"/>
      <c r="R312" s="392"/>
      <c r="S312" s="391"/>
      <c r="T312" s="391"/>
      <c r="U312" s="391"/>
      <c r="V312" s="391"/>
      <c r="W312" s="392"/>
      <c r="X312" s="391"/>
      <c r="Y312" s="391"/>
      <c r="Z312" s="391"/>
      <c r="AA312" s="391"/>
      <c r="AB312" s="392"/>
      <c r="AC312" s="391"/>
      <c r="AD312" s="391"/>
      <c r="AE312" s="391"/>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row>
    <row r="313" spans="1:58" ht="15.75" customHeight="1" x14ac:dyDescent="0.2">
      <c r="A313" s="189"/>
      <c r="B313" s="189"/>
      <c r="C313" s="55"/>
      <c r="D313" s="391"/>
      <c r="E313" s="391"/>
      <c r="F313" s="391"/>
      <c r="G313" s="391"/>
      <c r="H313" s="392"/>
      <c r="I313" s="391"/>
      <c r="J313" s="391"/>
      <c r="K313" s="391"/>
      <c r="L313" s="391"/>
      <c r="M313" s="392"/>
      <c r="N313" s="391"/>
      <c r="O313" s="391"/>
      <c r="P313" s="391"/>
      <c r="Q313" s="391"/>
      <c r="R313" s="392"/>
      <c r="S313" s="391"/>
      <c r="T313" s="391"/>
      <c r="U313" s="391"/>
      <c r="V313" s="391"/>
      <c r="W313" s="392"/>
      <c r="X313" s="391"/>
      <c r="Y313" s="391"/>
      <c r="Z313" s="391"/>
      <c r="AA313" s="391"/>
      <c r="AB313" s="392"/>
      <c r="AC313" s="391"/>
      <c r="AD313" s="391"/>
      <c r="AE313" s="391"/>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row>
    <row r="314" spans="1:58" ht="15.75" customHeight="1" x14ac:dyDescent="0.2">
      <c r="A314" s="189"/>
      <c r="B314" s="189"/>
      <c r="C314" s="55"/>
      <c r="D314" s="391"/>
      <c r="E314" s="391"/>
      <c r="F314" s="391"/>
      <c r="G314" s="391"/>
      <c r="H314" s="392"/>
      <c r="I314" s="391"/>
      <c r="J314" s="391"/>
      <c r="K314" s="391"/>
      <c r="L314" s="391"/>
      <c r="M314" s="392"/>
      <c r="N314" s="391"/>
      <c r="O314" s="391"/>
      <c r="P314" s="391"/>
      <c r="Q314" s="391"/>
      <c r="R314" s="392"/>
      <c r="S314" s="391"/>
      <c r="T314" s="391"/>
      <c r="U314" s="391"/>
      <c r="V314" s="391"/>
      <c r="W314" s="392"/>
      <c r="X314" s="391"/>
      <c r="Y314" s="391"/>
      <c r="Z314" s="391"/>
      <c r="AA314" s="391"/>
      <c r="AB314" s="392"/>
      <c r="AC314" s="391"/>
      <c r="AD314" s="391"/>
      <c r="AE314" s="391"/>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row>
    <row r="315" spans="1:58" ht="15.75" customHeight="1" x14ac:dyDescent="0.2">
      <c r="A315" s="189"/>
      <c r="B315" s="189"/>
      <c r="C315" s="55"/>
      <c r="D315" s="391"/>
      <c r="E315" s="391"/>
      <c r="F315" s="391"/>
      <c r="G315" s="391"/>
      <c r="H315" s="392"/>
      <c r="I315" s="391"/>
      <c r="J315" s="391"/>
      <c r="K315" s="391"/>
      <c r="L315" s="391"/>
      <c r="M315" s="392"/>
      <c r="N315" s="391"/>
      <c r="O315" s="391"/>
      <c r="P315" s="391"/>
      <c r="Q315" s="391"/>
      <c r="R315" s="392"/>
      <c r="S315" s="391"/>
      <c r="T315" s="391"/>
      <c r="U315" s="391"/>
      <c r="V315" s="391"/>
      <c r="W315" s="392"/>
      <c r="X315" s="391"/>
      <c r="Y315" s="391"/>
      <c r="Z315" s="391"/>
      <c r="AA315" s="391"/>
      <c r="AB315" s="392"/>
      <c r="AC315" s="391"/>
      <c r="AD315" s="391"/>
      <c r="AE315" s="391"/>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row>
    <row r="316" spans="1:58" ht="15.75" customHeight="1" x14ac:dyDescent="0.2">
      <c r="A316" s="189"/>
      <c r="B316" s="189"/>
      <c r="C316" s="55"/>
      <c r="D316" s="391"/>
      <c r="E316" s="391"/>
      <c r="F316" s="391"/>
      <c r="G316" s="391"/>
      <c r="H316" s="392"/>
      <c r="I316" s="391"/>
      <c r="J316" s="391"/>
      <c r="K316" s="391"/>
      <c r="L316" s="391"/>
      <c r="M316" s="392"/>
      <c r="N316" s="391"/>
      <c r="O316" s="391"/>
      <c r="P316" s="391"/>
      <c r="Q316" s="391"/>
      <c r="R316" s="392"/>
      <c r="S316" s="391"/>
      <c r="T316" s="391"/>
      <c r="U316" s="391"/>
      <c r="V316" s="391"/>
      <c r="W316" s="392"/>
      <c r="X316" s="391"/>
      <c r="Y316" s="391"/>
      <c r="Z316" s="391"/>
      <c r="AA316" s="391"/>
      <c r="AB316" s="392"/>
      <c r="AC316" s="391"/>
      <c r="AD316" s="391"/>
      <c r="AE316" s="391"/>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row>
    <row r="317" spans="1:58" ht="15.75" customHeight="1" x14ac:dyDescent="0.2">
      <c r="A317" s="189"/>
      <c r="B317" s="189"/>
      <c r="C317" s="55"/>
      <c r="D317" s="391"/>
      <c r="E317" s="391"/>
      <c r="F317" s="391"/>
      <c r="G317" s="391"/>
      <c r="H317" s="392"/>
      <c r="I317" s="391"/>
      <c r="J317" s="391"/>
      <c r="K317" s="391"/>
      <c r="L317" s="391"/>
      <c r="M317" s="392"/>
      <c r="N317" s="391"/>
      <c r="O317" s="391"/>
      <c r="P317" s="391"/>
      <c r="Q317" s="391"/>
      <c r="R317" s="392"/>
      <c r="S317" s="391"/>
      <c r="T317" s="391"/>
      <c r="U317" s="391"/>
      <c r="V317" s="391"/>
      <c r="W317" s="392"/>
      <c r="X317" s="391"/>
      <c r="Y317" s="391"/>
      <c r="Z317" s="391"/>
      <c r="AA317" s="391"/>
      <c r="AB317" s="392"/>
      <c r="AC317" s="391"/>
      <c r="AD317" s="391"/>
      <c r="AE317" s="391"/>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row>
    <row r="318" spans="1:58" ht="15.75" customHeight="1" x14ac:dyDescent="0.2">
      <c r="A318" s="189"/>
      <c r="B318" s="189"/>
      <c r="C318" s="55"/>
      <c r="D318" s="391"/>
      <c r="E318" s="391"/>
      <c r="F318" s="391"/>
      <c r="G318" s="391"/>
      <c r="H318" s="392"/>
      <c r="I318" s="391"/>
      <c r="J318" s="391"/>
      <c r="K318" s="391"/>
      <c r="L318" s="391"/>
      <c r="M318" s="392"/>
      <c r="N318" s="391"/>
      <c r="O318" s="391"/>
      <c r="P318" s="391"/>
      <c r="Q318" s="391"/>
      <c r="R318" s="392"/>
      <c r="S318" s="391"/>
      <c r="T318" s="391"/>
      <c r="U318" s="391"/>
      <c r="V318" s="391"/>
      <c r="W318" s="392"/>
      <c r="X318" s="391"/>
      <c r="Y318" s="391"/>
      <c r="Z318" s="391"/>
      <c r="AA318" s="391"/>
      <c r="AB318" s="392"/>
      <c r="AC318" s="391"/>
      <c r="AD318" s="391"/>
      <c r="AE318" s="391"/>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row>
    <row r="319" spans="1:58" ht="15.75" customHeight="1" x14ac:dyDescent="0.2">
      <c r="A319" s="189"/>
      <c r="B319" s="189"/>
      <c r="C319" s="55"/>
      <c r="D319" s="391"/>
      <c r="E319" s="391"/>
      <c r="F319" s="391"/>
      <c r="G319" s="391"/>
      <c r="H319" s="392"/>
      <c r="I319" s="391"/>
      <c r="J319" s="391"/>
      <c r="K319" s="391"/>
      <c r="L319" s="391"/>
      <c r="M319" s="392"/>
      <c r="N319" s="391"/>
      <c r="O319" s="391"/>
      <c r="P319" s="391"/>
      <c r="Q319" s="391"/>
      <c r="R319" s="392"/>
      <c r="S319" s="391"/>
      <c r="T319" s="391"/>
      <c r="U319" s="391"/>
      <c r="V319" s="391"/>
      <c r="W319" s="392"/>
      <c r="X319" s="391"/>
      <c r="Y319" s="391"/>
      <c r="Z319" s="391"/>
      <c r="AA319" s="391"/>
      <c r="AB319" s="392"/>
      <c r="AC319" s="391"/>
      <c r="AD319" s="391"/>
      <c r="AE319" s="391"/>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row>
    <row r="320" spans="1:58" ht="15.75" customHeight="1" x14ac:dyDescent="0.2">
      <c r="A320" s="189"/>
      <c r="B320" s="189"/>
      <c r="C320" s="55"/>
      <c r="D320" s="391"/>
      <c r="E320" s="391"/>
      <c r="F320" s="391"/>
      <c r="G320" s="391"/>
      <c r="H320" s="392"/>
      <c r="I320" s="391"/>
      <c r="J320" s="391"/>
      <c r="K320" s="391"/>
      <c r="L320" s="391"/>
      <c r="M320" s="392"/>
      <c r="N320" s="391"/>
      <c r="O320" s="391"/>
      <c r="P320" s="391"/>
      <c r="Q320" s="391"/>
      <c r="R320" s="392"/>
      <c r="S320" s="391"/>
      <c r="T320" s="391"/>
      <c r="U320" s="391"/>
      <c r="V320" s="391"/>
      <c r="W320" s="392"/>
      <c r="X320" s="391"/>
      <c r="Y320" s="391"/>
      <c r="Z320" s="391"/>
      <c r="AA320" s="391"/>
      <c r="AB320" s="392"/>
      <c r="AC320" s="391"/>
      <c r="AD320" s="391"/>
      <c r="AE320" s="391"/>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row>
    <row r="321" spans="1:58" ht="15.75" customHeight="1" x14ac:dyDescent="0.2">
      <c r="A321" s="189"/>
      <c r="B321" s="189"/>
      <c r="C321" s="55"/>
      <c r="D321" s="391"/>
      <c r="E321" s="391"/>
      <c r="F321" s="391"/>
      <c r="G321" s="391"/>
      <c r="H321" s="392"/>
      <c r="I321" s="391"/>
      <c r="J321" s="391"/>
      <c r="K321" s="391"/>
      <c r="L321" s="391"/>
      <c r="M321" s="392"/>
      <c r="N321" s="391"/>
      <c r="O321" s="391"/>
      <c r="P321" s="391"/>
      <c r="Q321" s="391"/>
      <c r="R321" s="392"/>
      <c r="S321" s="391"/>
      <c r="T321" s="391"/>
      <c r="U321" s="391"/>
      <c r="V321" s="391"/>
      <c r="W321" s="392"/>
      <c r="X321" s="391"/>
      <c r="Y321" s="391"/>
      <c r="Z321" s="391"/>
      <c r="AA321" s="391"/>
      <c r="AB321" s="392"/>
      <c r="AC321" s="391"/>
      <c r="AD321" s="391"/>
      <c r="AE321" s="391"/>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row>
    <row r="322" spans="1:58" ht="15.75" customHeight="1" x14ac:dyDescent="0.2">
      <c r="A322" s="189"/>
      <c r="B322" s="189"/>
      <c r="C322" s="55"/>
      <c r="D322" s="391"/>
      <c r="E322" s="391"/>
      <c r="F322" s="391"/>
      <c r="G322" s="391"/>
      <c r="H322" s="392"/>
      <c r="I322" s="391"/>
      <c r="J322" s="391"/>
      <c r="K322" s="391"/>
      <c r="L322" s="391"/>
      <c r="M322" s="392"/>
      <c r="N322" s="391"/>
      <c r="O322" s="391"/>
      <c r="P322" s="391"/>
      <c r="Q322" s="391"/>
      <c r="R322" s="392"/>
      <c r="S322" s="391"/>
      <c r="T322" s="391"/>
      <c r="U322" s="391"/>
      <c r="V322" s="391"/>
      <c r="W322" s="392"/>
      <c r="X322" s="391"/>
      <c r="Y322" s="391"/>
      <c r="Z322" s="391"/>
      <c r="AA322" s="391"/>
      <c r="AB322" s="392"/>
      <c r="AC322" s="391"/>
      <c r="AD322" s="391"/>
      <c r="AE322" s="391"/>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row>
    <row r="323" spans="1:58" ht="15.75" customHeight="1" x14ac:dyDescent="0.2">
      <c r="A323" s="189"/>
      <c r="B323" s="189"/>
      <c r="C323" s="55"/>
      <c r="D323" s="391"/>
      <c r="E323" s="391"/>
      <c r="F323" s="391"/>
      <c r="G323" s="391"/>
      <c r="H323" s="392"/>
      <c r="I323" s="391"/>
      <c r="J323" s="391"/>
      <c r="K323" s="391"/>
      <c r="L323" s="391"/>
      <c r="M323" s="392"/>
      <c r="N323" s="391"/>
      <c r="O323" s="391"/>
      <c r="P323" s="391"/>
      <c r="Q323" s="391"/>
      <c r="R323" s="392"/>
      <c r="S323" s="391"/>
      <c r="T323" s="391"/>
      <c r="U323" s="391"/>
      <c r="V323" s="391"/>
      <c r="W323" s="392"/>
      <c r="X323" s="391"/>
      <c r="Y323" s="391"/>
      <c r="Z323" s="391"/>
      <c r="AA323" s="391"/>
      <c r="AB323" s="392"/>
      <c r="AC323" s="391"/>
      <c r="AD323" s="391"/>
      <c r="AE323" s="391"/>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row>
    <row r="324" spans="1:58" ht="15.75" customHeight="1" x14ac:dyDescent="0.2">
      <c r="A324" s="189"/>
      <c r="B324" s="189"/>
      <c r="C324" s="55"/>
      <c r="D324" s="391"/>
      <c r="E324" s="391"/>
      <c r="F324" s="391"/>
      <c r="G324" s="391"/>
      <c r="H324" s="392"/>
      <c r="I324" s="391"/>
      <c r="J324" s="391"/>
      <c r="K324" s="391"/>
      <c r="L324" s="391"/>
      <c r="M324" s="392"/>
      <c r="N324" s="391"/>
      <c r="O324" s="391"/>
      <c r="P324" s="391"/>
      <c r="Q324" s="391"/>
      <c r="R324" s="392"/>
      <c r="S324" s="391"/>
      <c r="T324" s="391"/>
      <c r="U324" s="391"/>
      <c r="V324" s="391"/>
      <c r="W324" s="392"/>
      <c r="X324" s="391"/>
      <c r="Y324" s="391"/>
      <c r="Z324" s="391"/>
      <c r="AA324" s="391"/>
      <c r="AB324" s="392"/>
      <c r="AC324" s="391"/>
      <c r="AD324" s="391"/>
      <c r="AE324" s="391"/>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row>
    <row r="325" spans="1:58" ht="15.75" customHeight="1" x14ac:dyDescent="0.2">
      <c r="A325" s="189"/>
      <c r="B325" s="189"/>
      <c r="C325" s="55"/>
      <c r="D325" s="391"/>
      <c r="E325" s="391"/>
      <c r="F325" s="391"/>
      <c r="G325" s="391"/>
      <c r="H325" s="392"/>
      <c r="I325" s="391"/>
      <c r="J325" s="391"/>
      <c r="K325" s="391"/>
      <c r="L325" s="391"/>
      <c r="M325" s="392"/>
      <c r="N325" s="391"/>
      <c r="O325" s="391"/>
      <c r="P325" s="391"/>
      <c r="Q325" s="391"/>
      <c r="R325" s="392"/>
      <c r="S325" s="391"/>
      <c r="T325" s="391"/>
      <c r="U325" s="391"/>
      <c r="V325" s="391"/>
      <c r="W325" s="392"/>
      <c r="X325" s="391"/>
      <c r="Y325" s="391"/>
      <c r="Z325" s="391"/>
      <c r="AA325" s="391"/>
      <c r="AB325" s="392"/>
      <c r="AC325" s="391"/>
      <c r="AD325" s="391"/>
      <c r="AE325" s="391"/>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row>
    <row r="326" spans="1:58" ht="15.75" customHeight="1" x14ac:dyDescent="0.2">
      <c r="A326" s="189"/>
      <c r="B326" s="189"/>
      <c r="C326" s="55"/>
      <c r="D326" s="391"/>
      <c r="E326" s="391"/>
      <c r="F326" s="391"/>
      <c r="G326" s="391"/>
      <c r="H326" s="392"/>
      <c r="I326" s="391"/>
      <c r="J326" s="391"/>
      <c r="K326" s="391"/>
      <c r="L326" s="391"/>
      <c r="M326" s="392"/>
      <c r="N326" s="391"/>
      <c r="O326" s="391"/>
      <c r="P326" s="391"/>
      <c r="Q326" s="391"/>
      <c r="R326" s="392"/>
      <c r="S326" s="391"/>
      <c r="T326" s="391"/>
      <c r="U326" s="391"/>
      <c r="V326" s="391"/>
      <c r="W326" s="392"/>
      <c r="X326" s="391"/>
      <c r="Y326" s="391"/>
      <c r="Z326" s="391"/>
      <c r="AA326" s="391"/>
      <c r="AB326" s="392"/>
      <c r="AC326" s="391"/>
      <c r="AD326" s="391"/>
      <c r="AE326" s="391"/>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row>
    <row r="327" spans="1:58" ht="15.75" customHeight="1" x14ac:dyDescent="0.2">
      <c r="A327" s="189"/>
      <c r="B327" s="189"/>
      <c r="C327" s="55"/>
      <c r="D327" s="391"/>
      <c r="E327" s="391"/>
      <c r="F327" s="391"/>
      <c r="G327" s="391"/>
      <c r="H327" s="392"/>
      <c r="I327" s="391"/>
      <c r="J327" s="391"/>
      <c r="K327" s="391"/>
      <c r="L327" s="391"/>
      <c r="M327" s="392"/>
      <c r="N327" s="391"/>
      <c r="O327" s="391"/>
      <c r="P327" s="391"/>
      <c r="Q327" s="391"/>
      <c r="R327" s="392"/>
      <c r="S327" s="391"/>
      <c r="T327" s="391"/>
      <c r="U327" s="391"/>
      <c r="V327" s="391"/>
      <c r="W327" s="392"/>
      <c r="X327" s="391"/>
      <c r="Y327" s="391"/>
      <c r="Z327" s="391"/>
      <c r="AA327" s="391"/>
      <c r="AB327" s="392"/>
      <c r="AC327" s="391"/>
      <c r="AD327" s="391"/>
      <c r="AE327" s="391"/>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row>
    <row r="328" spans="1:58" ht="15.75" customHeight="1" x14ac:dyDescent="0.2">
      <c r="A328" s="189"/>
      <c r="B328" s="189"/>
      <c r="C328" s="55"/>
      <c r="D328" s="391"/>
      <c r="E328" s="391"/>
      <c r="F328" s="391"/>
      <c r="G328" s="391"/>
      <c r="H328" s="392"/>
      <c r="I328" s="391"/>
      <c r="J328" s="391"/>
      <c r="K328" s="391"/>
      <c r="L328" s="391"/>
      <c r="M328" s="392"/>
      <c r="N328" s="391"/>
      <c r="O328" s="391"/>
      <c r="P328" s="391"/>
      <c r="Q328" s="391"/>
      <c r="R328" s="392"/>
      <c r="S328" s="391"/>
      <c r="T328" s="391"/>
      <c r="U328" s="391"/>
      <c r="V328" s="391"/>
      <c r="W328" s="392"/>
      <c r="X328" s="391"/>
      <c r="Y328" s="391"/>
      <c r="Z328" s="391"/>
      <c r="AA328" s="391"/>
      <c r="AB328" s="392"/>
      <c r="AC328" s="391"/>
      <c r="AD328" s="391"/>
      <c r="AE328" s="391"/>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row>
    <row r="329" spans="1:58" ht="15.75" customHeight="1" x14ac:dyDescent="0.2">
      <c r="A329" s="189"/>
      <c r="B329" s="189"/>
      <c r="C329" s="55"/>
      <c r="D329" s="391"/>
      <c r="E329" s="391"/>
      <c r="F329" s="391"/>
      <c r="G329" s="391"/>
      <c r="H329" s="392"/>
      <c r="I329" s="391"/>
      <c r="J329" s="391"/>
      <c r="K329" s="391"/>
      <c r="L329" s="391"/>
      <c r="M329" s="392"/>
      <c r="N329" s="391"/>
      <c r="O329" s="391"/>
      <c r="P329" s="391"/>
      <c r="Q329" s="391"/>
      <c r="R329" s="392"/>
      <c r="S329" s="391"/>
      <c r="T329" s="391"/>
      <c r="U329" s="391"/>
      <c r="V329" s="391"/>
      <c r="W329" s="392"/>
      <c r="X329" s="391"/>
      <c r="Y329" s="391"/>
      <c r="Z329" s="391"/>
      <c r="AA329" s="391"/>
      <c r="AB329" s="392"/>
      <c r="AC329" s="391"/>
      <c r="AD329" s="391"/>
      <c r="AE329" s="391"/>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row>
    <row r="330" spans="1:58" ht="15.75" customHeight="1" x14ac:dyDescent="0.2">
      <c r="A330" s="189"/>
      <c r="B330" s="189"/>
      <c r="C330" s="55"/>
      <c r="D330" s="391"/>
      <c r="E330" s="391"/>
      <c r="F330" s="391"/>
      <c r="G330" s="391"/>
      <c r="H330" s="392"/>
      <c r="I330" s="391"/>
      <c r="J330" s="391"/>
      <c r="K330" s="391"/>
      <c r="L330" s="391"/>
      <c r="M330" s="392"/>
      <c r="N330" s="391"/>
      <c r="O330" s="391"/>
      <c r="P330" s="391"/>
      <c r="Q330" s="391"/>
      <c r="R330" s="392"/>
      <c r="S330" s="391"/>
      <c r="T330" s="391"/>
      <c r="U330" s="391"/>
      <c r="V330" s="391"/>
      <c r="W330" s="392"/>
      <c r="X330" s="391"/>
      <c r="Y330" s="391"/>
      <c r="Z330" s="391"/>
      <c r="AA330" s="391"/>
      <c r="AB330" s="392"/>
      <c r="AC330" s="391"/>
      <c r="AD330" s="391"/>
      <c r="AE330" s="391"/>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row>
    <row r="331" spans="1:58" ht="15.75" customHeight="1" x14ac:dyDescent="0.2">
      <c r="A331" s="189"/>
      <c r="B331" s="189"/>
      <c r="C331" s="55"/>
      <c r="D331" s="391"/>
      <c r="E331" s="391"/>
      <c r="F331" s="391"/>
      <c r="G331" s="391"/>
      <c r="H331" s="392"/>
      <c r="I331" s="391"/>
      <c r="J331" s="391"/>
      <c r="K331" s="391"/>
      <c r="L331" s="391"/>
      <c r="M331" s="392"/>
      <c r="N331" s="391"/>
      <c r="O331" s="391"/>
      <c r="P331" s="391"/>
      <c r="Q331" s="391"/>
      <c r="R331" s="392"/>
      <c r="S331" s="391"/>
      <c r="T331" s="391"/>
      <c r="U331" s="391"/>
      <c r="V331" s="391"/>
      <c r="W331" s="392"/>
      <c r="X331" s="391"/>
      <c r="Y331" s="391"/>
      <c r="Z331" s="391"/>
      <c r="AA331" s="391"/>
      <c r="AB331" s="392"/>
      <c r="AC331" s="391"/>
      <c r="AD331" s="391"/>
      <c r="AE331" s="391"/>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row>
    <row r="332" spans="1:58" ht="15.75" customHeight="1" x14ac:dyDescent="0.2">
      <c r="A332" s="189"/>
      <c r="B332" s="189"/>
      <c r="C332" s="55"/>
      <c r="D332" s="391"/>
      <c r="E332" s="391"/>
      <c r="F332" s="391"/>
      <c r="G332" s="391"/>
      <c r="H332" s="392"/>
      <c r="I332" s="391"/>
      <c r="J332" s="391"/>
      <c r="K332" s="391"/>
      <c r="L332" s="391"/>
      <c r="M332" s="392"/>
      <c r="N332" s="391"/>
      <c r="O332" s="391"/>
      <c r="P332" s="391"/>
      <c r="Q332" s="391"/>
      <c r="R332" s="392"/>
      <c r="S332" s="391"/>
      <c r="T332" s="391"/>
      <c r="U332" s="391"/>
      <c r="V332" s="391"/>
      <c r="W332" s="392"/>
      <c r="X332" s="391"/>
      <c r="Y332" s="391"/>
      <c r="Z332" s="391"/>
      <c r="AA332" s="391"/>
      <c r="AB332" s="392"/>
      <c r="AC332" s="391"/>
      <c r="AD332" s="391"/>
      <c r="AE332" s="391"/>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row>
    <row r="333" spans="1:58" ht="15.75" customHeight="1" x14ac:dyDescent="0.2">
      <c r="A333" s="189"/>
      <c r="B333" s="189"/>
      <c r="C333" s="55"/>
      <c r="D333" s="391"/>
      <c r="E333" s="391"/>
      <c r="F333" s="391"/>
      <c r="G333" s="391"/>
      <c r="H333" s="392"/>
      <c r="I333" s="391"/>
      <c r="J333" s="391"/>
      <c r="K333" s="391"/>
      <c r="L333" s="391"/>
      <c r="M333" s="392"/>
      <c r="N333" s="391"/>
      <c r="O333" s="391"/>
      <c r="P333" s="391"/>
      <c r="Q333" s="391"/>
      <c r="R333" s="392"/>
      <c r="S333" s="391"/>
      <c r="T333" s="391"/>
      <c r="U333" s="391"/>
      <c r="V333" s="391"/>
      <c r="W333" s="392"/>
      <c r="X333" s="391"/>
      <c r="Y333" s="391"/>
      <c r="Z333" s="391"/>
      <c r="AA333" s="391"/>
      <c r="AB333" s="392"/>
      <c r="AC333" s="391"/>
      <c r="AD333" s="391"/>
      <c r="AE333" s="391"/>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row>
    <row r="334" spans="1:58" ht="15.75" customHeight="1" x14ac:dyDescent="0.2">
      <c r="A334" s="189"/>
      <c r="B334" s="189"/>
      <c r="C334" s="55"/>
      <c r="D334" s="391"/>
      <c r="E334" s="391"/>
      <c r="F334" s="391"/>
      <c r="G334" s="391"/>
      <c r="H334" s="392"/>
      <c r="I334" s="391"/>
      <c r="J334" s="391"/>
      <c r="K334" s="391"/>
      <c r="L334" s="391"/>
      <c r="M334" s="392"/>
      <c r="N334" s="391"/>
      <c r="O334" s="391"/>
      <c r="P334" s="391"/>
      <c r="Q334" s="391"/>
      <c r="R334" s="392"/>
      <c r="S334" s="391"/>
      <c r="T334" s="391"/>
      <c r="U334" s="391"/>
      <c r="V334" s="391"/>
      <c r="W334" s="392"/>
      <c r="X334" s="391"/>
      <c r="Y334" s="391"/>
      <c r="Z334" s="391"/>
      <c r="AA334" s="391"/>
      <c r="AB334" s="392"/>
      <c r="AC334" s="391"/>
      <c r="AD334" s="391"/>
      <c r="AE334" s="391"/>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row>
    <row r="335" spans="1:58" ht="15.75" customHeight="1" x14ac:dyDescent="0.2">
      <c r="A335" s="189"/>
      <c r="B335" s="189"/>
      <c r="C335" s="55"/>
      <c r="D335" s="391"/>
      <c r="E335" s="391"/>
      <c r="F335" s="391"/>
      <c r="G335" s="391"/>
      <c r="H335" s="392"/>
      <c r="I335" s="391"/>
      <c r="J335" s="391"/>
      <c r="K335" s="391"/>
      <c r="L335" s="391"/>
      <c r="M335" s="392"/>
      <c r="N335" s="391"/>
      <c r="O335" s="391"/>
      <c r="P335" s="391"/>
      <c r="Q335" s="391"/>
      <c r="R335" s="392"/>
      <c r="S335" s="391"/>
      <c r="T335" s="391"/>
      <c r="U335" s="391"/>
      <c r="V335" s="391"/>
      <c r="W335" s="392"/>
      <c r="X335" s="391"/>
      <c r="Y335" s="391"/>
      <c r="Z335" s="391"/>
      <c r="AA335" s="391"/>
      <c r="AB335" s="392"/>
      <c r="AC335" s="391"/>
      <c r="AD335" s="391"/>
      <c r="AE335" s="391"/>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row>
    <row r="336" spans="1:58" ht="15.75" customHeight="1" x14ac:dyDescent="0.2">
      <c r="A336" s="189"/>
      <c r="B336" s="189"/>
      <c r="C336" s="55"/>
      <c r="D336" s="391"/>
      <c r="E336" s="391"/>
      <c r="F336" s="391"/>
      <c r="G336" s="391"/>
      <c r="H336" s="392"/>
      <c r="I336" s="391"/>
      <c r="J336" s="391"/>
      <c r="K336" s="391"/>
      <c r="L336" s="391"/>
      <c r="M336" s="392"/>
      <c r="N336" s="391"/>
      <c r="O336" s="391"/>
      <c r="P336" s="391"/>
      <c r="Q336" s="391"/>
      <c r="R336" s="392"/>
      <c r="S336" s="391"/>
      <c r="T336" s="391"/>
      <c r="U336" s="391"/>
      <c r="V336" s="391"/>
      <c r="W336" s="392"/>
      <c r="X336" s="391"/>
      <c r="Y336" s="391"/>
      <c r="Z336" s="391"/>
      <c r="AA336" s="391"/>
      <c r="AB336" s="392"/>
      <c r="AC336" s="391"/>
      <c r="AD336" s="391"/>
      <c r="AE336" s="391"/>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row>
    <row r="337" spans="1:58" ht="15.75" customHeight="1" x14ac:dyDescent="0.2">
      <c r="A337" s="189"/>
      <c r="B337" s="189"/>
      <c r="C337" s="55"/>
      <c r="D337" s="391"/>
      <c r="E337" s="391"/>
      <c r="F337" s="391"/>
      <c r="G337" s="391"/>
      <c r="H337" s="392"/>
      <c r="I337" s="391"/>
      <c r="J337" s="391"/>
      <c r="K337" s="391"/>
      <c r="L337" s="391"/>
      <c r="M337" s="392"/>
      <c r="N337" s="391"/>
      <c r="O337" s="391"/>
      <c r="P337" s="391"/>
      <c r="Q337" s="391"/>
      <c r="R337" s="392"/>
      <c r="S337" s="391"/>
      <c r="T337" s="391"/>
      <c r="U337" s="391"/>
      <c r="V337" s="391"/>
      <c r="W337" s="392"/>
      <c r="X337" s="391"/>
      <c r="Y337" s="391"/>
      <c r="Z337" s="391"/>
      <c r="AA337" s="391"/>
      <c r="AB337" s="392"/>
      <c r="AC337" s="391"/>
      <c r="AD337" s="391"/>
      <c r="AE337" s="391"/>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row>
    <row r="338" spans="1:58" ht="15.75" customHeight="1" x14ac:dyDescent="0.2">
      <c r="A338" s="189"/>
      <c r="B338" s="189"/>
      <c r="C338" s="55"/>
      <c r="D338" s="391"/>
      <c r="E338" s="391"/>
      <c r="F338" s="391"/>
      <c r="G338" s="391"/>
      <c r="H338" s="392"/>
      <c r="I338" s="391"/>
      <c r="J338" s="391"/>
      <c r="K338" s="391"/>
      <c r="L338" s="391"/>
      <c r="M338" s="392"/>
      <c r="N338" s="391"/>
      <c r="O338" s="391"/>
      <c r="P338" s="391"/>
      <c r="Q338" s="391"/>
      <c r="R338" s="392"/>
      <c r="S338" s="391"/>
      <c r="T338" s="391"/>
      <c r="U338" s="391"/>
      <c r="V338" s="391"/>
      <c r="W338" s="392"/>
      <c r="X338" s="391"/>
      <c r="Y338" s="391"/>
      <c r="Z338" s="391"/>
      <c r="AA338" s="391"/>
      <c r="AB338" s="392"/>
      <c r="AC338" s="391"/>
      <c r="AD338" s="391"/>
      <c r="AE338" s="391"/>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row>
    <row r="339" spans="1:58" ht="15.75" customHeight="1" x14ac:dyDescent="0.2">
      <c r="A339" s="189"/>
      <c r="B339" s="189"/>
      <c r="C339" s="55"/>
      <c r="D339" s="391"/>
      <c r="E339" s="391"/>
      <c r="F339" s="391"/>
      <c r="G339" s="391"/>
      <c r="H339" s="392"/>
      <c r="I339" s="391"/>
      <c r="J339" s="391"/>
      <c r="K339" s="391"/>
      <c r="L339" s="391"/>
      <c r="M339" s="392"/>
      <c r="N339" s="391"/>
      <c r="O339" s="391"/>
      <c r="P339" s="391"/>
      <c r="Q339" s="391"/>
      <c r="R339" s="392"/>
      <c r="S339" s="391"/>
      <c r="T339" s="391"/>
      <c r="U339" s="391"/>
      <c r="V339" s="391"/>
      <c r="W339" s="392"/>
      <c r="X339" s="391"/>
      <c r="Y339" s="391"/>
      <c r="Z339" s="391"/>
      <c r="AA339" s="391"/>
      <c r="AB339" s="392"/>
      <c r="AC339" s="391"/>
      <c r="AD339" s="391"/>
      <c r="AE339" s="391"/>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row>
    <row r="340" spans="1:58" ht="15.75" customHeight="1" x14ac:dyDescent="0.2">
      <c r="A340" s="189"/>
      <c r="B340" s="189"/>
      <c r="C340" s="55"/>
      <c r="D340" s="391"/>
      <c r="E340" s="391"/>
      <c r="F340" s="391"/>
      <c r="G340" s="391"/>
      <c r="H340" s="392"/>
      <c r="I340" s="391"/>
      <c r="J340" s="391"/>
      <c r="K340" s="391"/>
      <c r="L340" s="391"/>
      <c r="M340" s="392"/>
      <c r="N340" s="391"/>
      <c r="O340" s="391"/>
      <c r="P340" s="391"/>
      <c r="Q340" s="391"/>
      <c r="R340" s="392"/>
      <c r="S340" s="391"/>
      <c r="T340" s="391"/>
      <c r="U340" s="391"/>
      <c r="V340" s="391"/>
      <c r="W340" s="392"/>
      <c r="X340" s="391"/>
      <c r="Y340" s="391"/>
      <c r="Z340" s="391"/>
      <c r="AA340" s="391"/>
      <c r="AB340" s="392"/>
      <c r="AC340" s="391"/>
      <c r="AD340" s="391"/>
      <c r="AE340" s="391"/>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row>
    <row r="341" spans="1:58" ht="15.75" customHeight="1" x14ac:dyDescent="0.2">
      <c r="A341" s="189"/>
      <c r="B341" s="189"/>
      <c r="C341" s="55"/>
      <c r="D341" s="391"/>
      <c r="E341" s="391"/>
      <c r="F341" s="391"/>
      <c r="G341" s="391"/>
      <c r="H341" s="392"/>
      <c r="I341" s="391"/>
      <c r="J341" s="391"/>
      <c r="K341" s="391"/>
      <c r="L341" s="391"/>
      <c r="M341" s="392"/>
      <c r="N341" s="391"/>
      <c r="O341" s="391"/>
      <c r="P341" s="391"/>
      <c r="Q341" s="391"/>
      <c r="R341" s="392"/>
      <c r="S341" s="391"/>
      <c r="T341" s="391"/>
      <c r="U341" s="391"/>
      <c r="V341" s="391"/>
      <c r="W341" s="392"/>
      <c r="X341" s="391"/>
      <c r="Y341" s="391"/>
      <c r="Z341" s="391"/>
      <c r="AA341" s="391"/>
      <c r="AB341" s="392"/>
      <c r="AC341" s="391"/>
      <c r="AD341" s="391"/>
      <c r="AE341" s="391"/>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row>
    <row r="342" spans="1:58" ht="15.75" customHeight="1" x14ac:dyDescent="0.2">
      <c r="A342" s="189"/>
      <c r="B342" s="189"/>
      <c r="C342" s="55"/>
      <c r="D342" s="391"/>
      <c r="E342" s="391"/>
      <c r="F342" s="391"/>
      <c r="G342" s="391"/>
      <c r="H342" s="392"/>
      <c r="I342" s="391"/>
      <c r="J342" s="391"/>
      <c r="K342" s="391"/>
      <c r="L342" s="391"/>
      <c r="M342" s="392"/>
      <c r="N342" s="391"/>
      <c r="O342" s="391"/>
      <c r="P342" s="391"/>
      <c r="Q342" s="391"/>
      <c r="R342" s="392"/>
      <c r="S342" s="391"/>
      <c r="T342" s="391"/>
      <c r="U342" s="391"/>
      <c r="V342" s="391"/>
      <c r="W342" s="392"/>
      <c r="X342" s="391"/>
      <c r="Y342" s="391"/>
      <c r="Z342" s="391"/>
      <c r="AA342" s="391"/>
      <c r="AB342" s="392"/>
      <c r="AC342" s="391"/>
      <c r="AD342" s="391"/>
      <c r="AE342" s="391"/>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row>
    <row r="343" spans="1:58" ht="15.75" customHeight="1" x14ac:dyDescent="0.2">
      <c r="A343" s="189"/>
      <c r="B343" s="189"/>
      <c r="C343" s="55"/>
      <c r="D343" s="391"/>
      <c r="E343" s="391"/>
      <c r="F343" s="391"/>
      <c r="G343" s="391"/>
      <c r="H343" s="392"/>
      <c r="I343" s="391"/>
      <c r="J343" s="391"/>
      <c r="K343" s="391"/>
      <c r="L343" s="391"/>
      <c r="M343" s="392"/>
      <c r="N343" s="391"/>
      <c r="O343" s="391"/>
      <c r="P343" s="391"/>
      <c r="Q343" s="391"/>
      <c r="R343" s="392"/>
      <c r="S343" s="391"/>
      <c r="T343" s="391"/>
      <c r="U343" s="391"/>
      <c r="V343" s="391"/>
      <c r="W343" s="392"/>
      <c r="X343" s="391"/>
      <c r="Y343" s="391"/>
      <c r="Z343" s="391"/>
      <c r="AA343" s="391"/>
      <c r="AB343" s="392"/>
      <c r="AC343" s="391"/>
      <c r="AD343" s="391"/>
      <c r="AE343" s="391"/>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row>
    <row r="344" spans="1:58" ht="15.75" customHeight="1" x14ac:dyDescent="0.2">
      <c r="A344" s="189"/>
      <c r="B344" s="189"/>
      <c r="C344" s="55"/>
      <c r="D344" s="391"/>
      <c r="E344" s="391"/>
      <c r="F344" s="391"/>
      <c r="G344" s="391"/>
      <c r="H344" s="392"/>
      <c r="I344" s="391"/>
      <c r="J344" s="391"/>
      <c r="K344" s="391"/>
      <c r="L344" s="391"/>
      <c r="M344" s="392"/>
      <c r="N344" s="391"/>
      <c r="O344" s="391"/>
      <c r="P344" s="391"/>
      <c r="Q344" s="391"/>
      <c r="R344" s="392"/>
      <c r="S344" s="391"/>
      <c r="T344" s="391"/>
      <c r="U344" s="391"/>
      <c r="V344" s="391"/>
      <c r="W344" s="392"/>
      <c r="X344" s="391"/>
      <c r="Y344" s="391"/>
      <c r="Z344" s="391"/>
      <c r="AA344" s="391"/>
      <c r="AB344" s="392"/>
      <c r="AC344" s="391"/>
      <c r="AD344" s="391"/>
      <c r="AE344" s="391"/>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row>
    <row r="345" spans="1:58" ht="15.75" customHeight="1" x14ac:dyDescent="0.2">
      <c r="A345" s="189"/>
      <c r="B345" s="189"/>
      <c r="C345" s="55"/>
      <c r="D345" s="391"/>
      <c r="E345" s="391"/>
      <c r="F345" s="391"/>
      <c r="G345" s="391"/>
      <c r="H345" s="392"/>
      <c r="I345" s="391"/>
      <c r="J345" s="391"/>
      <c r="K345" s="391"/>
      <c r="L345" s="391"/>
      <c r="M345" s="392"/>
      <c r="N345" s="391"/>
      <c r="O345" s="391"/>
      <c r="P345" s="391"/>
      <c r="Q345" s="391"/>
      <c r="R345" s="392"/>
      <c r="S345" s="391"/>
      <c r="T345" s="391"/>
      <c r="U345" s="391"/>
      <c r="V345" s="391"/>
      <c r="W345" s="392"/>
      <c r="X345" s="391"/>
      <c r="Y345" s="391"/>
      <c r="Z345" s="391"/>
      <c r="AA345" s="391"/>
      <c r="AB345" s="392"/>
      <c r="AC345" s="391"/>
      <c r="AD345" s="391"/>
      <c r="AE345" s="391"/>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row>
    <row r="346" spans="1:58" ht="15.75" customHeight="1" x14ac:dyDescent="0.2">
      <c r="A346" s="189"/>
      <c r="B346" s="189"/>
      <c r="C346" s="55"/>
      <c r="D346" s="391"/>
      <c r="E346" s="391"/>
      <c r="F346" s="391"/>
      <c r="G346" s="391"/>
      <c r="H346" s="392"/>
      <c r="I346" s="391"/>
      <c r="J346" s="391"/>
      <c r="K346" s="391"/>
      <c r="L346" s="391"/>
      <c r="M346" s="392"/>
      <c r="N346" s="391"/>
      <c r="O346" s="391"/>
      <c r="P346" s="391"/>
      <c r="Q346" s="391"/>
      <c r="R346" s="392"/>
      <c r="S346" s="391"/>
      <c r="T346" s="391"/>
      <c r="U346" s="391"/>
      <c r="V346" s="391"/>
      <c r="W346" s="392"/>
      <c r="X346" s="391"/>
      <c r="Y346" s="391"/>
      <c r="Z346" s="391"/>
      <c r="AA346" s="391"/>
      <c r="AB346" s="392"/>
      <c r="AC346" s="391"/>
      <c r="AD346" s="391"/>
      <c r="AE346" s="391"/>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row>
    <row r="347" spans="1:58" ht="15.75" customHeight="1" x14ac:dyDescent="0.2">
      <c r="A347" s="189"/>
      <c r="B347" s="189"/>
      <c r="C347" s="55"/>
      <c r="D347" s="391"/>
      <c r="E347" s="391"/>
      <c r="F347" s="391"/>
      <c r="G347" s="391"/>
      <c r="H347" s="392"/>
      <c r="I347" s="391"/>
      <c r="J347" s="391"/>
      <c r="K347" s="391"/>
      <c r="L347" s="391"/>
      <c r="M347" s="392"/>
      <c r="N347" s="391"/>
      <c r="O347" s="391"/>
      <c r="P347" s="391"/>
      <c r="Q347" s="391"/>
      <c r="R347" s="392"/>
      <c r="S347" s="391"/>
      <c r="T347" s="391"/>
      <c r="U347" s="391"/>
      <c r="V347" s="391"/>
      <c r="W347" s="392"/>
      <c r="X347" s="391"/>
      <c r="Y347" s="391"/>
      <c r="Z347" s="391"/>
      <c r="AA347" s="391"/>
      <c r="AB347" s="392"/>
      <c r="AC347" s="391"/>
      <c r="AD347" s="391"/>
      <c r="AE347" s="391"/>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row>
    <row r="348" spans="1:58" ht="15.75" customHeight="1" x14ac:dyDescent="0.2">
      <c r="A348" s="189"/>
      <c r="B348" s="189"/>
      <c r="C348" s="55"/>
      <c r="D348" s="391"/>
      <c r="E348" s="391"/>
      <c r="F348" s="391"/>
      <c r="G348" s="391"/>
      <c r="H348" s="392"/>
      <c r="I348" s="391"/>
      <c r="J348" s="391"/>
      <c r="K348" s="391"/>
      <c r="L348" s="391"/>
      <c r="M348" s="392"/>
      <c r="N348" s="391"/>
      <c r="O348" s="391"/>
      <c r="P348" s="391"/>
      <c r="Q348" s="391"/>
      <c r="R348" s="392"/>
      <c r="S348" s="391"/>
      <c r="T348" s="391"/>
      <c r="U348" s="391"/>
      <c r="V348" s="391"/>
      <c r="W348" s="392"/>
      <c r="X348" s="391"/>
      <c r="Y348" s="391"/>
      <c r="Z348" s="391"/>
      <c r="AA348" s="391"/>
      <c r="AB348" s="392"/>
      <c r="AC348" s="391"/>
      <c r="AD348" s="391"/>
      <c r="AE348" s="391"/>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row>
    <row r="349" spans="1:58" ht="15.75" customHeight="1" x14ac:dyDescent="0.2">
      <c r="A349" s="189"/>
      <c r="B349" s="189"/>
      <c r="C349" s="55"/>
      <c r="D349" s="391"/>
      <c r="E349" s="391"/>
      <c r="F349" s="391"/>
      <c r="G349" s="391"/>
      <c r="H349" s="392"/>
      <c r="I349" s="391"/>
      <c r="J349" s="391"/>
      <c r="K349" s="391"/>
      <c r="L349" s="391"/>
      <c r="M349" s="392"/>
      <c r="N349" s="391"/>
      <c r="O349" s="391"/>
      <c r="P349" s="391"/>
      <c r="Q349" s="391"/>
      <c r="R349" s="392"/>
      <c r="S349" s="391"/>
      <c r="T349" s="391"/>
      <c r="U349" s="391"/>
      <c r="V349" s="391"/>
      <c r="W349" s="392"/>
      <c r="X349" s="391"/>
      <c r="Y349" s="391"/>
      <c r="Z349" s="391"/>
      <c r="AA349" s="391"/>
      <c r="AB349" s="392"/>
      <c r="AC349" s="391"/>
      <c r="AD349" s="391"/>
      <c r="AE349" s="391"/>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row>
    <row r="350" spans="1:58" ht="15.75" customHeight="1" x14ac:dyDescent="0.2">
      <c r="A350" s="189"/>
      <c r="B350" s="189"/>
      <c r="C350" s="55"/>
      <c r="D350" s="391"/>
      <c r="E350" s="391"/>
      <c r="F350" s="391"/>
      <c r="G350" s="391"/>
      <c r="H350" s="392"/>
      <c r="I350" s="391"/>
      <c r="J350" s="391"/>
      <c r="K350" s="391"/>
      <c r="L350" s="391"/>
      <c r="M350" s="392"/>
      <c r="N350" s="391"/>
      <c r="O350" s="391"/>
      <c r="P350" s="391"/>
      <c r="Q350" s="391"/>
      <c r="R350" s="392"/>
      <c r="S350" s="391"/>
      <c r="T350" s="391"/>
      <c r="U350" s="391"/>
      <c r="V350" s="391"/>
      <c r="W350" s="392"/>
      <c r="X350" s="391"/>
      <c r="Y350" s="391"/>
      <c r="Z350" s="391"/>
      <c r="AA350" s="391"/>
      <c r="AB350" s="392"/>
      <c r="AC350" s="391"/>
      <c r="AD350" s="391"/>
      <c r="AE350" s="391"/>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row>
    <row r="351" spans="1:58" ht="15.75" customHeight="1" x14ac:dyDescent="0.2">
      <c r="A351" s="189"/>
      <c r="B351" s="189"/>
      <c r="C351" s="55"/>
      <c r="D351" s="391"/>
      <c r="E351" s="391"/>
      <c r="F351" s="391"/>
      <c r="G351" s="391"/>
      <c r="H351" s="392"/>
      <c r="I351" s="391"/>
      <c r="J351" s="391"/>
      <c r="K351" s="391"/>
      <c r="L351" s="391"/>
      <c r="M351" s="392"/>
      <c r="N351" s="391"/>
      <c r="O351" s="391"/>
      <c r="P351" s="391"/>
      <c r="Q351" s="391"/>
      <c r="R351" s="392"/>
      <c r="S351" s="391"/>
      <c r="T351" s="391"/>
      <c r="U351" s="391"/>
      <c r="V351" s="391"/>
      <c r="W351" s="392"/>
      <c r="X351" s="391"/>
      <c r="Y351" s="391"/>
      <c r="Z351" s="391"/>
      <c r="AA351" s="391"/>
      <c r="AB351" s="392"/>
      <c r="AC351" s="391"/>
      <c r="AD351" s="391"/>
      <c r="AE351" s="391"/>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row>
    <row r="352" spans="1:58" ht="15.75" customHeight="1" x14ac:dyDescent="0.2">
      <c r="A352" s="189"/>
      <c r="B352" s="189"/>
      <c r="C352" s="55"/>
      <c r="D352" s="391"/>
      <c r="E352" s="391"/>
      <c r="F352" s="391"/>
      <c r="G352" s="391"/>
      <c r="H352" s="392"/>
      <c r="I352" s="391"/>
      <c r="J352" s="391"/>
      <c r="K352" s="391"/>
      <c r="L352" s="391"/>
      <c r="M352" s="392"/>
      <c r="N352" s="391"/>
      <c r="O352" s="391"/>
      <c r="P352" s="391"/>
      <c r="Q352" s="391"/>
      <c r="R352" s="392"/>
      <c r="S352" s="391"/>
      <c r="T352" s="391"/>
      <c r="U352" s="391"/>
      <c r="V352" s="391"/>
      <c r="W352" s="392"/>
      <c r="X352" s="391"/>
      <c r="Y352" s="391"/>
      <c r="Z352" s="391"/>
      <c r="AA352" s="391"/>
      <c r="AB352" s="392"/>
      <c r="AC352" s="391"/>
      <c r="AD352" s="391"/>
      <c r="AE352" s="391"/>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row>
    <row r="353" spans="1:58" ht="15.75" customHeight="1" x14ac:dyDescent="0.2">
      <c r="A353" s="189"/>
      <c r="B353" s="189"/>
      <c r="C353" s="55"/>
      <c r="D353" s="391"/>
      <c r="E353" s="391"/>
      <c r="F353" s="391"/>
      <c r="G353" s="391"/>
      <c r="H353" s="392"/>
      <c r="I353" s="391"/>
      <c r="J353" s="391"/>
      <c r="K353" s="391"/>
      <c r="L353" s="391"/>
      <c r="M353" s="392"/>
      <c r="N353" s="391"/>
      <c r="O353" s="391"/>
      <c r="P353" s="391"/>
      <c r="Q353" s="391"/>
      <c r="R353" s="392"/>
      <c r="S353" s="391"/>
      <c r="T353" s="391"/>
      <c r="U353" s="391"/>
      <c r="V353" s="391"/>
      <c r="W353" s="392"/>
      <c r="X353" s="391"/>
      <c r="Y353" s="391"/>
      <c r="Z353" s="391"/>
      <c r="AA353" s="391"/>
      <c r="AB353" s="392"/>
      <c r="AC353" s="391"/>
      <c r="AD353" s="391"/>
      <c r="AE353" s="391"/>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row>
    <row r="354" spans="1:58" ht="15.75" customHeight="1" x14ac:dyDescent="0.2">
      <c r="A354" s="189"/>
      <c r="B354" s="189"/>
      <c r="C354" s="55"/>
      <c r="D354" s="391"/>
      <c r="E354" s="391"/>
      <c r="F354" s="391"/>
      <c r="G354" s="391"/>
      <c r="H354" s="392"/>
      <c r="I354" s="391"/>
      <c r="J354" s="391"/>
      <c r="K354" s="391"/>
      <c r="L354" s="391"/>
      <c r="M354" s="392"/>
      <c r="N354" s="391"/>
      <c r="O354" s="391"/>
      <c r="P354" s="391"/>
      <c r="Q354" s="391"/>
      <c r="R354" s="392"/>
      <c r="S354" s="391"/>
      <c r="T354" s="391"/>
      <c r="U354" s="391"/>
      <c r="V354" s="391"/>
      <c r="W354" s="392"/>
      <c r="X354" s="391"/>
      <c r="Y354" s="391"/>
      <c r="Z354" s="391"/>
      <c r="AA354" s="391"/>
      <c r="AB354" s="392"/>
      <c r="AC354" s="391"/>
      <c r="AD354" s="391"/>
      <c r="AE354" s="391"/>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row>
    <row r="355" spans="1:58" ht="15.75" customHeight="1" x14ac:dyDescent="0.2">
      <c r="A355" s="189"/>
      <c r="B355" s="189"/>
      <c r="C355" s="55"/>
      <c r="D355" s="391"/>
      <c r="E355" s="391"/>
      <c r="F355" s="391"/>
      <c r="G355" s="391"/>
      <c r="H355" s="392"/>
      <c r="I355" s="391"/>
      <c r="J355" s="391"/>
      <c r="K355" s="391"/>
      <c r="L355" s="391"/>
      <c r="M355" s="392"/>
      <c r="N355" s="391"/>
      <c r="O355" s="391"/>
      <c r="P355" s="391"/>
      <c r="Q355" s="391"/>
      <c r="R355" s="392"/>
      <c r="S355" s="391"/>
      <c r="T355" s="391"/>
      <c r="U355" s="391"/>
      <c r="V355" s="391"/>
      <c r="W355" s="392"/>
      <c r="X355" s="391"/>
      <c r="Y355" s="391"/>
      <c r="Z355" s="391"/>
      <c r="AA355" s="391"/>
      <c r="AB355" s="392"/>
      <c r="AC355" s="391"/>
      <c r="AD355" s="391"/>
      <c r="AE355" s="391"/>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row>
    <row r="356" spans="1:58" ht="15.75" customHeight="1" x14ac:dyDescent="0.2">
      <c r="A356" s="189"/>
      <c r="B356" s="189"/>
      <c r="C356" s="55"/>
      <c r="D356" s="391"/>
      <c r="E356" s="391"/>
      <c r="F356" s="391"/>
      <c r="G356" s="391"/>
      <c r="H356" s="392"/>
      <c r="I356" s="391"/>
      <c r="J356" s="391"/>
      <c r="K356" s="391"/>
      <c r="L356" s="391"/>
      <c r="M356" s="392"/>
      <c r="N356" s="391"/>
      <c r="O356" s="391"/>
      <c r="P356" s="391"/>
      <c r="Q356" s="391"/>
      <c r="R356" s="392"/>
      <c r="S356" s="391"/>
      <c r="T356" s="391"/>
      <c r="U356" s="391"/>
      <c r="V356" s="391"/>
      <c r="W356" s="392"/>
      <c r="X356" s="391"/>
      <c r="Y356" s="391"/>
      <c r="Z356" s="391"/>
      <c r="AA356" s="391"/>
      <c r="AB356" s="392"/>
      <c r="AC356" s="391"/>
      <c r="AD356" s="391"/>
      <c r="AE356" s="391"/>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row>
    <row r="357" spans="1:58" ht="15.75" customHeight="1" x14ac:dyDescent="0.2">
      <c r="A357" s="189"/>
      <c r="B357" s="189"/>
      <c r="C357" s="55"/>
      <c r="D357" s="391"/>
      <c r="E357" s="391"/>
      <c r="F357" s="391"/>
      <c r="G357" s="391"/>
      <c r="H357" s="392"/>
      <c r="I357" s="391"/>
      <c r="J357" s="391"/>
      <c r="K357" s="391"/>
      <c r="L357" s="391"/>
      <c r="M357" s="392"/>
      <c r="N357" s="391"/>
      <c r="O357" s="391"/>
      <c r="P357" s="391"/>
      <c r="Q357" s="391"/>
      <c r="R357" s="392"/>
      <c r="S357" s="391"/>
      <c r="T357" s="391"/>
      <c r="U357" s="391"/>
      <c r="V357" s="391"/>
      <c r="W357" s="392"/>
      <c r="X357" s="391"/>
      <c r="Y357" s="391"/>
      <c r="Z357" s="391"/>
      <c r="AA357" s="391"/>
      <c r="AB357" s="392"/>
      <c r="AC357" s="391"/>
      <c r="AD357" s="391"/>
      <c r="AE357" s="391"/>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row>
    <row r="358" spans="1:58" ht="15.75" customHeight="1" x14ac:dyDescent="0.2">
      <c r="A358" s="189"/>
      <c r="B358" s="189"/>
      <c r="C358" s="55"/>
      <c r="D358" s="391"/>
      <c r="E358" s="391"/>
      <c r="F358" s="391"/>
      <c r="G358" s="391"/>
      <c r="H358" s="392"/>
      <c r="I358" s="391"/>
      <c r="J358" s="391"/>
      <c r="K358" s="391"/>
      <c r="L358" s="391"/>
      <c r="M358" s="392"/>
      <c r="N358" s="391"/>
      <c r="O358" s="391"/>
      <c r="P358" s="391"/>
      <c r="Q358" s="391"/>
      <c r="R358" s="392"/>
      <c r="S358" s="391"/>
      <c r="T358" s="391"/>
      <c r="U358" s="391"/>
      <c r="V358" s="391"/>
      <c r="W358" s="392"/>
      <c r="X358" s="391"/>
      <c r="Y358" s="391"/>
      <c r="Z358" s="391"/>
      <c r="AA358" s="391"/>
      <c r="AB358" s="392"/>
      <c r="AC358" s="391"/>
      <c r="AD358" s="391"/>
      <c r="AE358" s="391"/>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row>
    <row r="359" spans="1:58" ht="15.75" customHeight="1" x14ac:dyDescent="0.2">
      <c r="A359" s="189"/>
      <c r="B359" s="189"/>
      <c r="C359" s="55"/>
      <c r="D359" s="391"/>
      <c r="E359" s="391"/>
      <c r="F359" s="391"/>
      <c r="G359" s="391"/>
      <c r="H359" s="392"/>
      <c r="I359" s="391"/>
      <c r="J359" s="391"/>
      <c r="K359" s="391"/>
      <c r="L359" s="391"/>
      <c r="M359" s="392"/>
      <c r="N359" s="391"/>
      <c r="O359" s="391"/>
      <c r="P359" s="391"/>
      <c r="Q359" s="391"/>
      <c r="R359" s="392"/>
      <c r="S359" s="391"/>
      <c r="T359" s="391"/>
      <c r="U359" s="391"/>
      <c r="V359" s="391"/>
      <c r="W359" s="392"/>
      <c r="X359" s="391"/>
      <c r="Y359" s="391"/>
      <c r="Z359" s="391"/>
      <c r="AA359" s="391"/>
      <c r="AB359" s="392"/>
      <c r="AC359" s="391"/>
      <c r="AD359" s="391"/>
      <c r="AE359" s="391"/>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row>
    <row r="360" spans="1:58" ht="15.75" customHeight="1" x14ac:dyDescent="0.2">
      <c r="A360" s="189"/>
      <c r="B360" s="189"/>
      <c r="C360" s="55"/>
      <c r="D360" s="391"/>
      <c r="E360" s="391"/>
      <c r="F360" s="391"/>
      <c r="G360" s="391"/>
      <c r="H360" s="392"/>
      <c r="I360" s="391"/>
      <c r="J360" s="391"/>
      <c r="K360" s="391"/>
      <c r="L360" s="391"/>
      <c r="M360" s="392"/>
      <c r="N360" s="391"/>
      <c r="O360" s="391"/>
      <c r="P360" s="391"/>
      <c r="Q360" s="391"/>
      <c r="R360" s="392"/>
      <c r="S360" s="391"/>
      <c r="T360" s="391"/>
      <c r="U360" s="391"/>
      <c r="V360" s="391"/>
      <c r="W360" s="392"/>
      <c r="X360" s="391"/>
      <c r="Y360" s="391"/>
      <c r="Z360" s="391"/>
      <c r="AA360" s="391"/>
      <c r="AB360" s="392"/>
      <c r="AC360" s="391"/>
      <c r="AD360" s="391"/>
      <c r="AE360" s="391"/>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row>
    <row r="361" spans="1:58" ht="15.75" customHeight="1" x14ac:dyDescent="0.2">
      <c r="A361" s="189"/>
      <c r="B361" s="189"/>
      <c r="C361" s="55"/>
      <c r="D361" s="391"/>
      <c r="E361" s="391"/>
      <c r="F361" s="391"/>
      <c r="G361" s="391"/>
      <c r="H361" s="392"/>
      <c r="I361" s="391"/>
      <c r="J361" s="391"/>
      <c r="K361" s="391"/>
      <c r="L361" s="391"/>
      <c r="M361" s="392"/>
      <c r="N361" s="391"/>
      <c r="O361" s="391"/>
      <c r="P361" s="391"/>
      <c r="Q361" s="391"/>
      <c r="R361" s="392"/>
      <c r="S361" s="391"/>
      <c r="T361" s="391"/>
      <c r="U361" s="391"/>
      <c r="V361" s="391"/>
      <c r="W361" s="392"/>
      <c r="X361" s="391"/>
      <c r="Y361" s="391"/>
      <c r="Z361" s="391"/>
      <c r="AA361" s="391"/>
      <c r="AB361" s="392"/>
      <c r="AC361" s="391"/>
      <c r="AD361" s="391"/>
      <c r="AE361" s="391"/>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row>
    <row r="362" spans="1:58" ht="15.75" customHeight="1" x14ac:dyDescent="0.2">
      <c r="A362" s="189"/>
      <c r="B362" s="189"/>
      <c r="C362" s="55"/>
      <c r="D362" s="391"/>
      <c r="E362" s="391"/>
      <c r="F362" s="391"/>
      <c r="G362" s="391"/>
      <c r="H362" s="392"/>
      <c r="I362" s="391"/>
      <c r="J362" s="391"/>
      <c r="K362" s="391"/>
      <c r="L362" s="391"/>
      <c r="M362" s="392"/>
      <c r="N362" s="391"/>
      <c r="O362" s="391"/>
      <c r="P362" s="391"/>
      <c r="Q362" s="391"/>
      <c r="R362" s="392"/>
      <c r="S362" s="391"/>
      <c r="T362" s="391"/>
      <c r="U362" s="391"/>
      <c r="V362" s="391"/>
      <c r="W362" s="392"/>
      <c r="X362" s="391"/>
      <c r="Y362" s="391"/>
      <c r="Z362" s="391"/>
      <c r="AA362" s="391"/>
      <c r="AB362" s="392"/>
      <c r="AC362" s="391"/>
      <c r="AD362" s="391"/>
      <c r="AE362" s="391"/>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row>
    <row r="363" spans="1:58" ht="15.75" customHeight="1" x14ac:dyDescent="0.2">
      <c r="A363" s="189"/>
      <c r="B363" s="189"/>
      <c r="C363" s="55"/>
      <c r="D363" s="391"/>
      <c r="E363" s="391"/>
      <c r="F363" s="391"/>
      <c r="G363" s="391"/>
      <c r="H363" s="392"/>
      <c r="I363" s="391"/>
      <c r="J363" s="391"/>
      <c r="K363" s="391"/>
      <c r="L363" s="391"/>
      <c r="M363" s="392"/>
      <c r="N363" s="391"/>
      <c r="O363" s="391"/>
      <c r="P363" s="391"/>
      <c r="Q363" s="391"/>
      <c r="R363" s="392"/>
      <c r="S363" s="391"/>
      <c r="T363" s="391"/>
      <c r="U363" s="391"/>
      <c r="V363" s="391"/>
      <c r="W363" s="392"/>
      <c r="X363" s="391"/>
      <c r="Y363" s="391"/>
      <c r="Z363" s="391"/>
      <c r="AA363" s="391"/>
      <c r="AB363" s="392"/>
      <c r="AC363" s="391"/>
      <c r="AD363" s="391"/>
      <c r="AE363" s="391"/>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row>
    <row r="364" spans="1:58" ht="15.75" customHeight="1" x14ac:dyDescent="0.2">
      <c r="A364" s="189"/>
      <c r="B364" s="189"/>
      <c r="C364" s="55"/>
      <c r="D364" s="391"/>
      <c r="E364" s="391"/>
      <c r="F364" s="391"/>
      <c r="G364" s="391"/>
      <c r="H364" s="392"/>
      <c r="I364" s="391"/>
      <c r="J364" s="391"/>
      <c r="K364" s="391"/>
      <c r="L364" s="391"/>
      <c r="M364" s="392"/>
      <c r="N364" s="391"/>
      <c r="O364" s="391"/>
      <c r="P364" s="391"/>
      <c r="Q364" s="391"/>
      <c r="R364" s="392"/>
      <c r="S364" s="391"/>
      <c r="T364" s="391"/>
      <c r="U364" s="391"/>
      <c r="V364" s="391"/>
      <c r="W364" s="392"/>
      <c r="X364" s="391"/>
      <c r="Y364" s="391"/>
      <c r="Z364" s="391"/>
      <c r="AA364" s="391"/>
      <c r="AB364" s="392"/>
      <c r="AC364" s="391"/>
      <c r="AD364" s="391"/>
      <c r="AE364" s="391"/>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row>
    <row r="365" spans="1:58" ht="15.75" customHeight="1" x14ac:dyDescent="0.2">
      <c r="A365" s="189"/>
      <c r="B365" s="189"/>
      <c r="C365" s="55"/>
      <c r="D365" s="391"/>
      <c r="E365" s="391"/>
      <c r="F365" s="391"/>
      <c r="G365" s="391"/>
      <c r="H365" s="392"/>
      <c r="I365" s="391"/>
      <c r="J365" s="391"/>
      <c r="K365" s="391"/>
      <c r="L365" s="391"/>
      <c r="M365" s="392"/>
      <c r="N365" s="391"/>
      <c r="O365" s="391"/>
      <c r="P365" s="391"/>
      <c r="Q365" s="391"/>
      <c r="R365" s="392"/>
      <c r="S365" s="391"/>
      <c r="T365" s="391"/>
      <c r="U365" s="391"/>
      <c r="V365" s="391"/>
      <c r="W365" s="392"/>
      <c r="X365" s="391"/>
      <c r="Y365" s="391"/>
      <c r="Z365" s="391"/>
      <c r="AA365" s="391"/>
      <c r="AB365" s="392"/>
      <c r="AC365" s="391"/>
      <c r="AD365" s="391"/>
      <c r="AE365" s="391"/>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row>
    <row r="366" spans="1:58" ht="15.75" customHeight="1" x14ac:dyDescent="0.2">
      <c r="A366" s="189"/>
      <c r="B366" s="189"/>
      <c r="C366" s="55"/>
      <c r="D366" s="391"/>
      <c r="E366" s="391"/>
      <c r="F366" s="391"/>
      <c r="G366" s="391"/>
      <c r="H366" s="392"/>
      <c r="I366" s="391"/>
      <c r="J366" s="391"/>
      <c r="K366" s="391"/>
      <c r="L366" s="391"/>
      <c r="M366" s="392"/>
      <c r="N366" s="391"/>
      <c r="O366" s="391"/>
      <c r="P366" s="391"/>
      <c r="Q366" s="391"/>
      <c r="R366" s="392"/>
      <c r="S366" s="391"/>
      <c r="T366" s="391"/>
      <c r="U366" s="391"/>
      <c r="V366" s="391"/>
      <c r="W366" s="392"/>
      <c r="X366" s="391"/>
      <c r="Y366" s="391"/>
      <c r="Z366" s="391"/>
      <c r="AA366" s="391"/>
      <c r="AB366" s="392"/>
      <c r="AC366" s="391"/>
      <c r="AD366" s="391"/>
      <c r="AE366" s="391"/>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row>
    <row r="367" spans="1:58" ht="15.75" customHeight="1" x14ac:dyDescent="0.2">
      <c r="A367" s="189"/>
      <c r="B367" s="189"/>
      <c r="C367" s="55"/>
      <c r="D367" s="391"/>
      <c r="E367" s="391"/>
      <c r="F367" s="391"/>
      <c r="G367" s="391"/>
      <c r="H367" s="392"/>
      <c r="I367" s="391"/>
      <c r="J367" s="391"/>
      <c r="K367" s="391"/>
      <c r="L367" s="391"/>
      <c r="M367" s="392"/>
      <c r="N367" s="391"/>
      <c r="O367" s="391"/>
      <c r="P367" s="391"/>
      <c r="Q367" s="391"/>
      <c r="R367" s="392"/>
      <c r="S367" s="391"/>
      <c r="T367" s="391"/>
      <c r="U367" s="391"/>
      <c r="V367" s="391"/>
      <c r="W367" s="392"/>
      <c r="X367" s="391"/>
      <c r="Y367" s="391"/>
      <c r="Z367" s="391"/>
      <c r="AA367" s="391"/>
      <c r="AB367" s="392"/>
      <c r="AC367" s="391"/>
      <c r="AD367" s="391"/>
      <c r="AE367" s="391"/>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row>
    <row r="368" spans="1:58" ht="15.75" customHeight="1" x14ac:dyDescent="0.2">
      <c r="A368" s="189"/>
      <c r="B368" s="189"/>
      <c r="C368" s="55"/>
      <c r="D368" s="391"/>
      <c r="E368" s="391"/>
      <c r="F368" s="391"/>
      <c r="G368" s="391"/>
      <c r="H368" s="392"/>
      <c r="I368" s="391"/>
      <c r="J368" s="391"/>
      <c r="K368" s="391"/>
      <c r="L368" s="391"/>
      <c r="M368" s="392"/>
      <c r="N368" s="391"/>
      <c r="O368" s="391"/>
      <c r="P368" s="391"/>
      <c r="Q368" s="391"/>
      <c r="R368" s="392"/>
      <c r="S368" s="391"/>
      <c r="T368" s="391"/>
      <c r="U368" s="391"/>
      <c r="V368" s="391"/>
      <c r="W368" s="392"/>
      <c r="X368" s="391"/>
      <c r="Y368" s="391"/>
      <c r="Z368" s="391"/>
      <c r="AA368" s="391"/>
      <c r="AB368" s="392"/>
      <c r="AC368" s="391"/>
      <c r="AD368" s="391"/>
      <c r="AE368" s="391"/>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row>
    <row r="369" spans="1:58" ht="15.75" customHeight="1" x14ac:dyDescent="0.2">
      <c r="A369" s="189"/>
      <c r="B369" s="189"/>
      <c r="C369" s="55"/>
      <c r="D369" s="391"/>
      <c r="E369" s="391"/>
      <c r="F369" s="391"/>
      <c r="G369" s="391"/>
      <c r="H369" s="392"/>
      <c r="I369" s="391"/>
      <c r="J369" s="391"/>
      <c r="K369" s="391"/>
      <c r="L369" s="391"/>
      <c r="M369" s="392"/>
      <c r="N369" s="391"/>
      <c r="O369" s="391"/>
      <c r="P369" s="391"/>
      <c r="Q369" s="391"/>
      <c r="R369" s="392"/>
      <c r="S369" s="391"/>
      <c r="T369" s="391"/>
      <c r="U369" s="391"/>
      <c r="V369" s="391"/>
      <c r="W369" s="392"/>
      <c r="X369" s="391"/>
      <c r="Y369" s="391"/>
      <c r="Z369" s="391"/>
      <c r="AA369" s="391"/>
      <c r="AB369" s="392"/>
      <c r="AC369" s="391"/>
      <c r="AD369" s="391"/>
      <c r="AE369" s="391"/>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row>
    <row r="370" spans="1:58" ht="15.75" customHeight="1" x14ac:dyDescent="0.2">
      <c r="A370" s="189"/>
      <c r="B370" s="189"/>
      <c r="C370" s="55"/>
      <c r="D370" s="391"/>
      <c r="E370" s="391"/>
      <c r="F370" s="391"/>
      <c r="G370" s="391"/>
      <c r="H370" s="392"/>
      <c r="I370" s="391"/>
      <c r="J370" s="391"/>
      <c r="K370" s="391"/>
      <c r="L370" s="391"/>
      <c r="M370" s="392"/>
      <c r="N370" s="391"/>
      <c r="O370" s="391"/>
      <c r="P370" s="391"/>
      <c r="Q370" s="391"/>
      <c r="R370" s="392"/>
      <c r="S370" s="391"/>
      <c r="T370" s="391"/>
      <c r="U370" s="391"/>
      <c r="V370" s="391"/>
      <c r="W370" s="392"/>
      <c r="X370" s="391"/>
      <c r="Y370" s="391"/>
      <c r="Z370" s="391"/>
      <c r="AA370" s="391"/>
      <c r="AB370" s="392"/>
      <c r="AC370" s="391"/>
      <c r="AD370" s="391"/>
      <c r="AE370" s="391"/>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row>
    <row r="371" spans="1:58" ht="15.75" customHeight="1" x14ac:dyDescent="0.2">
      <c r="A371" s="189"/>
      <c r="B371" s="189"/>
      <c r="C371" s="55"/>
      <c r="D371" s="391"/>
      <c r="E371" s="391"/>
      <c r="F371" s="391"/>
      <c r="G371" s="391"/>
      <c r="H371" s="392"/>
      <c r="I371" s="391"/>
      <c r="J371" s="391"/>
      <c r="K371" s="391"/>
      <c r="L371" s="391"/>
      <c r="M371" s="392"/>
      <c r="N371" s="391"/>
      <c r="O371" s="391"/>
      <c r="P371" s="391"/>
      <c r="Q371" s="391"/>
      <c r="R371" s="392"/>
      <c r="S371" s="391"/>
      <c r="T371" s="391"/>
      <c r="U371" s="391"/>
      <c r="V371" s="391"/>
      <c r="W371" s="392"/>
      <c r="X371" s="391"/>
      <c r="Y371" s="391"/>
      <c r="Z371" s="391"/>
      <c r="AA371" s="391"/>
      <c r="AB371" s="392"/>
      <c r="AC371" s="391"/>
      <c r="AD371" s="391"/>
      <c r="AE371" s="391"/>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row>
    <row r="372" spans="1:58" ht="15.75" customHeight="1" x14ac:dyDescent="0.2">
      <c r="A372" s="189"/>
      <c r="B372" s="189"/>
      <c r="C372" s="55"/>
      <c r="D372" s="391"/>
      <c r="E372" s="391"/>
      <c r="F372" s="391"/>
      <c r="G372" s="391"/>
      <c r="H372" s="392"/>
      <c r="I372" s="391"/>
      <c r="J372" s="391"/>
      <c r="K372" s="391"/>
      <c r="L372" s="391"/>
      <c r="M372" s="392"/>
      <c r="N372" s="391"/>
      <c r="O372" s="391"/>
      <c r="P372" s="391"/>
      <c r="Q372" s="391"/>
      <c r="R372" s="392"/>
      <c r="S372" s="391"/>
      <c r="T372" s="391"/>
      <c r="U372" s="391"/>
      <c r="V372" s="391"/>
      <c r="W372" s="392"/>
      <c r="X372" s="391"/>
      <c r="Y372" s="391"/>
      <c r="Z372" s="391"/>
      <c r="AA372" s="391"/>
      <c r="AB372" s="392"/>
      <c r="AC372" s="391"/>
      <c r="AD372" s="391"/>
      <c r="AE372" s="391"/>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row>
    <row r="373" spans="1:58" ht="15.75" customHeight="1" x14ac:dyDescent="0.2">
      <c r="A373" s="189"/>
      <c r="B373" s="189"/>
      <c r="C373" s="55"/>
      <c r="D373" s="391"/>
      <c r="E373" s="391"/>
      <c r="F373" s="391"/>
      <c r="G373" s="391"/>
      <c r="H373" s="392"/>
      <c r="I373" s="391"/>
      <c r="J373" s="391"/>
      <c r="K373" s="391"/>
      <c r="L373" s="391"/>
      <c r="M373" s="392"/>
      <c r="N373" s="391"/>
      <c r="O373" s="391"/>
      <c r="P373" s="391"/>
      <c r="Q373" s="391"/>
      <c r="R373" s="392"/>
      <c r="S373" s="391"/>
      <c r="T373" s="391"/>
      <c r="U373" s="391"/>
      <c r="V373" s="391"/>
      <c r="W373" s="392"/>
      <c r="X373" s="391"/>
      <c r="Y373" s="391"/>
      <c r="Z373" s="391"/>
      <c r="AA373" s="391"/>
      <c r="AB373" s="392"/>
      <c r="AC373" s="391"/>
      <c r="AD373" s="391"/>
      <c r="AE373" s="391"/>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row>
    <row r="374" spans="1:58" ht="15.75" customHeight="1" x14ac:dyDescent="0.2">
      <c r="A374" s="189"/>
      <c r="B374" s="189"/>
      <c r="C374" s="55"/>
      <c r="D374" s="391"/>
      <c r="E374" s="391"/>
      <c r="F374" s="391"/>
      <c r="G374" s="391"/>
      <c r="H374" s="392"/>
      <c r="I374" s="391"/>
      <c r="J374" s="391"/>
      <c r="K374" s="391"/>
      <c r="L374" s="391"/>
      <c r="M374" s="392"/>
      <c r="N374" s="391"/>
      <c r="O374" s="391"/>
      <c r="P374" s="391"/>
      <c r="Q374" s="391"/>
      <c r="R374" s="392"/>
      <c r="S374" s="391"/>
      <c r="T374" s="391"/>
      <c r="U374" s="391"/>
      <c r="V374" s="391"/>
      <c r="W374" s="392"/>
      <c r="X374" s="391"/>
      <c r="Y374" s="391"/>
      <c r="Z374" s="391"/>
      <c r="AA374" s="391"/>
      <c r="AB374" s="392"/>
      <c r="AC374" s="391"/>
      <c r="AD374" s="391"/>
      <c r="AE374" s="391"/>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row>
    <row r="375" spans="1:58" ht="15.75" customHeight="1" x14ac:dyDescent="0.2">
      <c r="A375" s="189"/>
      <c r="B375" s="189"/>
      <c r="C375" s="55"/>
      <c r="D375" s="391"/>
      <c r="E375" s="391"/>
      <c r="F375" s="391"/>
      <c r="G375" s="391"/>
      <c r="H375" s="392"/>
      <c r="I375" s="391"/>
      <c r="J375" s="391"/>
      <c r="K375" s="391"/>
      <c r="L375" s="391"/>
      <c r="M375" s="392"/>
      <c r="N375" s="391"/>
      <c r="O375" s="391"/>
      <c r="P375" s="391"/>
      <c r="Q375" s="391"/>
      <c r="R375" s="392"/>
      <c r="S375" s="391"/>
      <c r="T375" s="391"/>
      <c r="U375" s="391"/>
      <c r="V375" s="391"/>
      <c r="W375" s="392"/>
      <c r="X375" s="391"/>
      <c r="Y375" s="391"/>
      <c r="Z375" s="391"/>
      <c r="AA375" s="391"/>
      <c r="AB375" s="392"/>
      <c r="AC375" s="391"/>
      <c r="AD375" s="391"/>
      <c r="AE375" s="391"/>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row>
    <row r="376" spans="1:58" ht="15.75" customHeight="1" x14ac:dyDescent="0.2">
      <c r="A376" s="189"/>
      <c r="B376" s="189"/>
      <c r="C376" s="55"/>
      <c r="D376" s="391"/>
      <c r="E376" s="391"/>
      <c r="F376" s="391"/>
      <c r="G376" s="391"/>
      <c r="H376" s="392"/>
      <c r="I376" s="391"/>
      <c r="J376" s="391"/>
      <c r="K376" s="391"/>
      <c r="L376" s="391"/>
      <c r="M376" s="392"/>
      <c r="N376" s="391"/>
      <c r="O376" s="391"/>
      <c r="P376" s="391"/>
      <c r="Q376" s="391"/>
      <c r="R376" s="392"/>
      <c r="S376" s="391"/>
      <c r="T376" s="391"/>
      <c r="U376" s="391"/>
      <c r="V376" s="391"/>
      <c r="W376" s="392"/>
      <c r="X376" s="391"/>
      <c r="Y376" s="391"/>
      <c r="Z376" s="391"/>
      <c r="AA376" s="391"/>
      <c r="AB376" s="392"/>
      <c r="AC376" s="391"/>
      <c r="AD376" s="391"/>
      <c r="AE376" s="391"/>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row>
    <row r="377" spans="1:58" ht="15.75" customHeight="1" x14ac:dyDescent="0.2">
      <c r="A377" s="189"/>
      <c r="B377" s="189"/>
      <c r="C377" s="55"/>
      <c r="D377" s="391"/>
      <c r="E377" s="391"/>
      <c r="F377" s="391"/>
      <c r="G377" s="391"/>
      <c r="H377" s="392"/>
      <c r="I377" s="391"/>
      <c r="J377" s="391"/>
      <c r="K377" s="391"/>
      <c r="L377" s="391"/>
      <c r="M377" s="392"/>
      <c r="N377" s="391"/>
      <c r="O377" s="391"/>
      <c r="P377" s="391"/>
      <c r="Q377" s="391"/>
      <c r="R377" s="392"/>
      <c r="S377" s="391"/>
      <c r="T377" s="391"/>
      <c r="U377" s="391"/>
      <c r="V377" s="391"/>
      <c r="W377" s="392"/>
      <c r="X377" s="391"/>
      <c r="Y377" s="391"/>
      <c r="Z377" s="391"/>
      <c r="AA377" s="391"/>
      <c r="AB377" s="392"/>
      <c r="AC377" s="391"/>
      <c r="AD377" s="391"/>
      <c r="AE377" s="391"/>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row>
    <row r="378" spans="1:58" ht="15.75" customHeight="1" x14ac:dyDescent="0.2">
      <c r="A378" s="189"/>
      <c r="B378" s="189"/>
      <c r="C378" s="55"/>
      <c r="D378" s="391"/>
      <c r="E378" s="391"/>
      <c r="F378" s="391"/>
      <c r="G378" s="391"/>
      <c r="H378" s="392"/>
      <c r="I378" s="391"/>
      <c r="J378" s="391"/>
      <c r="K378" s="391"/>
      <c r="L378" s="391"/>
      <c r="M378" s="392"/>
      <c r="N378" s="391"/>
      <c r="O378" s="391"/>
      <c r="P378" s="391"/>
      <c r="Q378" s="391"/>
      <c r="R378" s="392"/>
      <c r="S378" s="391"/>
      <c r="T378" s="391"/>
      <c r="U378" s="391"/>
      <c r="V378" s="391"/>
      <c r="W378" s="392"/>
      <c r="X378" s="391"/>
      <c r="Y378" s="391"/>
      <c r="Z378" s="391"/>
      <c r="AA378" s="391"/>
      <c r="AB378" s="392"/>
      <c r="AC378" s="391"/>
      <c r="AD378" s="391"/>
      <c r="AE378" s="391"/>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row>
    <row r="379" spans="1:58" ht="15.75" customHeight="1" x14ac:dyDescent="0.2">
      <c r="A379" s="189"/>
      <c r="B379" s="189"/>
      <c r="C379" s="55"/>
      <c r="D379" s="391"/>
      <c r="E379" s="391"/>
      <c r="F379" s="391"/>
      <c r="G379" s="391"/>
      <c r="H379" s="392"/>
      <c r="I379" s="391"/>
      <c r="J379" s="391"/>
      <c r="K379" s="391"/>
      <c r="L379" s="391"/>
      <c r="M379" s="392"/>
      <c r="N379" s="391"/>
      <c r="O379" s="391"/>
      <c r="P379" s="391"/>
      <c r="Q379" s="391"/>
      <c r="R379" s="392"/>
      <c r="S379" s="391"/>
      <c r="T379" s="391"/>
      <c r="U379" s="391"/>
      <c r="V379" s="391"/>
      <c r="W379" s="392"/>
      <c r="X379" s="391"/>
      <c r="Y379" s="391"/>
      <c r="Z379" s="391"/>
      <c r="AA379" s="391"/>
      <c r="AB379" s="392"/>
      <c r="AC379" s="391"/>
      <c r="AD379" s="391"/>
      <c r="AE379" s="391"/>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row>
    <row r="380" spans="1:58" ht="15.75" customHeight="1" x14ac:dyDescent="0.2">
      <c r="A380" s="189"/>
      <c r="B380" s="189"/>
      <c r="C380" s="55"/>
      <c r="D380" s="391"/>
      <c r="E380" s="391"/>
      <c r="F380" s="391"/>
      <c r="G380" s="391"/>
      <c r="H380" s="392"/>
      <c r="I380" s="391"/>
      <c r="J380" s="391"/>
      <c r="K380" s="391"/>
      <c r="L380" s="391"/>
      <c r="M380" s="392"/>
      <c r="N380" s="391"/>
      <c r="O380" s="391"/>
      <c r="P380" s="391"/>
      <c r="Q380" s="391"/>
      <c r="R380" s="392"/>
      <c r="S380" s="391"/>
      <c r="T380" s="391"/>
      <c r="U380" s="391"/>
      <c r="V380" s="391"/>
      <c r="W380" s="392"/>
      <c r="X380" s="391"/>
      <c r="Y380" s="391"/>
      <c r="Z380" s="391"/>
      <c r="AA380" s="391"/>
      <c r="AB380" s="392"/>
      <c r="AC380" s="391"/>
      <c r="AD380" s="391"/>
      <c r="AE380" s="391"/>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row>
    <row r="381" spans="1:58" ht="15.75" customHeight="1" x14ac:dyDescent="0.2">
      <c r="A381" s="189"/>
      <c r="B381" s="189"/>
      <c r="C381" s="55"/>
      <c r="D381" s="391"/>
      <c r="E381" s="391"/>
      <c r="F381" s="391"/>
      <c r="G381" s="391"/>
      <c r="H381" s="392"/>
      <c r="I381" s="391"/>
      <c r="J381" s="391"/>
      <c r="K381" s="391"/>
      <c r="L381" s="391"/>
      <c r="M381" s="392"/>
      <c r="N381" s="391"/>
      <c r="O381" s="391"/>
      <c r="P381" s="391"/>
      <c r="Q381" s="391"/>
      <c r="R381" s="392"/>
      <c r="S381" s="391"/>
      <c r="T381" s="391"/>
      <c r="U381" s="391"/>
      <c r="V381" s="391"/>
      <c r="W381" s="392"/>
      <c r="X381" s="391"/>
      <c r="Y381" s="391"/>
      <c r="Z381" s="391"/>
      <c r="AA381" s="391"/>
      <c r="AB381" s="392"/>
      <c r="AC381" s="391"/>
      <c r="AD381" s="391"/>
      <c r="AE381" s="391"/>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row>
    <row r="382" spans="1:58" ht="15.75" customHeight="1" x14ac:dyDescent="0.2">
      <c r="A382" s="189"/>
      <c r="B382" s="189"/>
      <c r="C382" s="55"/>
      <c r="D382" s="391"/>
      <c r="E382" s="391"/>
      <c r="F382" s="391"/>
      <c r="G382" s="391"/>
      <c r="H382" s="392"/>
      <c r="I382" s="391"/>
      <c r="J382" s="391"/>
      <c r="K382" s="391"/>
      <c r="L382" s="391"/>
      <c r="M382" s="392"/>
      <c r="N382" s="391"/>
      <c r="O382" s="391"/>
      <c r="P382" s="391"/>
      <c r="Q382" s="391"/>
      <c r="R382" s="392"/>
      <c r="S382" s="391"/>
      <c r="T382" s="391"/>
      <c r="U382" s="391"/>
      <c r="V382" s="391"/>
      <c r="W382" s="392"/>
      <c r="X382" s="391"/>
      <c r="Y382" s="391"/>
      <c r="Z382" s="391"/>
      <c r="AA382" s="391"/>
      <c r="AB382" s="392"/>
      <c r="AC382" s="391"/>
      <c r="AD382" s="391"/>
      <c r="AE382" s="391"/>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row>
    <row r="383" spans="1:58" ht="15.75" customHeight="1" x14ac:dyDescent="0.2">
      <c r="A383" s="189"/>
      <c r="B383" s="189"/>
      <c r="C383" s="55"/>
      <c r="D383" s="391"/>
      <c r="E383" s="391"/>
      <c r="F383" s="391"/>
      <c r="G383" s="391"/>
      <c r="H383" s="392"/>
      <c r="I383" s="391"/>
      <c r="J383" s="391"/>
      <c r="K383" s="391"/>
      <c r="L383" s="391"/>
      <c r="M383" s="392"/>
      <c r="N383" s="391"/>
      <c r="O383" s="391"/>
      <c r="P383" s="391"/>
      <c r="Q383" s="391"/>
      <c r="R383" s="392"/>
      <c r="S383" s="391"/>
      <c r="T383" s="391"/>
      <c r="U383" s="391"/>
      <c r="V383" s="391"/>
      <c r="W383" s="392"/>
      <c r="X383" s="391"/>
      <c r="Y383" s="391"/>
      <c r="Z383" s="391"/>
      <c r="AA383" s="391"/>
      <c r="AB383" s="392"/>
      <c r="AC383" s="391"/>
      <c r="AD383" s="391"/>
      <c r="AE383" s="391"/>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row>
    <row r="384" spans="1:58" ht="15.75" customHeight="1" x14ac:dyDescent="0.2">
      <c r="A384" s="189"/>
      <c r="B384" s="189"/>
      <c r="C384" s="55"/>
      <c r="D384" s="391"/>
      <c r="E384" s="391"/>
      <c r="F384" s="391"/>
      <c r="G384" s="391"/>
      <c r="H384" s="392"/>
      <c r="I384" s="391"/>
      <c r="J384" s="391"/>
      <c r="K384" s="391"/>
      <c r="L384" s="391"/>
      <c r="M384" s="392"/>
      <c r="N384" s="391"/>
      <c r="O384" s="391"/>
      <c r="P384" s="391"/>
      <c r="Q384" s="391"/>
      <c r="R384" s="392"/>
      <c r="S384" s="391"/>
      <c r="T384" s="391"/>
      <c r="U384" s="391"/>
      <c r="V384" s="391"/>
      <c r="W384" s="392"/>
      <c r="X384" s="391"/>
      <c r="Y384" s="391"/>
      <c r="Z384" s="391"/>
      <c r="AA384" s="391"/>
      <c r="AB384" s="392"/>
      <c r="AC384" s="391"/>
      <c r="AD384" s="391"/>
      <c r="AE384" s="391"/>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row>
    <row r="385" spans="1:58" ht="15.75" customHeight="1" x14ac:dyDescent="0.2">
      <c r="A385" s="189"/>
      <c r="B385" s="189"/>
      <c r="C385" s="55"/>
      <c r="D385" s="391"/>
      <c r="E385" s="391"/>
      <c r="F385" s="391"/>
      <c r="G385" s="391"/>
      <c r="H385" s="392"/>
      <c r="I385" s="391"/>
      <c r="J385" s="391"/>
      <c r="K385" s="391"/>
      <c r="L385" s="391"/>
      <c r="M385" s="392"/>
      <c r="N385" s="391"/>
      <c r="O385" s="391"/>
      <c r="P385" s="391"/>
      <c r="Q385" s="391"/>
      <c r="R385" s="392"/>
      <c r="S385" s="391"/>
      <c r="T385" s="391"/>
      <c r="U385" s="391"/>
      <c r="V385" s="391"/>
      <c r="W385" s="392"/>
      <c r="X385" s="391"/>
      <c r="Y385" s="391"/>
      <c r="Z385" s="391"/>
      <c r="AA385" s="391"/>
      <c r="AB385" s="392"/>
      <c r="AC385" s="391"/>
      <c r="AD385" s="391"/>
      <c r="AE385" s="391"/>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row>
    <row r="386" spans="1:58" ht="15.75" customHeight="1" x14ac:dyDescent="0.2">
      <c r="A386" s="189"/>
      <c r="B386" s="189"/>
      <c r="C386" s="55"/>
      <c r="D386" s="391"/>
      <c r="E386" s="391"/>
      <c r="F386" s="391"/>
      <c r="G386" s="391"/>
      <c r="H386" s="392"/>
      <c r="I386" s="391"/>
      <c r="J386" s="391"/>
      <c r="K386" s="391"/>
      <c r="L386" s="391"/>
      <c r="M386" s="392"/>
      <c r="N386" s="391"/>
      <c r="O386" s="391"/>
      <c r="P386" s="391"/>
      <c r="Q386" s="391"/>
      <c r="R386" s="392"/>
      <c r="S386" s="391"/>
      <c r="T386" s="391"/>
      <c r="U386" s="391"/>
      <c r="V386" s="391"/>
      <c r="W386" s="392"/>
      <c r="X386" s="391"/>
      <c r="Y386" s="391"/>
      <c r="Z386" s="391"/>
      <c r="AA386" s="391"/>
      <c r="AB386" s="392"/>
      <c r="AC386" s="391"/>
      <c r="AD386" s="391"/>
      <c r="AE386" s="391"/>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row>
    <row r="387" spans="1:58" ht="15.75" customHeight="1" x14ac:dyDescent="0.2">
      <c r="A387" s="189"/>
      <c r="B387" s="189"/>
      <c r="C387" s="55"/>
      <c r="D387" s="391"/>
      <c r="E387" s="391"/>
      <c r="F387" s="391"/>
      <c r="G387" s="391"/>
      <c r="H387" s="392"/>
      <c r="I387" s="391"/>
      <c r="J387" s="391"/>
      <c r="K387" s="391"/>
      <c r="L387" s="391"/>
      <c r="M387" s="392"/>
      <c r="N387" s="391"/>
      <c r="O387" s="391"/>
      <c r="P387" s="391"/>
      <c r="Q387" s="391"/>
      <c r="R387" s="392"/>
      <c r="S387" s="391"/>
      <c r="T387" s="391"/>
      <c r="U387" s="391"/>
      <c r="V387" s="391"/>
      <c r="W387" s="392"/>
      <c r="X387" s="391"/>
      <c r="Y387" s="391"/>
      <c r="Z387" s="391"/>
      <c r="AA387" s="391"/>
      <c r="AB387" s="392"/>
      <c r="AC387" s="391"/>
      <c r="AD387" s="391"/>
      <c r="AE387" s="391"/>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row>
    <row r="388" spans="1:58" ht="15.75" customHeight="1" x14ac:dyDescent="0.2">
      <c r="A388" s="189"/>
      <c r="B388" s="189"/>
      <c r="C388" s="55"/>
      <c r="D388" s="391"/>
      <c r="E388" s="391"/>
      <c r="F388" s="391"/>
      <c r="G388" s="391"/>
      <c r="H388" s="392"/>
      <c r="I388" s="391"/>
      <c r="J388" s="391"/>
      <c r="K388" s="391"/>
      <c r="L388" s="391"/>
      <c r="M388" s="392"/>
      <c r="N388" s="391"/>
      <c r="O388" s="391"/>
      <c r="P388" s="391"/>
      <c r="Q388" s="391"/>
      <c r="R388" s="392"/>
      <c r="S388" s="391"/>
      <c r="T388" s="391"/>
      <c r="U388" s="391"/>
      <c r="V388" s="391"/>
      <c r="W388" s="392"/>
      <c r="X388" s="391"/>
      <c r="Y388" s="391"/>
      <c r="Z388" s="391"/>
      <c r="AA388" s="391"/>
      <c r="AB388" s="392"/>
      <c r="AC388" s="391"/>
      <c r="AD388" s="391"/>
      <c r="AE388" s="391"/>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row>
    <row r="389" spans="1:58" ht="15.75" customHeight="1" x14ac:dyDescent="0.2">
      <c r="A389" s="189"/>
      <c r="B389" s="189"/>
      <c r="C389" s="55"/>
      <c r="D389" s="391"/>
      <c r="E389" s="391"/>
      <c r="F389" s="391"/>
      <c r="G389" s="391"/>
      <c r="H389" s="392"/>
      <c r="I389" s="391"/>
      <c r="J389" s="391"/>
      <c r="K389" s="391"/>
      <c r="L389" s="391"/>
      <c r="M389" s="392"/>
      <c r="N389" s="391"/>
      <c r="O389" s="391"/>
      <c r="P389" s="391"/>
      <c r="Q389" s="391"/>
      <c r="R389" s="392"/>
      <c r="S389" s="391"/>
      <c r="T389" s="391"/>
      <c r="U389" s="391"/>
      <c r="V389" s="391"/>
      <c r="W389" s="392"/>
      <c r="X389" s="391"/>
      <c r="Y389" s="391"/>
      <c r="Z389" s="391"/>
      <c r="AA389" s="391"/>
      <c r="AB389" s="392"/>
      <c r="AC389" s="391"/>
      <c r="AD389" s="391"/>
      <c r="AE389" s="391"/>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row>
    <row r="390" spans="1:58" ht="15.75" customHeight="1" x14ac:dyDescent="0.2">
      <c r="A390" s="189"/>
      <c r="B390" s="189"/>
      <c r="C390" s="55"/>
      <c r="D390" s="391"/>
      <c r="E390" s="391"/>
      <c r="F390" s="391"/>
      <c r="G390" s="391"/>
      <c r="H390" s="392"/>
      <c r="I390" s="391"/>
      <c r="J390" s="391"/>
      <c r="K390" s="391"/>
      <c r="L390" s="391"/>
      <c r="M390" s="392"/>
      <c r="N390" s="391"/>
      <c r="O390" s="391"/>
      <c r="P390" s="391"/>
      <c r="Q390" s="391"/>
      <c r="R390" s="392"/>
      <c r="S390" s="391"/>
      <c r="T390" s="391"/>
      <c r="U390" s="391"/>
      <c r="V390" s="391"/>
      <c r="W390" s="392"/>
      <c r="X390" s="391"/>
      <c r="Y390" s="391"/>
      <c r="Z390" s="391"/>
      <c r="AA390" s="391"/>
      <c r="AB390" s="392"/>
      <c r="AC390" s="391"/>
      <c r="AD390" s="391"/>
      <c r="AE390" s="391"/>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row>
    <row r="391" spans="1:58" ht="15.75" customHeight="1" x14ac:dyDescent="0.2">
      <c r="A391" s="189"/>
      <c r="B391" s="189"/>
      <c r="C391" s="55"/>
      <c r="D391" s="391"/>
      <c r="E391" s="391"/>
      <c r="F391" s="391"/>
      <c r="G391" s="391"/>
      <c r="H391" s="392"/>
      <c r="I391" s="391"/>
      <c r="J391" s="391"/>
      <c r="K391" s="391"/>
      <c r="L391" s="391"/>
      <c r="M391" s="392"/>
      <c r="N391" s="391"/>
      <c r="O391" s="391"/>
      <c r="P391" s="391"/>
      <c r="Q391" s="391"/>
      <c r="R391" s="392"/>
      <c r="S391" s="391"/>
      <c r="T391" s="391"/>
      <c r="U391" s="391"/>
      <c r="V391" s="391"/>
      <c r="W391" s="392"/>
      <c r="X391" s="391"/>
      <c r="Y391" s="391"/>
      <c r="Z391" s="391"/>
      <c r="AA391" s="391"/>
      <c r="AB391" s="392"/>
      <c r="AC391" s="391"/>
      <c r="AD391" s="391"/>
      <c r="AE391" s="391"/>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row>
    <row r="392" spans="1:58" ht="15.75" customHeight="1" x14ac:dyDescent="0.2">
      <c r="A392" s="189"/>
      <c r="B392" s="189"/>
      <c r="C392" s="55"/>
      <c r="D392" s="391"/>
      <c r="E392" s="391"/>
      <c r="F392" s="391"/>
      <c r="G392" s="391"/>
      <c r="H392" s="392"/>
      <c r="I392" s="391"/>
      <c r="J392" s="391"/>
      <c r="K392" s="391"/>
      <c r="L392" s="391"/>
      <c r="M392" s="392"/>
      <c r="N392" s="391"/>
      <c r="O392" s="391"/>
      <c r="P392" s="391"/>
      <c r="Q392" s="391"/>
      <c r="R392" s="392"/>
      <c r="S392" s="391"/>
      <c r="T392" s="391"/>
      <c r="U392" s="391"/>
      <c r="V392" s="391"/>
      <c r="W392" s="392"/>
      <c r="X392" s="391"/>
      <c r="Y392" s="391"/>
      <c r="Z392" s="391"/>
      <c r="AA392" s="391"/>
      <c r="AB392" s="392"/>
      <c r="AC392" s="391"/>
      <c r="AD392" s="391"/>
      <c r="AE392" s="391"/>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row>
    <row r="393" spans="1:58" ht="15.75" customHeight="1" x14ac:dyDescent="0.2">
      <c r="A393" s="189"/>
      <c r="B393" s="189"/>
      <c r="C393" s="55"/>
      <c r="D393" s="391"/>
      <c r="E393" s="391"/>
      <c r="F393" s="391"/>
      <c r="G393" s="391"/>
      <c r="H393" s="392"/>
      <c r="I393" s="391"/>
      <c r="J393" s="391"/>
      <c r="K393" s="391"/>
      <c r="L393" s="391"/>
      <c r="M393" s="392"/>
      <c r="N393" s="391"/>
      <c r="O393" s="391"/>
      <c r="P393" s="391"/>
      <c r="Q393" s="391"/>
      <c r="R393" s="392"/>
      <c r="S393" s="391"/>
      <c r="T393" s="391"/>
      <c r="U393" s="391"/>
      <c r="V393" s="391"/>
      <c r="W393" s="392"/>
      <c r="X393" s="391"/>
      <c r="Y393" s="391"/>
      <c r="Z393" s="391"/>
      <c r="AA393" s="391"/>
      <c r="AB393" s="392"/>
      <c r="AC393" s="391"/>
      <c r="AD393" s="391"/>
      <c r="AE393" s="391"/>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row>
    <row r="394" spans="1:58" ht="15.75" customHeight="1" x14ac:dyDescent="0.2">
      <c r="A394" s="189"/>
      <c r="B394" s="189"/>
      <c r="C394" s="55"/>
      <c r="D394" s="391"/>
      <c r="E394" s="391"/>
      <c r="F394" s="391"/>
      <c r="G394" s="391"/>
      <c r="H394" s="392"/>
      <c r="I394" s="391"/>
      <c r="J394" s="391"/>
      <c r="K394" s="391"/>
      <c r="L394" s="391"/>
      <c r="M394" s="392"/>
      <c r="N394" s="391"/>
      <c r="O394" s="391"/>
      <c r="P394" s="391"/>
      <c r="Q394" s="391"/>
      <c r="R394" s="392"/>
      <c r="S394" s="391"/>
      <c r="T394" s="391"/>
      <c r="U394" s="391"/>
      <c r="V394" s="391"/>
      <c r="W394" s="392"/>
      <c r="X394" s="391"/>
      <c r="Y394" s="391"/>
      <c r="Z394" s="391"/>
      <c r="AA394" s="391"/>
      <c r="AB394" s="392"/>
      <c r="AC394" s="391"/>
      <c r="AD394" s="391"/>
      <c r="AE394" s="391"/>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row>
    <row r="395" spans="1:58" ht="15.75" customHeight="1" x14ac:dyDescent="0.2">
      <c r="A395" s="189"/>
      <c r="B395" s="189"/>
      <c r="C395" s="55"/>
      <c r="D395" s="391"/>
      <c r="E395" s="391"/>
      <c r="F395" s="391"/>
      <c r="G395" s="391"/>
      <c r="H395" s="392"/>
      <c r="I395" s="391"/>
      <c r="J395" s="391"/>
      <c r="K395" s="391"/>
      <c r="L395" s="391"/>
      <c r="M395" s="392"/>
      <c r="N395" s="391"/>
      <c r="O395" s="391"/>
      <c r="P395" s="391"/>
      <c r="Q395" s="391"/>
      <c r="R395" s="392"/>
      <c r="S395" s="391"/>
      <c r="T395" s="391"/>
      <c r="U395" s="391"/>
      <c r="V395" s="391"/>
      <c r="W395" s="392"/>
      <c r="X395" s="391"/>
      <c r="Y395" s="391"/>
      <c r="Z395" s="391"/>
      <c r="AA395" s="391"/>
      <c r="AB395" s="392"/>
      <c r="AC395" s="391"/>
      <c r="AD395" s="391"/>
      <c r="AE395" s="391"/>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row>
    <row r="396" spans="1:58" ht="15.75" customHeight="1" x14ac:dyDescent="0.2">
      <c r="A396" s="189"/>
      <c r="B396" s="189"/>
      <c r="C396" s="55"/>
      <c r="D396" s="391"/>
      <c r="E396" s="391"/>
      <c r="F396" s="391"/>
      <c r="G396" s="391"/>
      <c r="H396" s="392"/>
      <c r="I396" s="391"/>
      <c r="J396" s="391"/>
      <c r="K396" s="391"/>
      <c r="L396" s="391"/>
      <c r="M396" s="392"/>
      <c r="N396" s="391"/>
      <c r="O396" s="391"/>
      <c r="P396" s="391"/>
      <c r="Q396" s="391"/>
      <c r="R396" s="392"/>
      <c r="S396" s="391"/>
      <c r="T396" s="391"/>
      <c r="U396" s="391"/>
      <c r="V396" s="391"/>
      <c r="W396" s="392"/>
      <c r="X396" s="391"/>
      <c r="Y396" s="391"/>
      <c r="Z396" s="391"/>
      <c r="AA396" s="391"/>
      <c r="AB396" s="392"/>
      <c r="AC396" s="391"/>
      <c r="AD396" s="391"/>
      <c r="AE396" s="391"/>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row>
    <row r="397" spans="1:58" ht="15.75" customHeight="1" x14ac:dyDescent="0.2">
      <c r="A397" s="189"/>
      <c r="B397" s="189"/>
      <c r="C397" s="55"/>
      <c r="D397" s="391"/>
      <c r="E397" s="391"/>
      <c r="F397" s="391"/>
      <c r="G397" s="391"/>
      <c r="H397" s="392"/>
      <c r="I397" s="391"/>
      <c r="J397" s="391"/>
      <c r="K397" s="391"/>
      <c r="L397" s="391"/>
      <c r="M397" s="392"/>
      <c r="N397" s="391"/>
      <c r="O397" s="391"/>
      <c r="P397" s="391"/>
      <c r="Q397" s="391"/>
      <c r="R397" s="392"/>
      <c r="S397" s="391"/>
      <c r="T397" s="391"/>
      <c r="U397" s="391"/>
      <c r="V397" s="391"/>
      <c r="W397" s="392"/>
      <c r="X397" s="391"/>
      <c r="Y397" s="391"/>
      <c r="Z397" s="391"/>
      <c r="AA397" s="391"/>
      <c r="AB397" s="392"/>
      <c r="AC397" s="391"/>
      <c r="AD397" s="391"/>
      <c r="AE397" s="391"/>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row>
    <row r="398" spans="1:58" ht="15.75" customHeight="1" x14ac:dyDescent="0.2">
      <c r="A398" s="189"/>
      <c r="B398" s="189"/>
      <c r="C398" s="55"/>
      <c r="D398" s="391"/>
      <c r="E398" s="391"/>
      <c r="F398" s="391"/>
      <c r="G398" s="391"/>
      <c r="H398" s="392"/>
      <c r="I398" s="391"/>
      <c r="J398" s="391"/>
      <c r="K398" s="391"/>
      <c r="L398" s="391"/>
      <c r="M398" s="392"/>
      <c r="N398" s="391"/>
      <c r="O398" s="391"/>
      <c r="P398" s="391"/>
      <c r="Q398" s="391"/>
      <c r="R398" s="392"/>
      <c r="S398" s="391"/>
      <c r="T398" s="391"/>
      <c r="U398" s="391"/>
      <c r="V398" s="391"/>
      <c r="W398" s="392"/>
      <c r="X398" s="391"/>
      <c r="Y398" s="391"/>
      <c r="Z398" s="391"/>
      <c r="AA398" s="391"/>
      <c r="AB398" s="392"/>
      <c r="AC398" s="391"/>
      <c r="AD398" s="391"/>
      <c r="AE398" s="391"/>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row>
    <row r="399" spans="1:58" ht="15.75" customHeight="1" x14ac:dyDescent="0.2">
      <c r="A399" s="189"/>
      <c r="B399" s="189"/>
      <c r="C399" s="55"/>
      <c r="D399" s="391"/>
      <c r="E399" s="391"/>
      <c r="F399" s="391"/>
      <c r="G399" s="391"/>
      <c r="H399" s="392"/>
      <c r="I399" s="391"/>
      <c r="J399" s="391"/>
      <c r="K399" s="391"/>
      <c r="L399" s="391"/>
      <c r="M399" s="392"/>
      <c r="N399" s="391"/>
      <c r="O399" s="391"/>
      <c r="P399" s="391"/>
      <c r="Q399" s="391"/>
      <c r="R399" s="392"/>
      <c r="S399" s="391"/>
      <c r="T399" s="391"/>
      <c r="U399" s="391"/>
      <c r="V399" s="391"/>
      <c r="W399" s="392"/>
      <c r="X399" s="391"/>
      <c r="Y399" s="391"/>
      <c r="Z399" s="391"/>
      <c r="AA399" s="391"/>
      <c r="AB399" s="392"/>
      <c r="AC399" s="391"/>
      <c r="AD399" s="391"/>
      <c r="AE399" s="391"/>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row>
    <row r="400" spans="1:58" ht="15.75" customHeight="1" x14ac:dyDescent="0.2">
      <c r="A400" s="189"/>
      <c r="B400" s="189"/>
      <c r="C400" s="55"/>
      <c r="D400" s="391"/>
      <c r="E400" s="391"/>
      <c r="F400" s="391"/>
      <c r="G400" s="391"/>
      <c r="H400" s="392"/>
      <c r="I400" s="391"/>
      <c r="J400" s="391"/>
      <c r="K400" s="391"/>
      <c r="L400" s="391"/>
      <c r="M400" s="392"/>
      <c r="N400" s="391"/>
      <c r="O400" s="391"/>
      <c r="P400" s="391"/>
      <c r="Q400" s="391"/>
      <c r="R400" s="392"/>
      <c r="S400" s="391"/>
      <c r="T400" s="391"/>
      <c r="U400" s="391"/>
      <c r="V400" s="391"/>
      <c r="W400" s="392"/>
      <c r="X400" s="391"/>
      <c r="Y400" s="391"/>
      <c r="Z400" s="391"/>
      <c r="AA400" s="391"/>
      <c r="AB400" s="392"/>
      <c r="AC400" s="391"/>
      <c r="AD400" s="391"/>
      <c r="AE400" s="391"/>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row>
    <row r="401" spans="1:58" ht="15.75" customHeight="1" x14ac:dyDescent="0.2">
      <c r="A401" s="189"/>
      <c r="B401" s="189"/>
      <c r="C401" s="55"/>
      <c r="D401" s="391"/>
      <c r="E401" s="391"/>
      <c r="F401" s="391"/>
      <c r="G401" s="391"/>
      <c r="H401" s="392"/>
      <c r="I401" s="391"/>
      <c r="J401" s="391"/>
      <c r="K401" s="391"/>
      <c r="L401" s="391"/>
      <c r="M401" s="392"/>
      <c r="N401" s="391"/>
      <c r="O401" s="391"/>
      <c r="P401" s="391"/>
      <c r="Q401" s="391"/>
      <c r="R401" s="392"/>
      <c r="S401" s="391"/>
      <c r="T401" s="391"/>
      <c r="U401" s="391"/>
      <c r="V401" s="391"/>
      <c r="W401" s="392"/>
      <c r="X401" s="391"/>
      <c r="Y401" s="391"/>
      <c r="Z401" s="391"/>
      <c r="AA401" s="391"/>
      <c r="AB401" s="392"/>
      <c r="AC401" s="391"/>
      <c r="AD401" s="391"/>
      <c r="AE401" s="391"/>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row>
    <row r="402" spans="1:58" ht="15.75" customHeight="1" x14ac:dyDescent="0.2">
      <c r="A402" s="189"/>
      <c r="B402" s="189"/>
      <c r="C402" s="55"/>
      <c r="D402" s="391"/>
      <c r="E402" s="391"/>
      <c r="F402" s="391"/>
      <c r="G402" s="391"/>
      <c r="H402" s="392"/>
      <c r="I402" s="391"/>
      <c r="J402" s="391"/>
      <c r="K402" s="391"/>
      <c r="L402" s="391"/>
      <c r="M402" s="392"/>
      <c r="N402" s="391"/>
      <c r="O402" s="391"/>
      <c r="P402" s="391"/>
      <c r="Q402" s="391"/>
      <c r="R402" s="392"/>
      <c r="S402" s="391"/>
      <c r="T402" s="391"/>
      <c r="U402" s="391"/>
      <c r="V402" s="391"/>
      <c r="W402" s="392"/>
      <c r="X402" s="391"/>
      <c r="Y402" s="391"/>
      <c r="Z402" s="391"/>
      <c r="AA402" s="391"/>
      <c r="AB402" s="392"/>
      <c r="AC402" s="391"/>
      <c r="AD402" s="391"/>
      <c r="AE402" s="391"/>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row>
    <row r="403" spans="1:58" ht="15.75" customHeight="1" x14ac:dyDescent="0.2">
      <c r="A403" s="189"/>
      <c r="B403" s="189"/>
      <c r="C403" s="55"/>
      <c r="D403" s="391"/>
      <c r="E403" s="391"/>
      <c r="F403" s="391"/>
      <c r="G403" s="391"/>
      <c r="H403" s="392"/>
      <c r="I403" s="391"/>
      <c r="J403" s="391"/>
      <c r="K403" s="391"/>
      <c r="L403" s="391"/>
      <c r="M403" s="392"/>
      <c r="N403" s="391"/>
      <c r="O403" s="391"/>
      <c r="P403" s="391"/>
      <c r="Q403" s="391"/>
      <c r="R403" s="392"/>
      <c r="S403" s="391"/>
      <c r="T403" s="391"/>
      <c r="U403" s="391"/>
      <c r="V403" s="391"/>
      <c r="W403" s="392"/>
      <c r="X403" s="391"/>
      <c r="Y403" s="391"/>
      <c r="Z403" s="391"/>
      <c r="AA403" s="391"/>
      <c r="AB403" s="392"/>
      <c r="AC403" s="391"/>
      <c r="AD403" s="391"/>
      <c r="AE403" s="391"/>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row>
    <row r="404" spans="1:58" ht="15.75" customHeight="1" x14ac:dyDescent="0.2">
      <c r="A404" s="189"/>
      <c r="B404" s="189"/>
      <c r="C404" s="55"/>
      <c r="D404" s="391"/>
      <c r="E404" s="391"/>
      <c r="F404" s="391"/>
      <c r="G404" s="391"/>
      <c r="H404" s="392"/>
      <c r="I404" s="391"/>
      <c r="J404" s="391"/>
      <c r="K404" s="391"/>
      <c r="L404" s="391"/>
      <c r="M404" s="392"/>
      <c r="N404" s="391"/>
      <c r="O404" s="391"/>
      <c r="P404" s="391"/>
      <c r="Q404" s="391"/>
      <c r="R404" s="392"/>
      <c r="S404" s="391"/>
      <c r="T404" s="391"/>
      <c r="U404" s="391"/>
      <c r="V404" s="391"/>
      <c r="W404" s="392"/>
      <c r="X404" s="391"/>
      <c r="Y404" s="391"/>
      <c r="Z404" s="391"/>
      <c r="AA404" s="391"/>
      <c r="AB404" s="392"/>
      <c r="AC404" s="391"/>
      <c r="AD404" s="391"/>
      <c r="AE404" s="391"/>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row>
    <row r="405" spans="1:58" ht="15.75" customHeight="1" x14ac:dyDescent="0.2">
      <c r="A405" s="189"/>
      <c r="B405" s="189"/>
      <c r="C405" s="55"/>
      <c r="D405" s="391"/>
      <c r="E405" s="391"/>
      <c r="F405" s="391"/>
      <c r="G405" s="391"/>
      <c r="H405" s="392"/>
      <c r="I405" s="391"/>
      <c r="J405" s="391"/>
      <c r="K405" s="391"/>
      <c r="L405" s="391"/>
      <c r="M405" s="392"/>
      <c r="N405" s="391"/>
      <c r="O405" s="391"/>
      <c r="P405" s="391"/>
      <c r="Q405" s="391"/>
      <c r="R405" s="392"/>
      <c r="S405" s="391"/>
      <c r="T405" s="391"/>
      <c r="U405" s="391"/>
      <c r="V405" s="391"/>
      <c r="W405" s="392"/>
      <c r="X405" s="391"/>
      <c r="Y405" s="391"/>
      <c r="Z405" s="391"/>
      <c r="AA405" s="391"/>
      <c r="AB405" s="392"/>
      <c r="AC405" s="391"/>
      <c r="AD405" s="391"/>
      <c r="AE405" s="391"/>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row>
    <row r="406" spans="1:58" ht="15.75" customHeight="1" x14ac:dyDescent="0.2">
      <c r="A406" s="189"/>
      <c r="B406" s="189"/>
      <c r="C406" s="55"/>
      <c r="D406" s="391"/>
      <c r="E406" s="391"/>
      <c r="F406" s="391"/>
      <c r="G406" s="391"/>
      <c r="H406" s="392"/>
      <c r="I406" s="391"/>
      <c r="J406" s="391"/>
      <c r="K406" s="391"/>
      <c r="L406" s="391"/>
      <c r="M406" s="392"/>
      <c r="N406" s="391"/>
      <c r="O406" s="391"/>
      <c r="P406" s="391"/>
      <c r="Q406" s="391"/>
      <c r="R406" s="392"/>
      <c r="S406" s="391"/>
      <c r="T406" s="391"/>
      <c r="U406" s="391"/>
      <c r="V406" s="391"/>
      <c r="W406" s="392"/>
      <c r="X406" s="391"/>
      <c r="Y406" s="391"/>
      <c r="Z406" s="391"/>
      <c r="AA406" s="391"/>
      <c r="AB406" s="392"/>
      <c r="AC406" s="391"/>
      <c r="AD406" s="391"/>
      <c r="AE406" s="391"/>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row>
    <row r="407" spans="1:58" ht="15.75" customHeight="1" x14ac:dyDescent="0.2">
      <c r="A407" s="189"/>
      <c r="B407" s="189"/>
      <c r="C407" s="55"/>
      <c r="D407" s="391"/>
      <c r="E407" s="391"/>
      <c r="F407" s="391"/>
      <c r="G407" s="391"/>
      <c r="H407" s="392"/>
      <c r="I407" s="391"/>
      <c r="J407" s="391"/>
      <c r="K407" s="391"/>
      <c r="L407" s="391"/>
      <c r="M407" s="392"/>
      <c r="N407" s="391"/>
      <c r="O407" s="391"/>
      <c r="P407" s="391"/>
      <c r="Q407" s="391"/>
      <c r="R407" s="392"/>
      <c r="S407" s="391"/>
      <c r="T407" s="391"/>
      <c r="U407" s="391"/>
      <c r="V407" s="391"/>
      <c r="W407" s="392"/>
      <c r="X407" s="391"/>
      <c r="Y407" s="391"/>
      <c r="Z407" s="391"/>
      <c r="AA407" s="391"/>
      <c r="AB407" s="392"/>
      <c r="AC407" s="391"/>
      <c r="AD407" s="391"/>
      <c r="AE407" s="391"/>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row>
    <row r="408" spans="1:58" ht="15.75" customHeight="1" x14ac:dyDescent="0.2">
      <c r="A408" s="189"/>
      <c r="B408" s="189"/>
      <c r="C408" s="55"/>
      <c r="D408" s="391"/>
      <c r="E408" s="391"/>
      <c r="F408" s="391"/>
      <c r="G408" s="391"/>
      <c r="H408" s="392"/>
      <c r="I408" s="391"/>
      <c r="J408" s="391"/>
      <c r="K408" s="391"/>
      <c r="L408" s="391"/>
      <c r="M408" s="392"/>
      <c r="N408" s="391"/>
      <c r="O408" s="391"/>
      <c r="P408" s="391"/>
      <c r="Q408" s="391"/>
      <c r="R408" s="392"/>
      <c r="S408" s="391"/>
      <c r="T408" s="391"/>
      <c r="U408" s="391"/>
      <c r="V408" s="391"/>
      <c r="W408" s="392"/>
      <c r="X408" s="391"/>
      <c r="Y408" s="391"/>
      <c r="Z408" s="391"/>
      <c r="AA408" s="391"/>
      <c r="AB408" s="392"/>
      <c r="AC408" s="391"/>
      <c r="AD408" s="391"/>
      <c r="AE408" s="391"/>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row>
    <row r="409" spans="1:58" ht="15.75" customHeight="1" x14ac:dyDescent="0.2">
      <c r="A409" s="189"/>
      <c r="B409" s="189"/>
      <c r="C409" s="55"/>
      <c r="D409" s="391"/>
      <c r="E409" s="391"/>
      <c r="F409" s="391"/>
      <c r="G409" s="391"/>
      <c r="H409" s="392"/>
      <c r="I409" s="391"/>
      <c r="J409" s="391"/>
      <c r="K409" s="391"/>
      <c r="L409" s="391"/>
      <c r="M409" s="392"/>
      <c r="N409" s="391"/>
      <c r="O409" s="391"/>
      <c r="P409" s="391"/>
      <c r="Q409" s="391"/>
      <c r="R409" s="392"/>
      <c r="S409" s="391"/>
      <c r="T409" s="391"/>
      <c r="U409" s="391"/>
      <c r="V409" s="391"/>
      <c r="W409" s="392"/>
      <c r="X409" s="391"/>
      <c r="Y409" s="391"/>
      <c r="Z409" s="391"/>
      <c r="AA409" s="391"/>
      <c r="AB409" s="392"/>
      <c r="AC409" s="391"/>
      <c r="AD409" s="391"/>
      <c r="AE409" s="391"/>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row>
    <row r="410" spans="1:58" ht="15.75" customHeight="1" x14ac:dyDescent="0.2">
      <c r="A410" s="189"/>
      <c r="B410" s="189"/>
      <c r="C410" s="55"/>
      <c r="D410" s="391"/>
      <c r="E410" s="391"/>
      <c r="F410" s="391"/>
      <c r="G410" s="391"/>
      <c r="H410" s="392"/>
      <c r="I410" s="391"/>
      <c r="J410" s="391"/>
      <c r="K410" s="391"/>
      <c r="L410" s="391"/>
      <c r="M410" s="392"/>
      <c r="N410" s="391"/>
      <c r="O410" s="391"/>
      <c r="P410" s="391"/>
      <c r="Q410" s="391"/>
      <c r="R410" s="392"/>
      <c r="S410" s="391"/>
      <c r="T410" s="391"/>
      <c r="U410" s="391"/>
      <c r="V410" s="391"/>
      <c r="W410" s="392"/>
      <c r="X410" s="391"/>
      <c r="Y410" s="391"/>
      <c r="Z410" s="391"/>
      <c r="AA410" s="391"/>
      <c r="AB410" s="392"/>
      <c r="AC410" s="391"/>
      <c r="AD410" s="391"/>
      <c r="AE410" s="391"/>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row>
    <row r="411" spans="1:58" ht="15.75" customHeight="1" x14ac:dyDescent="0.2">
      <c r="A411" s="189"/>
      <c r="B411" s="189"/>
      <c r="C411" s="55"/>
      <c r="D411" s="391"/>
      <c r="E411" s="391"/>
      <c r="F411" s="391"/>
      <c r="G411" s="391"/>
      <c r="H411" s="392"/>
      <c r="I411" s="391"/>
      <c r="J411" s="391"/>
      <c r="K411" s="391"/>
      <c r="L411" s="391"/>
      <c r="M411" s="392"/>
      <c r="N411" s="391"/>
      <c r="O411" s="391"/>
      <c r="P411" s="391"/>
      <c r="Q411" s="391"/>
      <c r="R411" s="392"/>
      <c r="S411" s="391"/>
      <c r="T411" s="391"/>
      <c r="U411" s="391"/>
      <c r="V411" s="391"/>
      <c r="W411" s="392"/>
      <c r="X411" s="391"/>
      <c r="Y411" s="391"/>
      <c r="Z411" s="391"/>
      <c r="AA411" s="391"/>
      <c r="AB411" s="392"/>
      <c r="AC411" s="391"/>
      <c r="AD411" s="391"/>
      <c r="AE411" s="391"/>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row>
    <row r="412" spans="1:58" ht="15.75" customHeight="1" x14ac:dyDescent="0.2">
      <c r="A412" s="189"/>
      <c r="B412" s="189"/>
      <c r="C412" s="55"/>
      <c r="D412" s="391"/>
      <c r="E412" s="391"/>
      <c r="F412" s="391"/>
      <c r="G412" s="391"/>
      <c r="H412" s="392"/>
      <c r="I412" s="391"/>
      <c r="J412" s="391"/>
      <c r="K412" s="391"/>
      <c r="L412" s="391"/>
      <c r="M412" s="392"/>
      <c r="N412" s="391"/>
      <c r="O412" s="391"/>
      <c r="P412" s="391"/>
      <c r="Q412" s="391"/>
      <c r="R412" s="392"/>
      <c r="S412" s="391"/>
      <c r="T412" s="391"/>
      <c r="U412" s="391"/>
      <c r="V412" s="391"/>
      <c r="W412" s="392"/>
      <c r="X412" s="391"/>
      <c r="Y412" s="391"/>
      <c r="Z412" s="391"/>
      <c r="AA412" s="391"/>
      <c r="AB412" s="392"/>
      <c r="AC412" s="391"/>
      <c r="AD412" s="391"/>
      <c r="AE412" s="391"/>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row>
    <row r="413" spans="1:58" ht="15.75" customHeight="1" x14ac:dyDescent="0.2">
      <c r="A413" s="189"/>
      <c r="B413" s="189"/>
      <c r="C413" s="55"/>
      <c r="D413" s="391"/>
      <c r="E413" s="391"/>
      <c r="F413" s="391"/>
      <c r="G413" s="391"/>
      <c r="H413" s="392"/>
      <c r="I413" s="391"/>
      <c r="J413" s="391"/>
      <c r="K413" s="391"/>
      <c r="L413" s="391"/>
      <c r="M413" s="392"/>
      <c r="N413" s="391"/>
      <c r="O413" s="391"/>
      <c r="P413" s="391"/>
      <c r="Q413" s="391"/>
      <c r="R413" s="392"/>
      <c r="S413" s="391"/>
      <c r="T413" s="391"/>
      <c r="U413" s="391"/>
      <c r="V413" s="391"/>
      <c r="W413" s="392"/>
      <c r="X413" s="391"/>
      <c r="Y413" s="391"/>
      <c r="Z413" s="391"/>
      <c r="AA413" s="391"/>
      <c r="AB413" s="392"/>
      <c r="AC413" s="391"/>
      <c r="AD413" s="391"/>
      <c r="AE413" s="391"/>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row>
    <row r="414" spans="1:58" ht="15.75" customHeight="1" x14ac:dyDescent="0.2">
      <c r="A414" s="189"/>
      <c r="B414" s="189"/>
      <c r="C414" s="55"/>
      <c r="D414" s="391"/>
      <c r="E414" s="391"/>
      <c r="F414" s="391"/>
      <c r="G414" s="391"/>
      <c r="H414" s="392"/>
      <c r="I414" s="391"/>
      <c r="J414" s="391"/>
      <c r="K414" s="391"/>
      <c r="L414" s="391"/>
      <c r="M414" s="392"/>
      <c r="N414" s="391"/>
      <c r="O414" s="391"/>
      <c r="P414" s="391"/>
      <c r="Q414" s="391"/>
      <c r="R414" s="392"/>
      <c r="S414" s="391"/>
      <c r="T414" s="391"/>
      <c r="U414" s="391"/>
      <c r="V414" s="391"/>
      <c r="W414" s="392"/>
      <c r="X414" s="391"/>
      <c r="Y414" s="391"/>
      <c r="Z414" s="391"/>
      <c r="AA414" s="391"/>
      <c r="AB414" s="392"/>
      <c r="AC414" s="391"/>
      <c r="AD414" s="391"/>
      <c r="AE414" s="391"/>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row>
    <row r="415" spans="1:58" ht="15.75" customHeight="1" x14ac:dyDescent="0.2">
      <c r="A415" s="189"/>
      <c r="B415" s="189"/>
      <c r="C415" s="55"/>
      <c r="D415" s="391"/>
      <c r="E415" s="391"/>
      <c r="F415" s="391"/>
      <c r="G415" s="391"/>
      <c r="H415" s="392"/>
      <c r="I415" s="391"/>
      <c r="J415" s="391"/>
      <c r="K415" s="391"/>
      <c r="L415" s="391"/>
      <c r="M415" s="392"/>
      <c r="N415" s="391"/>
      <c r="O415" s="391"/>
      <c r="P415" s="391"/>
      <c r="Q415" s="391"/>
      <c r="R415" s="392"/>
      <c r="S415" s="391"/>
      <c r="T415" s="391"/>
      <c r="U415" s="391"/>
      <c r="V415" s="391"/>
      <c r="W415" s="392"/>
      <c r="X415" s="391"/>
      <c r="Y415" s="391"/>
      <c r="Z415" s="391"/>
      <c r="AA415" s="391"/>
      <c r="AB415" s="392"/>
      <c r="AC415" s="391"/>
      <c r="AD415" s="391"/>
      <c r="AE415" s="391"/>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row>
    <row r="416" spans="1:58" ht="15.75" customHeight="1" x14ac:dyDescent="0.2">
      <c r="A416" s="189"/>
      <c r="B416" s="189"/>
      <c r="C416" s="55"/>
      <c r="D416" s="391"/>
      <c r="E416" s="391"/>
      <c r="F416" s="391"/>
      <c r="G416" s="391"/>
      <c r="H416" s="392"/>
      <c r="I416" s="391"/>
      <c r="J416" s="391"/>
      <c r="K416" s="391"/>
      <c r="L416" s="391"/>
      <c r="M416" s="392"/>
      <c r="N416" s="391"/>
      <c r="O416" s="391"/>
      <c r="P416" s="391"/>
      <c r="Q416" s="391"/>
      <c r="R416" s="392"/>
      <c r="S416" s="391"/>
      <c r="T416" s="391"/>
      <c r="U416" s="391"/>
      <c r="V416" s="391"/>
      <c r="W416" s="392"/>
      <c r="X416" s="391"/>
      <c r="Y416" s="391"/>
      <c r="Z416" s="391"/>
      <c r="AA416" s="391"/>
      <c r="AB416" s="392"/>
      <c r="AC416" s="391"/>
      <c r="AD416" s="391"/>
      <c r="AE416" s="391"/>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row>
    <row r="417" spans="1:58" ht="15.75" customHeight="1" x14ac:dyDescent="0.2">
      <c r="A417" s="189"/>
      <c r="B417" s="189"/>
      <c r="C417" s="55"/>
      <c r="D417" s="391"/>
      <c r="E417" s="391"/>
      <c r="F417" s="391"/>
      <c r="G417" s="391"/>
      <c r="H417" s="392"/>
      <c r="I417" s="391"/>
      <c r="J417" s="391"/>
      <c r="K417" s="391"/>
      <c r="L417" s="391"/>
      <c r="M417" s="392"/>
      <c r="N417" s="391"/>
      <c r="O417" s="391"/>
      <c r="P417" s="391"/>
      <c r="Q417" s="391"/>
      <c r="R417" s="392"/>
      <c r="S417" s="391"/>
      <c r="T417" s="391"/>
      <c r="U417" s="391"/>
      <c r="V417" s="391"/>
      <c r="W417" s="392"/>
      <c r="X417" s="391"/>
      <c r="Y417" s="391"/>
      <c r="Z417" s="391"/>
      <c r="AA417" s="391"/>
      <c r="AB417" s="392"/>
      <c r="AC417" s="391"/>
      <c r="AD417" s="391"/>
      <c r="AE417" s="391"/>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row>
    <row r="418" spans="1:58" ht="15.75" customHeight="1" x14ac:dyDescent="0.2">
      <c r="A418" s="189"/>
      <c r="B418" s="189"/>
      <c r="C418" s="55"/>
      <c r="D418" s="391"/>
      <c r="E418" s="391"/>
      <c r="F418" s="391"/>
      <c r="G418" s="391"/>
      <c r="H418" s="392"/>
      <c r="I418" s="391"/>
      <c r="J418" s="391"/>
      <c r="K418" s="391"/>
      <c r="L418" s="391"/>
      <c r="M418" s="392"/>
      <c r="N418" s="391"/>
      <c r="O418" s="391"/>
      <c r="P418" s="391"/>
      <c r="Q418" s="391"/>
      <c r="R418" s="392"/>
      <c r="S418" s="391"/>
      <c r="T418" s="391"/>
      <c r="U418" s="391"/>
      <c r="V418" s="391"/>
      <c r="W418" s="392"/>
      <c r="X418" s="391"/>
      <c r="Y418" s="391"/>
      <c r="Z418" s="391"/>
      <c r="AA418" s="391"/>
      <c r="AB418" s="392"/>
      <c r="AC418" s="391"/>
      <c r="AD418" s="391"/>
      <c r="AE418" s="391"/>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row>
    <row r="419" spans="1:58" ht="15.75" customHeight="1" x14ac:dyDescent="0.2">
      <c r="A419" s="189"/>
      <c r="B419" s="189"/>
      <c r="C419" s="55"/>
      <c r="D419" s="391"/>
      <c r="E419" s="391"/>
      <c r="F419" s="391"/>
      <c r="G419" s="391"/>
      <c r="H419" s="392"/>
      <c r="I419" s="391"/>
      <c r="J419" s="391"/>
      <c r="K419" s="391"/>
      <c r="L419" s="391"/>
      <c r="M419" s="392"/>
      <c r="N419" s="391"/>
      <c r="O419" s="391"/>
      <c r="P419" s="391"/>
      <c r="Q419" s="391"/>
      <c r="R419" s="392"/>
      <c r="S419" s="391"/>
      <c r="T419" s="391"/>
      <c r="U419" s="391"/>
      <c r="V419" s="391"/>
      <c r="W419" s="392"/>
      <c r="X419" s="391"/>
      <c r="Y419" s="391"/>
      <c r="Z419" s="391"/>
      <c r="AA419" s="391"/>
      <c r="AB419" s="392"/>
      <c r="AC419" s="391"/>
      <c r="AD419" s="391"/>
      <c r="AE419" s="391"/>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row>
    <row r="420" spans="1:58" ht="15.75" customHeight="1" x14ac:dyDescent="0.2">
      <c r="A420" s="189"/>
      <c r="B420" s="189"/>
      <c r="C420" s="55"/>
      <c r="D420" s="391"/>
      <c r="E420" s="391"/>
      <c r="F420" s="391"/>
      <c r="G420" s="391"/>
      <c r="H420" s="392"/>
      <c r="I420" s="391"/>
      <c r="J420" s="391"/>
      <c r="K420" s="391"/>
      <c r="L420" s="391"/>
      <c r="M420" s="392"/>
      <c r="N420" s="391"/>
      <c r="O420" s="391"/>
      <c r="P420" s="391"/>
      <c r="Q420" s="391"/>
      <c r="R420" s="392"/>
      <c r="S420" s="391"/>
      <c r="T420" s="391"/>
      <c r="U420" s="391"/>
      <c r="V420" s="391"/>
      <c r="W420" s="392"/>
      <c r="X420" s="391"/>
      <c r="Y420" s="391"/>
      <c r="Z420" s="391"/>
      <c r="AA420" s="391"/>
      <c r="AB420" s="392"/>
      <c r="AC420" s="391"/>
      <c r="AD420" s="391"/>
      <c r="AE420" s="391"/>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row>
    <row r="421" spans="1:58" ht="15.75" customHeight="1" x14ac:dyDescent="0.2">
      <c r="A421" s="189"/>
      <c r="B421" s="189"/>
      <c r="C421" s="55"/>
      <c r="D421" s="391"/>
      <c r="E421" s="391"/>
      <c r="F421" s="391"/>
      <c r="G421" s="391"/>
      <c r="H421" s="392"/>
      <c r="I421" s="391"/>
      <c r="J421" s="391"/>
      <c r="K421" s="391"/>
      <c r="L421" s="391"/>
      <c r="M421" s="392"/>
      <c r="N421" s="391"/>
      <c r="O421" s="391"/>
      <c r="P421" s="391"/>
      <c r="Q421" s="391"/>
      <c r="R421" s="392"/>
      <c r="S421" s="391"/>
      <c r="T421" s="391"/>
      <c r="U421" s="391"/>
      <c r="V421" s="391"/>
      <c r="W421" s="392"/>
      <c r="X421" s="391"/>
      <c r="Y421" s="391"/>
      <c r="Z421" s="391"/>
      <c r="AA421" s="391"/>
      <c r="AB421" s="392"/>
      <c r="AC421" s="391"/>
      <c r="AD421" s="391"/>
      <c r="AE421" s="391"/>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row>
    <row r="422" spans="1:58" ht="15.75" customHeight="1" x14ac:dyDescent="0.2">
      <c r="A422" s="189"/>
      <c r="B422" s="189"/>
      <c r="C422" s="55"/>
      <c r="D422" s="391"/>
      <c r="E422" s="391"/>
      <c r="F422" s="391"/>
      <c r="G422" s="391"/>
      <c r="H422" s="392"/>
      <c r="I422" s="391"/>
      <c r="J422" s="391"/>
      <c r="K422" s="391"/>
      <c r="L422" s="391"/>
      <c r="M422" s="392"/>
      <c r="N422" s="391"/>
      <c r="O422" s="391"/>
      <c r="P422" s="391"/>
      <c r="Q422" s="391"/>
      <c r="R422" s="392"/>
      <c r="S422" s="391"/>
      <c r="T422" s="391"/>
      <c r="U422" s="391"/>
      <c r="V422" s="391"/>
      <c r="W422" s="392"/>
      <c r="X422" s="391"/>
      <c r="Y422" s="391"/>
      <c r="Z422" s="391"/>
      <c r="AA422" s="391"/>
      <c r="AB422" s="392"/>
      <c r="AC422" s="391"/>
      <c r="AD422" s="391"/>
      <c r="AE422" s="391"/>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row>
    <row r="423" spans="1:58" ht="15.75" customHeight="1" x14ac:dyDescent="0.2">
      <c r="A423" s="189"/>
      <c r="B423" s="189"/>
      <c r="C423" s="55"/>
      <c r="D423" s="391"/>
      <c r="E423" s="391"/>
      <c r="F423" s="391"/>
      <c r="G423" s="391"/>
      <c r="H423" s="392"/>
      <c r="I423" s="391"/>
      <c r="J423" s="391"/>
      <c r="K423" s="391"/>
      <c r="L423" s="391"/>
      <c r="M423" s="392"/>
      <c r="N423" s="391"/>
      <c r="O423" s="391"/>
      <c r="P423" s="391"/>
      <c r="Q423" s="391"/>
      <c r="R423" s="392"/>
      <c r="S423" s="391"/>
      <c r="T423" s="391"/>
      <c r="U423" s="391"/>
      <c r="V423" s="391"/>
      <c r="W423" s="392"/>
      <c r="X423" s="391"/>
      <c r="Y423" s="391"/>
      <c r="Z423" s="391"/>
      <c r="AA423" s="391"/>
      <c r="AB423" s="392"/>
      <c r="AC423" s="391"/>
      <c r="AD423" s="391"/>
      <c r="AE423" s="391"/>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row>
    <row r="424" spans="1:58" ht="15.75" customHeight="1" x14ac:dyDescent="0.2">
      <c r="A424" s="189"/>
      <c r="B424" s="189"/>
      <c r="C424" s="55"/>
      <c r="D424" s="391"/>
      <c r="E424" s="391"/>
      <c r="F424" s="391"/>
      <c r="G424" s="391"/>
      <c r="H424" s="392"/>
      <c r="I424" s="391"/>
      <c r="J424" s="391"/>
      <c r="K424" s="391"/>
      <c r="L424" s="391"/>
      <c r="M424" s="392"/>
      <c r="N424" s="391"/>
      <c r="O424" s="391"/>
      <c r="P424" s="391"/>
      <c r="Q424" s="391"/>
      <c r="R424" s="392"/>
      <c r="S424" s="391"/>
      <c r="T424" s="391"/>
      <c r="U424" s="391"/>
      <c r="V424" s="391"/>
      <c r="W424" s="392"/>
      <c r="X424" s="391"/>
      <c r="Y424" s="391"/>
      <c r="Z424" s="391"/>
      <c r="AA424" s="391"/>
      <c r="AB424" s="392"/>
      <c r="AC424" s="391"/>
      <c r="AD424" s="391"/>
      <c r="AE424" s="391"/>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row>
    <row r="425" spans="1:58" ht="15.75" customHeight="1" x14ac:dyDescent="0.2">
      <c r="A425" s="189"/>
      <c r="B425" s="189"/>
      <c r="C425" s="55"/>
      <c r="D425" s="391"/>
      <c r="E425" s="391"/>
      <c r="F425" s="391"/>
      <c r="G425" s="391"/>
      <c r="H425" s="392"/>
      <c r="I425" s="391"/>
      <c r="J425" s="391"/>
      <c r="K425" s="391"/>
      <c r="L425" s="391"/>
      <c r="M425" s="392"/>
      <c r="N425" s="391"/>
      <c r="O425" s="391"/>
      <c r="P425" s="391"/>
      <c r="Q425" s="391"/>
      <c r="R425" s="392"/>
      <c r="S425" s="391"/>
      <c r="T425" s="391"/>
      <c r="U425" s="391"/>
      <c r="V425" s="391"/>
      <c r="W425" s="392"/>
      <c r="X425" s="391"/>
      <c r="Y425" s="391"/>
      <c r="Z425" s="391"/>
      <c r="AA425" s="391"/>
      <c r="AB425" s="392"/>
      <c r="AC425" s="391"/>
      <c r="AD425" s="391"/>
      <c r="AE425" s="391"/>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row>
    <row r="426" spans="1:58" ht="15.75" customHeight="1" x14ac:dyDescent="0.2">
      <c r="A426" s="189"/>
      <c r="B426" s="189"/>
      <c r="C426" s="55"/>
      <c r="D426" s="391"/>
      <c r="E426" s="391"/>
      <c r="F426" s="391"/>
      <c r="G426" s="391"/>
      <c r="H426" s="392"/>
      <c r="I426" s="391"/>
      <c r="J426" s="391"/>
      <c r="K426" s="391"/>
      <c r="L426" s="391"/>
      <c r="M426" s="392"/>
      <c r="N426" s="391"/>
      <c r="O426" s="391"/>
      <c r="P426" s="391"/>
      <c r="Q426" s="391"/>
      <c r="R426" s="392"/>
      <c r="S426" s="391"/>
      <c r="T426" s="391"/>
      <c r="U426" s="391"/>
      <c r="V426" s="391"/>
      <c r="W426" s="392"/>
      <c r="X426" s="391"/>
      <c r="Y426" s="391"/>
      <c r="Z426" s="391"/>
      <c r="AA426" s="391"/>
      <c r="AB426" s="392"/>
      <c r="AC426" s="391"/>
      <c r="AD426" s="391"/>
      <c r="AE426" s="391"/>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row>
    <row r="427" spans="1:58" ht="15.75" customHeight="1" x14ac:dyDescent="0.2">
      <c r="A427" s="189"/>
      <c r="B427" s="189"/>
      <c r="C427" s="55"/>
      <c r="D427" s="391"/>
      <c r="E427" s="391"/>
      <c r="F427" s="391"/>
      <c r="G427" s="391"/>
      <c r="H427" s="392"/>
      <c r="I427" s="391"/>
      <c r="J427" s="391"/>
      <c r="K427" s="391"/>
      <c r="L427" s="391"/>
      <c r="M427" s="392"/>
      <c r="N427" s="391"/>
      <c r="O427" s="391"/>
      <c r="P427" s="391"/>
      <c r="Q427" s="391"/>
      <c r="R427" s="392"/>
      <c r="S427" s="391"/>
      <c r="T427" s="391"/>
      <c r="U427" s="391"/>
      <c r="V427" s="391"/>
      <c r="W427" s="392"/>
      <c r="X427" s="391"/>
      <c r="Y427" s="391"/>
      <c r="Z427" s="391"/>
      <c r="AA427" s="391"/>
      <c r="AB427" s="392"/>
      <c r="AC427" s="391"/>
      <c r="AD427" s="391"/>
      <c r="AE427" s="391"/>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row>
    <row r="428" spans="1:58" ht="15.75" customHeight="1" x14ac:dyDescent="0.2">
      <c r="A428" s="189"/>
      <c r="B428" s="189"/>
      <c r="C428" s="55"/>
      <c r="D428" s="391"/>
      <c r="E428" s="391"/>
      <c r="F428" s="391"/>
      <c r="G428" s="391"/>
      <c r="H428" s="392"/>
      <c r="I428" s="391"/>
      <c r="J428" s="391"/>
      <c r="K428" s="391"/>
      <c r="L428" s="391"/>
      <c r="M428" s="392"/>
      <c r="N428" s="391"/>
      <c r="O428" s="391"/>
      <c r="P428" s="391"/>
      <c r="Q428" s="391"/>
      <c r="R428" s="392"/>
      <c r="S428" s="391"/>
      <c r="T428" s="391"/>
      <c r="U428" s="391"/>
      <c r="V428" s="391"/>
      <c r="W428" s="392"/>
      <c r="X428" s="391"/>
      <c r="Y428" s="391"/>
      <c r="Z428" s="391"/>
      <c r="AA428" s="391"/>
      <c r="AB428" s="392"/>
      <c r="AC428" s="391"/>
      <c r="AD428" s="391"/>
      <c r="AE428" s="391"/>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row>
    <row r="429" spans="1:58" ht="15.75" customHeight="1" x14ac:dyDescent="0.2">
      <c r="A429" s="189"/>
      <c r="B429" s="189"/>
      <c r="C429" s="55"/>
      <c r="D429" s="391"/>
      <c r="E429" s="391"/>
      <c r="F429" s="391"/>
      <c r="G429" s="391"/>
      <c r="H429" s="392"/>
      <c r="I429" s="391"/>
      <c r="J429" s="391"/>
      <c r="K429" s="391"/>
      <c r="L429" s="391"/>
      <c r="M429" s="392"/>
      <c r="N429" s="391"/>
      <c r="O429" s="391"/>
      <c r="P429" s="391"/>
      <c r="Q429" s="391"/>
      <c r="R429" s="392"/>
      <c r="S429" s="391"/>
      <c r="T429" s="391"/>
      <c r="U429" s="391"/>
      <c r="V429" s="391"/>
      <c r="W429" s="392"/>
      <c r="X429" s="391"/>
      <c r="Y429" s="391"/>
      <c r="Z429" s="391"/>
      <c r="AA429" s="391"/>
      <c r="AB429" s="392"/>
      <c r="AC429" s="391"/>
      <c r="AD429" s="391"/>
      <c r="AE429" s="391"/>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row>
    <row r="430" spans="1:58" ht="15.75" customHeight="1" x14ac:dyDescent="0.2">
      <c r="A430" s="189"/>
      <c r="B430" s="189"/>
      <c r="C430" s="55"/>
      <c r="D430" s="391"/>
      <c r="E430" s="391"/>
      <c r="F430" s="391"/>
      <c r="G430" s="391"/>
      <c r="H430" s="392"/>
      <c r="I430" s="391"/>
      <c r="J430" s="391"/>
      <c r="K430" s="391"/>
      <c r="L430" s="391"/>
      <c r="M430" s="392"/>
      <c r="N430" s="391"/>
      <c r="O430" s="391"/>
      <c r="P430" s="391"/>
      <c r="Q430" s="391"/>
      <c r="R430" s="392"/>
      <c r="S430" s="391"/>
      <c r="T430" s="391"/>
      <c r="U430" s="391"/>
      <c r="V430" s="391"/>
      <c r="W430" s="392"/>
      <c r="X430" s="391"/>
      <c r="Y430" s="391"/>
      <c r="Z430" s="391"/>
      <c r="AA430" s="391"/>
      <c r="AB430" s="392"/>
      <c r="AC430" s="391"/>
      <c r="AD430" s="391"/>
      <c r="AE430" s="391"/>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row>
    <row r="431" spans="1:58" ht="15.75" customHeight="1" x14ac:dyDescent="0.2">
      <c r="A431" s="189"/>
      <c r="B431" s="189"/>
      <c r="C431" s="55"/>
      <c r="D431" s="391"/>
      <c r="E431" s="391"/>
      <c r="F431" s="391"/>
      <c r="G431" s="391"/>
      <c r="H431" s="392"/>
      <c r="I431" s="391"/>
      <c r="J431" s="391"/>
      <c r="K431" s="391"/>
      <c r="L431" s="391"/>
      <c r="M431" s="392"/>
      <c r="N431" s="391"/>
      <c r="O431" s="391"/>
      <c r="P431" s="391"/>
      <c r="Q431" s="391"/>
      <c r="R431" s="392"/>
      <c r="S431" s="391"/>
      <c r="T431" s="391"/>
      <c r="U431" s="391"/>
      <c r="V431" s="391"/>
      <c r="W431" s="392"/>
      <c r="X431" s="391"/>
      <c r="Y431" s="391"/>
      <c r="Z431" s="391"/>
      <c r="AA431" s="391"/>
      <c r="AB431" s="392"/>
      <c r="AC431" s="391"/>
      <c r="AD431" s="391"/>
      <c r="AE431" s="391"/>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row>
    <row r="432" spans="1:58" ht="15.75" customHeight="1" x14ac:dyDescent="0.2">
      <c r="A432" s="189"/>
      <c r="B432" s="189"/>
      <c r="C432" s="55"/>
      <c r="D432" s="391"/>
      <c r="E432" s="391"/>
      <c r="F432" s="391"/>
      <c r="G432" s="391"/>
      <c r="H432" s="392"/>
      <c r="I432" s="391"/>
      <c r="J432" s="391"/>
      <c r="K432" s="391"/>
      <c r="L432" s="391"/>
      <c r="M432" s="392"/>
      <c r="N432" s="391"/>
      <c r="O432" s="391"/>
      <c r="P432" s="391"/>
      <c r="Q432" s="391"/>
      <c r="R432" s="392"/>
      <c r="S432" s="391"/>
      <c r="T432" s="391"/>
      <c r="U432" s="391"/>
      <c r="V432" s="391"/>
      <c r="W432" s="392"/>
      <c r="X432" s="391"/>
      <c r="Y432" s="391"/>
      <c r="Z432" s="391"/>
      <c r="AA432" s="391"/>
      <c r="AB432" s="392"/>
      <c r="AC432" s="391"/>
      <c r="AD432" s="391"/>
      <c r="AE432" s="391"/>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row>
    <row r="433" spans="1:58" ht="15.75" customHeight="1" x14ac:dyDescent="0.2">
      <c r="A433" s="189"/>
      <c r="B433" s="189"/>
      <c r="C433" s="55"/>
      <c r="D433" s="391"/>
      <c r="E433" s="391"/>
      <c r="F433" s="391"/>
      <c r="G433" s="391"/>
      <c r="H433" s="392"/>
      <c r="I433" s="391"/>
      <c r="J433" s="391"/>
      <c r="K433" s="391"/>
      <c r="L433" s="391"/>
      <c r="M433" s="392"/>
      <c r="N433" s="391"/>
      <c r="O433" s="391"/>
      <c r="P433" s="391"/>
      <c r="Q433" s="391"/>
      <c r="R433" s="392"/>
      <c r="S433" s="391"/>
      <c r="T433" s="391"/>
      <c r="U433" s="391"/>
      <c r="V433" s="391"/>
      <c r="W433" s="392"/>
      <c r="X433" s="391"/>
      <c r="Y433" s="391"/>
      <c r="Z433" s="391"/>
      <c r="AA433" s="391"/>
      <c r="AB433" s="392"/>
      <c r="AC433" s="391"/>
      <c r="AD433" s="391"/>
      <c r="AE433" s="391"/>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row>
    <row r="434" spans="1:58" ht="15.75" customHeight="1" x14ac:dyDescent="0.2">
      <c r="A434" s="189"/>
      <c r="B434" s="189"/>
      <c r="C434" s="55"/>
      <c r="D434" s="391"/>
      <c r="E434" s="391"/>
      <c r="F434" s="391"/>
      <c r="G434" s="391"/>
      <c r="H434" s="392"/>
      <c r="I434" s="391"/>
      <c r="J434" s="391"/>
      <c r="K434" s="391"/>
      <c r="L434" s="391"/>
      <c r="M434" s="392"/>
      <c r="N434" s="391"/>
      <c r="O434" s="391"/>
      <c r="P434" s="391"/>
      <c r="Q434" s="391"/>
      <c r="R434" s="392"/>
      <c r="S434" s="391"/>
      <c r="T434" s="391"/>
      <c r="U434" s="391"/>
      <c r="V434" s="391"/>
      <c r="W434" s="392"/>
      <c r="X434" s="391"/>
      <c r="Y434" s="391"/>
      <c r="Z434" s="391"/>
      <c r="AA434" s="391"/>
      <c r="AB434" s="392"/>
      <c r="AC434" s="391"/>
      <c r="AD434" s="391"/>
      <c r="AE434" s="391"/>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row>
    <row r="435" spans="1:58" ht="15.75" customHeight="1" x14ac:dyDescent="0.2">
      <c r="A435" s="189"/>
      <c r="B435" s="189"/>
      <c r="C435" s="55"/>
      <c r="D435" s="391"/>
      <c r="E435" s="391"/>
      <c r="F435" s="391"/>
      <c r="G435" s="391"/>
      <c r="H435" s="392"/>
      <c r="I435" s="391"/>
      <c r="J435" s="391"/>
      <c r="K435" s="391"/>
      <c r="L435" s="391"/>
      <c r="M435" s="392"/>
      <c r="N435" s="391"/>
      <c r="O435" s="391"/>
      <c r="P435" s="391"/>
      <c r="Q435" s="391"/>
      <c r="R435" s="392"/>
      <c r="S435" s="391"/>
      <c r="T435" s="391"/>
      <c r="U435" s="391"/>
      <c r="V435" s="391"/>
      <c r="W435" s="392"/>
      <c r="X435" s="391"/>
      <c r="Y435" s="391"/>
      <c r="Z435" s="391"/>
      <c r="AA435" s="391"/>
      <c r="AB435" s="392"/>
      <c r="AC435" s="391"/>
      <c r="AD435" s="391"/>
      <c r="AE435" s="391"/>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row>
    <row r="436" spans="1:58" ht="15.75" customHeight="1" x14ac:dyDescent="0.2">
      <c r="A436" s="189"/>
      <c r="B436" s="189"/>
      <c r="C436" s="55"/>
      <c r="D436" s="391"/>
      <c r="E436" s="391"/>
      <c r="F436" s="391"/>
      <c r="G436" s="391"/>
      <c r="H436" s="392"/>
      <c r="I436" s="391"/>
      <c r="J436" s="391"/>
      <c r="K436" s="391"/>
      <c r="L436" s="391"/>
      <c r="M436" s="392"/>
      <c r="N436" s="391"/>
      <c r="O436" s="391"/>
      <c r="P436" s="391"/>
      <c r="Q436" s="391"/>
      <c r="R436" s="392"/>
      <c r="S436" s="391"/>
      <c r="T436" s="391"/>
      <c r="U436" s="391"/>
      <c r="V436" s="391"/>
      <c r="W436" s="392"/>
      <c r="X436" s="391"/>
      <c r="Y436" s="391"/>
      <c r="Z436" s="391"/>
      <c r="AA436" s="391"/>
      <c r="AB436" s="392"/>
      <c r="AC436" s="391"/>
      <c r="AD436" s="391"/>
      <c r="AE436" s="391"/>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row>
    <row r="437" spans="1:58" ht="15.75" customHeight="1" x14ac:dyDescent="0.2">
      <c r="A437" s="189"/>
      <c r="B437" s="189"/>
      <c r="C437" s="55"/>
      <c r="D437" s="391"/>
      <c r="E437" s="391"/>
      <c r="F437" s="391"/>
      <c r="G437" s="391"/>
      <c r="H437" s="392"/>
      <c r="I437" s="391"/>
      <c r="J437" s="391"/>
      <c r="K437" s="391"/>
      <c r="L437" s="391"/>
      <c r="M437" s="392"/>
      <c r="N437" s="391"/>
      <c r="O437" s="391"/>
      <c r="P437" s="391"/>
      <c r="Q437" s="391"/>
      <c r="R437" s="392"/>
      <c r="S437" s="391"/>
      <c r="T437" s="391"/>
      <c r="U437" s="391"/>
      <c r="V437" s="391"/>
      <c r="W437" s="392"/>
      <c r="X437" s="391"/>
      <c r="Y437" s="391"/>
      <c r="Z437" s="391"/>
      <c r="AA437" s="391"/>
      <c r="AB437" s="392"/>
      <c r="AC437" s="391"/>
      <c r="AD437" s="391"/>
      <c r="AE437" s="391"/>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row>
    <row r="438" spans="1:58" ht="15.75" customHeight="1" x14ac:dyDescent="0.2">
      <c r="A438" s="189"/>
      <c r="B438" s="189"/>
      <c r="C438" s="55"/>
      <c r="D438" s="391"/>
      <c r="E438" s="391"/>
      <c r="F438" s="391"/>
      <c r="G438" s="391"/>
      <c r="H438" s="392"/>
      <c r="I438" s="391"/>
      <c r="J438" s="391"/>
      <c r="K438" s="391"/>
      <c r="L438" s="391"/>
      <c r="M438" s="392"/>
      <c r="N438" s="391"/>
      <c r="O438" s="391"/>
      <c r="P438" s="391"/>
      <c r="Q438" s="391"/>
      <c r="R438" s="392"/>
      <c r="S438" s="391"/>
      <c r="T438" s="391"/>
      <c r="U438" s="391"/>
      <c r="V438" s="391"/>
      <c r="W438" s="392"/>
      <c r="X438" s="391"/>
      <c r="Y438" s="391"/>
      <c r="Z438" s="391"/>
      <c r="AA438" s="391"/>
      <c r="AB438" s="392"/>
      <c r="AC438" s="391"/>
      <c r="AD438" s="391"/>
      <c r="AE438" s="391"/>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row>
    <row r="439" spans="1:58" ht="15.75" customHeight="1" x14ac:dyDescent="0.2">
      <c r="A439" s="189"/>
      <c r="B439" s="189"/>
      <c r="C439" s="55"/>
      <c r="D439" s="391"/>
      <c r="E439" s="391"/>
      <c r="F439" s="391"/>
      <c r="G439" s="391"/>
      <c r="H439" s="392"/>
      <c r="I439" s="391"/>
      <c r="J439" s="391"/>
      <c r="K439" s="391"/>
      <c r="L439" s="391"/>
      <c r="M439" s="392"/>
      <c r="N439" s="391"/>
      <c r="O439" s="391"/>
      <c r="P439" s="391"/>
      <c r="Q439" s="391"/>
      <c r="R439" s="392"/>
      <c r="S439" s="391"/>
      <c r="T439" s="391"/>
      <c r="U439" s="391"/>
      <c r="V439" s="391"/>
      <c r="W439" s="392"/>
      <c r="X439" s="391"/>
      <c r="Y439" s="391"/>
      <c r="Z439" s="391"/>
      <c r="AA439" s="391"/>
      <c r="AB439" s="392"/>
      <c r="AC439" s="391"/>
      <c r="AD439" s="391"/>
      <c r="AE439" s="391"/>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row>
    <row r="440" spans="1:58" ht="15.75" customHeight="1" x14ac:dyDescent="0.2">
      <c r="A440" s="189"/>
      <c r="B440" s="189"/>
      <c r="C440" s="55"/>
      <c r="D440" s="391"/>
      <c r="E440" s="391"/>
      <c r="F440" s="391"/>
      <c r="G440" s="391"/>
      <c r="H440" s="392"/>
      <c r="I440" s="391"/>
      <c r="J440" s="391"/>
      <c r="K440" s="391"/>
      <c r="L440" s="391"/>
      <c r="M440" s="392"/>
      <c r="N440" s="391"/>
      <c r="O440" s="391"/>
      <c r="P440" s="391"/>
      <c r="Q440" s="391"/>
      <c r="R440" s="392"/>
      <c r="S440" s="391"/>
      <c r="T440" s="391"/>
      <c r="U440" s="391"/>
      <c r="V440" s="391"/>
      <c r="W440" s="392"/>
      <c r="X440" s="391"/>
      <c r="Y440" s="391"/>
      <c r="Z440" s="391"/>
      <c r="AA440" s="391"/>
      <c r="AB440" s="392"/>
      <c r="AC440" s="391"/>
      <c r="AD440" s="391"/>
      <c r="AE440" s="391"/>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row>
    <row r="441" spans="1:58" ht="15.75" customHeight="1" x14ac:dyDescent="0.2">
      <c r="A441" s="189"/>
      <c r="B441" s="189"/>
      <c r="C441" s="55"/>
      <c r="D441" s="391"/>
      <c r="E441" s="391"/>
      <c r="F441" s="391"/>
      <c r="G441" s="391"/>
      <c r="H441" s="392"/>
      <c r="I441" s="391"/>
      <c r="J441" s="391"/>
      <c r="K441" s="391"/>
      <c r="L441" s="391"/>
      <c r="M441" s="392"/>
      <c r="N441" s="391"/>
      <c r="O441" s="391"/>
      <c r="P441" s="391"/>
      <c r="Q441" s="391"/>
      <c r="R441" s="392"/>
      <c r="S441" s="391"/>
      <c r="T441" s="391"/>
      <c r="U441" s="391"/>
      <c r="V441" s="391"/>
      <c r="W441" s="392"/>
      <c r="X441" s="391"/>
      <c r="Y441" s="391"/>
      <c r="Z441" s="391"/>
      <c r="AA441" s="391"/>
      <c r="AB441" s="392"/>
      <c r="AC441" s="391"/>
      <c r="AD441" s="391"/>
      <c r="AE441" s="391"/>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row>
    <row r="442" spans="1:58" ht="15.75" customHeight="1" x14ac:dyDescent="0.2">
      <c r="A442" s="189"/>
      <c r="B442" s="189"/>
      <c r="C442" s="55"/>
      <c r="D442" s="391"/>
      <c r="E442" s="391"/>
      <c r="F442" s="391"/>
      <c r="G442" s="391"/>
      <c r="H442" s="392"/>
      <c r="I442" s="391"/>
      <c r="J442" s="391"/>
      <c r="K442" s="391"/>
      <c r="L442" s="391"/>
      <c r="M442" s="392"/>
      <c r="N442" s="391"/>
      <c r="O442" s="391"/>
      <c r="P442" s="391"/>
      <c r="Q442" s="391"/>
      <c r="R442" s="392"/>
      <c r="S442" s="391"/>
      <c r="T442" s="391"/>
      <c r="U442" s="391"/>
      <c r="V442" s="391"/>
      <c r="W442" s="392"/>
      <c r="X442" s="391"/>
      <c r="Y442" s="391"/>
      <c r="Z442" s="391"/>
      <c r="AA442" s="391"/>
      <c r="AB442" s="392"/>
      <c r="AC442" s="391"/>
      <c r="AD442" s="391"/>
      <c r="AE442" s="391"/>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row>
    <row r="443" spans="1:58" ht="15.75" customHeight="1" x14ac:dyDescent="0.2">
      <c r="A443" s="189"/>
      <c r="B443" s="189"/>
      <c r="C443" s="55"/>
      <c r="D443" s="391"/>
      <c r="E443" s="391"/>
      <c r="F443" s="391"/>
      <c r="G443" s="391"/>
      <c r="H443" s="392"/>
      <c r="I443" s="391"/>
      <c r="J443" s="391"/>
      <c r="K443" s="391"/>
      <c r="L443" s="391"/>
      <c r="M443" s="392"/>
      <c r="N443" s="391"/>
      <c r="O443" s="391"/>
      <c r="P443" s="391"/>
      <c r="Q443" s="391"/>
      <c r="R443" s="392"/>
      <c r="S443" s="391"/>
      <c r="T443" s="391"/>
      <c r="U443" s="391"/>
      <c r="V443" s="391"/>
      <c r="W443" s="392"/>
      <c r="X443" s="391"/>
      <c r="Y443" s="391"/>
      <c r="Z443" s="391"/>
      <c r="AA443" s="391"/>
      <c r="AB443" s="392"/>
      <c r="AC443" s="391"/>
      <c r="AD443" s="391"/>
      <c r="AE443" s="391"/>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row>
    <row r="444" spans="1:58" ht="15.75" customHeight="1" x14ac:dyDescent="0.2">
      <c r="A444" s="189"/>
      <c r="B444" s="189"/>
      <c r="C444" s="55"/>
      <c r="D444" s="391"/>
      <c r="E444" s="391"/>
      <c r="F444" s="391"/>
      <c r="G444" s="391"/>
      <c r="H444" s="392"/>
      <c r="I444" s="391"/>
      <c r="J444" s="391"/>
      <c r="K444" s="391"/>
      <c r="L444" s="391"/>
      <c r="M444" s="392"/>
      <c r="N444" s="391"/>
      <c r="O444" s="391"/>
      <c r="P444" s="391"/>
      <c r="Q444" s="391"/>
      <c r="R444" s="392"/>
      <c r="S444" s="391"/>
      <c r="T444" s="391"/>
      <c r="U444" s="391"/>
      <c r="V444" s="391"/>
      <c r="W444" s="392"/>
      <c r="X444" s="391"/>
      <c r="Y444" s="391"/>
      <c r="Z444" s="391"/>
      <c r="AA444" s="391"/>
      <c r="AB444" s="392"/>
      <c r="AC444" s="391"/>
      <c r="AD444" s="391"/>
      <c r="AE444" s="391"/>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row>
    <row r="445" spans="1:58" ht="15.75" customHeight="1" x14ac:dyDescent="0.2">
      <c r="A445" s="189"/>
      <c r="B445" s="189"/>
      <c r="C445" s="55"/>
      <c r="D445" s="391"/>
      <c r="E445" s="391"/>
      <c r="F445" s="391"/>
      <c r="G445" s="391"/>
      <c r="H445" s="392"/>
      <c r="I445" s="391"/>
      <c r="J445" s="391"/>
      <c r="K445" s="391"/>
      <c r="L445" s="391"/>
      <c r="M445" s="392"/>
      <c r="N445" s="391"/>
      <c r="O445" s="391"/>
      <c r="P445" s="391"/>
      <c r="Q445" s="391"/>
      <c r="R445" s="392"/>
      <c r="S445" s="391"/>
      <c r="T445" s="391"/>
      <c r="U445" s="391"/>
      <c r="V445" s="391"/>
      <c r="W445" s="392"/>
      <c r="X445" s="391"/>
      <c r="Y445" s="391"/>
      <c r="Z445" s="391"/>
      <c r="AA445" s="391"/>
      <c r="AB445" s="392"/>
      <c r="AC445" s="391"/>
      <c r="AD445" s="391"/>
      <c r="AE445" s="391"/>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row>
    <row r="446" spans="1:58" ht="15.75" customHeight="1" x14ac:dyDescent="0.2">
      <c r="A446" s="189"/>
      <c r="B446" s="189"/>
      <c r="C446" s="55"/>
      <c r="D446" s="391"/>
      <c r="E446" s="391"/>
      <c r="F446" s="391"/>
      <c r="G446" s="391"/>
      <c r="H446" s="392"/>
      <c r="I446" s="391"/>
      <c r="J446" s="391"/>
      <c r="K446" s="391"/>
      <c r="L446" s="391"/>
      <c r="M446" s="392"/>
      <c r="N446" s="391"/>
      <c r="O446" s="391"/>
      <c r="P446" s="391"/>
      <c r="Q446" s="391"/>
      <c r="R446" s="392"/>
      <c r="S446" s="391"/>
      <c r="T446" s="391"/>
      <c r="U446" s="391"/>
      <c r="V446" s="391"/>
      <c r="W446" s="392"/>
      <c r="X446" s="391"/>
      <c r="Y446" s="391"/>
      <c r="Z446" s="391"/>
      <c r="AA446" s="391"/>
      <c r="AB446" s="392"/>
      <c r="AC446" s="391"/>
      <c r="AD446" s="391"/>
      <c r="AE446" s="391"/>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row>
    <row r="447" spans="1:58" ht="15.75" customHeight="1" x14ac:dyDescent="0.2">
      <c r="A447" s="189"/>
      <c r="B447" s="189"/>
      <c r="C447" s="55"/>
      <c r="D447" s="391"/>
      <c r="E447" s="391"/>
      <c r="F447" s="391"/>
      <c r="G447" s="391"/>
      <c r="H447" s="392"/>
      <c r="I447" s="391"/>
      <c r="J447" s="391"/>
      <c r="K447" s="391"/>
      <c r="L447" s="391"/>
      <c r="M447" s="392"/>
      <c r="N447" s="391"/>
      <c r="O447" s="391"/>
      <c r="P447" s="391"/>
      <c r="Q447" s="391"/>
      <c r="R447" s="392"/>
      <c r="S447" s="391"/>
      <c r="T447" s="391"/>
      <c r="U447" s="391"/>
      <c r="V447" s="391"/>
      <c r="W447" s="392"/>
      <c r="X447" s="391"/>
      <c r="Y447" s="391"/>
      <c r="Z447" s="391"/>
      <c r="AA447" s="391"/>
      <c r="AB447" s="392"/>
      <c r="AC447" s="391"/>
      <c r="AD447" s="391"/>
      <c r="AE447" s="391"/>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row>
    <row r="448" spans="1:58" ht="15.75" customHeight="1" x14ac:dyDescent="0.2">
      <c r="A448" s="189"/>
      <c r="B448" s="189"/>
      <c r="C448" s="55"/>
      <c r="D448" s="391"/>
      <c r="E448" s="391"/>
      <c r="F448" s="391"/>
      <c r="G448" s="391"/>
      <c r="H448" s="392"/>
      <c r="I448" s="391"/>
      <c r="J448" s="391"/>
      <c r="K448" s="391"/>
      <c r="L448" s="391"/>
      <c r="M448" s="392"/>
      <c r="N448" s="391"/>
      <c r="O448" s="391"/>
      <c r="P448" s="391"/>
      <c r="Q448" s="391"/>
      <c r="R448" s="392"/>
      <c r="S448" s="391"/>
      <c r="T448" s="391"/>
      <c r="U448" s="391"/>
      <c r="V448" s="391"/>
      <c r="W448" s="392"/>
      <c r="X448" s="391"/>
      <c r="Y448" s="391"/>
      <c r="Z448" s="391"/>
      <c r="AA448" s="391"/>
      <c r="AB448" s="392"/>
      <c r="AC448" s="391"/>
      <c r="AD448" s="391"/>
      <c r="AE448" s="391"/>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row>
    <row r="449" spans="1:58" ht="15.75" customHeight="1" x14ac:dyDescent="0.2">
      <c r="A449" s="189"/>
      <c r="B449" s="189"/>
      <c r="C449" s="55"/>
      <c r="D449" s="391"/>
      <c r="E449" s="391"/>
      <c r="F449" s="391"/>
      <c r="G449" s="391"/>
      <c r="H449" s="392"/>
      <c r="I449" s="391"/>
      <c r="J449" s="391"/>
      <c r="K449" s="391"/>
      <c r="L449" s="391"/>
      <c r="M449" s="392"/>
      <c r="N449" s="391"/>
      <c r="O449" s="391"/>
      <c r="P449" s="391"/>
      <c r="Q449" s="391"/>
      <c r="R449" s="392"/>
      <c r="S449" s="391"/>
      <c r="T449" s="391"/>
      <c r="U449" s="391"/>
      <c r="V449" s="391"/>
      <c r="W449" s="392"/>
      <c r="X449" s="391"/>
      <c r="Y449" s="391"/>
      <c r="Z449" s="391"/>
      <c r="AA449" s="391"/>
      <c r="AB449" s="392"/>
      <c r="AC449" s="391"/>
      <c r="AD449" s="391"/>
      <c r="AE449" s="391"/>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row>
    <row r="450" spans="1:58" ht="15.75" customHeight="1" x14ac:dyDescent="0.2">
      <c r="A450" s="189"/>
      <c r="B450" s="189"/>
      <c r="C450" s="55"/>
      <c r="D450" s="391"/>
      <c r="E450" s="391"/>
      <c r="F450" s="391"/>
      <c r="G450" s="391"/>
      <c r="H450" s="392"/>
      <c r="I450" s="391"/>
      <c r="J450" s="391"/>
      <c r="K450" s="391"/>
      <c r="L450" s="391"/>
      <c r="M450" s="392"/>
      <c r="N450" s="391"/>
      <c r="O450" s="391"/>
      <c r="P450" s="391"/>
      <c r="Q450" s="391"/>
      <c r="R450" s="392"/>
      <c r="S450" s="391"/>
      <c r="T450" s="391"/>
      <c r="U450" s="391"/>
      <c r="V450" s="391"/>
      <c r="W450" s="392"/>
      <c r="X450" s="391"/>
      <c r="Y450" s="391"/>
      <c r="Z450" s="391"/>
      <c r="AA450" s="391"/>
      <c r="AB450" s="392"/>
      <c r="AC450" s="391"/>
      <c r="AD450" s="391"/>
      <c r="AE450" s="391"/>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row>
    <row r="451" spans="1:58" ht="15.75" customHeight="1" x14ac:dyDescent="0.2">
      <c r="A451" s="189"/>
      <c r="B451" s="189"/>
      <c r="C451" s="55"/>
      <c r="D451" s="391"/>
      <c r="E451" s="391"/>
      <c r="F451" s="391"/>
      <c r="G451" s="391"/>
      <c r="H451" s="392"/>
      <c r="I451" s="391"/>
      <c r="J451" s="391"/>
      <c r="K451" s="391"/>
      <c r="L451" s="391"/>
      <c r="M451" s="392"/>
      <c r="N451" s="391"/>
      <c r="O451" s="391"/>
      <c r="P451" s="391"/>
      <c r="Q451" s="391"/>
      <c r="R451" s="392"/>
      <c r="S451" s="391"/>
      <c r="T451" s="391"/>
      <c r="U451" s="391"/>
      <c r="V451" s="391"/>
      <c r="W451" s="392"/>
      <c r="X451" s="391"/>
      <c r="Y451" s="391"/>
      <c r="Z451" s="391"/>
      <c r="AA451" s="391"/>
      <c r="AB451" s="392"/>
      <c r="AC451" s="391"/>
      <c r="AD451" s="391"/>
      <c r="AE451" s="391"/>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row>
    <row r="452" spans="1:58" ht="15.75" customHeight="1" x14ac:dyDescent="0.2">
      <c r="A452" s="189"/>
      <c r="B452" s="189"/>
      <c r="C452" s="55"/>
      <c r="D452" s="391"/>
      <c r="E452" s="391"/>
      <c r="F452" s="391"/>
      <c r="G452" s="391"/>
      <c r="H452" s="392"/>
      <c r="I452" s="391"/>
      <c r="J452" s="391"/>
      <c r="K452" s="391"/>
      <c r="L452" s="391"/>
      <c r="M452" s="392"/>
      <c r="N452" s="391"/>
      <c r="O452" s="391"/>
      <c r="P452" s="391"/>
      <c r="Q452" s="391"/>
      <c r="R452" s="392"/>
      <c r="S452" s="391"/>
      <c r="T452" s="391"/>
      <c r="U452" s="391"/>
      <c r="V452" s="391"/>
      <c r="W452" s="392"/>
      <c r="X452" s="391"/>
      <c r="Y452" s="391"/>
      <c r="Z452" s="391"/>
      <c r="AA452" s="391"/>
      <c r="AB452" s="392"/>
      <c r="AC452" s="391"/>
      <c r="AD452" s="391"/>
      <c r="AE452" s="391"/>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row>
    <row r="453" spans="1:58" ht="15.75" customHeight="1" x14ac:dyDescent="0.2">
      <c r="A453" s="189"/>
      <c r="B453" s="189"/>
      <c r="C453" s="55"/>
      <c r="D453" s="391"/>
      <c r="E453" s="391"/>
      <c r="F453" s="391"/>
      <c r="G453" s="391"/>
      <c r="H453" s="392"/>
      <c r="I453" s="391"/>
      <c r="J453" s="391"/>
      <c r="K453" s="391"/>
      <c r="L453" s="391"/>
      <c r="M453" s="392"/>
      <c r="N453" s="391"/>
      <c r="O453" s="391"/>
      <c r="P453" s="391"/>
      <c r="Q453" s="391"/>
      <c r="R453" s="392"/>
      <c r="S453" s="391"/>
      <c r="T453" s="391"/>
      <c r="U453" s="391"/>
      <c r="V453" s="391"/>
      <c r="W453" s="392"/>
      <c r="X453" s="391"/>
      <c r="Y453" s="391"/>
      <c r="Z453" s="391"/>
      <c r="AA453" s="391"/>
      <c r="AB453" s="392"/>
      <c r="AC453" s="391"/>
      <c r="AD453" s="391"/>
      <c r="AE453" s="391"/>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row>
    <row r="454" spans="1:58" ht="15.75" customHeight="1" x14ac:dyDescent="0.2">
      <c r="A454" s="189"/>
      <c r="B454" s="189"/>
      <c r="C454" s="55"/>
      <c r="D454" s="391"/>
      <c r="E454" s="391"/>
      <c r="F454" s="391"/>
      <c r="G454" s="391"/>
      <c r="H454" s="392"/>
      <c r="I454" s="391"/>
      <c r="J454" s="391"/>
      <c r="K454" s="391"/>
      <c r="L454" s="391"/>
      <c r="M454" s="392"/>
      <c r="N454" s="391"/>
      <c r="O454" s="391"/>
      <c r="P454" s="391"/>
      <c r="Q454" s="391"/>
      <c r="R454" s="392"/>
      <c r="S454" s="391"/>
      <c r="T454" s="391"/>
      <c r="U454" s="391"/>
      <c r="V454" s="391"/>
      <c r="W454" s="392"/>
      <c r="X454" s="391"/>
      <c r="Y454" s="391"/>
      <c r="Z454" s="391"/>
      <c r="AA454" s="391"/>
      <c r="AB454" s="392"/>
      <c r="AC454" s="391"/>
      <c r="AD454" s="391"/>
      <c r="AE454" s="391"/>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row>
    <row r="455" spans="1:58" ht="15.75" customHeight="1" x14ac:dyDescent="0.2">
      <c r="A455" s="189"/>
      <c r="B455" s="189"/>
      <c r="C455" s="55"/>
      <c r="D455" s="391"/>
      <c r="E455" s="391"/>
      <c r="F455" s="391"/>
      <c r="G455" s="391"/>
      <c r="H455" s="392"/>
      <c r="I455" s="391"/>
      <c r="J455" s="391"/>
      <c r="K455" s="391"/>
      <c r="L455" s="391"/>
      <c r="M455" s="392"/>
      <c r="N455" s="391"/>
      <c r="O455" s="391"/>
      <c r="P455" s="391"/>
      <c r="Q455" s="391"/>
      <c r="R455" s="392"/>
      <c r="S455" s="391"/>
      <c r="T455" s="391"/>
      <c r="U455" s="391"/>
      <c r="V455" s="391"/>
      <c r="W455" s="392"/>
      <c r="X455" s="391"/>
      <c r="Y455" s="391"/>
      <c r="Z455" s="391"/>
      <c r="AA455" s="391"/>
      <c r="AB455" s="392"/>
      <c r="AC455" s="391"/>
      <c r="AD455" s="391"/>
      <c r="AE455" s="391"/>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row>
    <row r="456" spans="1:58" ht="15.75" customHeight="1" x14ac:dyDescent="0.2">
      <c r="A456" s="189"/>
      <c r="B456" s="189"/>
      <c r="C456" s="55"/>
      <c r="D456" s="391"/>
      <c r="E456" s="391"/>
      <c r="F456" s="391"/>
      <c r="G456" s="391"/>
      <c r="H456" s="392"/>
      <c r="I456" s="391"/>
      <c r="J456" s="391"/>
      <c r="K456" s="391"/>
      <c r="L456" s="391"/>
      <c r="M456" s="392"/>
      <c r="N456" s="391"/>
      <c r="O456" s="391"/>
      <c r="P456" s="391"/>
      <c r="Q456" s="391"/>
      <c r="R456" s="392"/>
      <c r="S456" s="391"/>
      <c r="T456" s="391"/>
      <c r="U456" s="391"/>
      <c r="V456" s="391"/>
      <c r="W456" s="392"/>
      <c r="X456" s="391"/>
      <c r="Y456" s="391"/>
      <c r="Z456" s="391"/>
      <c r="AA456" s="391"/>
      <c r="AB456" s="392"/>
      <c r="AC456" s="391"/>
      <c r="AD456" s="391"/>
      <c r="AE456" s="391"/>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row>
    <row r="457" spans="1:58" ht="15.75" customHeight="1" x14ac:dyDescent="0.2">
      <c r="A457" s="189"/>
      <c r="B457" s="189"/>
      <c r="C457" s="55"/>
      <c r="D457" s="391"/>
      <c r="E457" s="391"/>
      <c r="F457" s="391"/>
      <c r="G457" s="391"/>
      <c r="H457" s="392"/>
      <c r="I457" s="391"/>
      <c r="J457" s="391"/>
      <c r="K457" s="391"/>
      <c r="L457" s="391"/>
      <c r="M457" s="392"/>
      <c r="N457" s="391"/>
      <c r="O457" s="391"/>
      <c r="P457" s="391"/>
      <c r="Q457" s="391"/>
      <c r="R457" s="392"/>
      <c r="S457" s="391"/>
      <c r="T457" s="391"/>
      <c r="U457" s="391"/>
      <c r="V457" s="391"/>
      <c r="W457" s="392"/>
      <c r="X457" s="391"/>
      <c r="Y457" s="391"/>
      <c r="Z457" s="391"/>
      <c r="AA457" s="391"/>
      <c r="AB457" s="392"/>
      <c r="AC457" s="391"/>
      <c r="AD457" s="391"/>
      <c r="AE457" s="391"/>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row>
    <row r="458" spans="1:58" ht="15.75" customHeight="1" x14ac:dyDescent="0.2">
      <c r="A458" s="189"/>
      <c r="B458" s="189"/>
      <c r="C458" s="55"/>
      <c r="D458" s="391"/>
      <c r="E458" s="391"/>
      <c r="F458" s="391"/>
      <c r="G458" s="391"/>
      <c r="H458" s="392"/>
      <c r="I458" s="391"/>
      <c r="J458" s="391"/>
      <c r="K458" s="391"/>
      <c r="L458" s="391"/>
      <c r="M458" s="392"/>
      <c r="N458" s="391"/>
      <c r="O458" s="391"/>
      <c r="P458" s="391"/>
      <c r="Q458" s="391"/>
      <c r="R458" s="392"/>
      <c r="S458" s="391"/>
      <c r="T458" s="391"/>
      <c r="U458" s="391"/>
      <c r="V458" s="391"/>
      <c r="W458" s="392"/>
      <c r="X458" s="391"/>
      <c r="Y458" s="391"/>
      <c r="Z458" s="391"/>
      <c r="AA458" s="391"/>
      <c r="AB458" s="392"/>
      <c r="AC458" s="391"/>
      <c r="AD458" s="391"/>
      <c r="AE458" s="391"/>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row>
    <row r="459" spans="1:58" ht="15.75" customHeight="1" x14ac:dyDescent="0.2">
      <c r="A459" s="189"/>
      <c r="B459" s="189"/>
      <c r="C459" s="55"/>
      <c r="D459" s="391"/>
      <c r="E459" s="391"/>
      <c r="F459" s="391"/>
      <c r="G459" s="391"/>
      <c r="H459" s="392"/>
      <c r="I459" s="391"/>
      <c r="J459" s="391"/>
      <c r="K459" s="391"/>
      <c r="L459" s="391"/>
      <c r="M459" s="392"/>
      <c r="N459" s="391"/>
      <c r="O459" s="391"/>
      <c r="P459" s="391"/>
      <c r="Q459" s="391"/>
      <c r="R459" s="392"/>
      <c r="S459" s="391"/>
      <c r="T459" s="391"/>
      <c r="U459" s="391"/>
      <c r="V459" s="391"/>
      <c r="W459" s="392"/>
      <c r="X459" s="391"/>
      <c r="Y459" s="391"/>
      <c r="Z459" s="391"/>
      <c r="AA459" s="391"/>
      <c r="AB459" s="392"/>
      <c r="AC459" s="391"/>
      <c r="AD459" s="391"/>
      <c r="AE459" s="391"/>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row>
    <row r="460" spans="1:58" ht="15.75" customHeight="1" x14ac:dyDescent="0.2">
      <c r="A460" s="189"/>
      <c r="B460" s="189"/>
      <c r="C460" s="55"/>
      <c r="D460" s="391"/>
      <c r="E460" s="391"/>
      <c r="F460" s="391"/>
      <c r="G460" s="391"/>
      <c r="H460" s="392"/>
      <c r="I460" s="391"/>
      <c r="J460" s="391"/>
      <c r="K460" s="391"/>
      <c r="L460" s="391"/>
      <c r="M460" s="392"/>
      <c r="N460" s="391"/>
      <c r="O460" s="391"/>
      <c r="P460" s="391"/>
      <c r="Q460" s="391"/>
      <c r="R460" s="392"/>
      <c r="S460" s="391"/>
      <c r="T460" s="391"/>
      <c r="U460" s="391"/>
      <c r="V460" s="391"/>
      <c r="W460" s="392"/>
      <c r="X460" s="391"/>
      <c r="Y460" s="391"/>
      <c r="Z460" s="391"/>
      <c r="AA460" s="391"/>
      <c r="AB460" s="392"/>
      <c r="AC460" s="391"/>
      <c r="AD460" s="391"/>
      <c r="AE460" s="391"/>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row>
    <row r="461" spans="1:58" ht="15.75" customHeight="1" x14ac:dyDescent="0.2">
      <c r="A461" s="189"/>
      <c r="B461" s="189"/>
      <c r="C461" s="55"/>
      <c r="D461" s="391"/>
      <c r="E461" s="391"/>
      <c r="F461" s="391"/>
      <c r="G461" s="391"/>
      <c r="H461" s="392"/>
      <c r="I461" s="391"/>
      <c r="J461" s="391"/>
      <c r="K461" s="391"/>
      <c r="L461" s="391"/>
      <c r="M461" s="392"/>
      <c r="N461" s="391"/>
      <c r="O461" s="391"/>
      <c r="P461" s="391"/>
      <c r="Q461" s="391"/>
      <c r="R461" s="392"/>
      <c r="S461" s="391"/>
      <c r="T461" s="391"/>
      <c r="U461" s="391"/>
      <c r="V461" s="391"/>
      <c r="W461" s="392"/>
      <c r="X461" s="391"/>
      <c r="Y461" s="391"/>
      <c r="Z461" s="391"/>
      <c r="AA461" s="391"/>
      <c r="AB461" s="392"/>
      <c r="AC461" s="391"/>
      <c r="AD461" s="391"/>
      <c r="AE461" s="391"/>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row>
    <row r="462" spans="1:58" ht="15.75" customHeight="1" x14ac:dyDescent="0.2">
      <c r="A462" s="189"/>
      <c r="B462" s="189"/>
      <c r="C462" s="55"/>
      <c r="D462" s="391"/>
      <c r="E462" s="391"/>
      <c r="F462" s="391"/>
      <c r="G462" s="391"/>
      <c r="H462" s="392"/>
      <c r="I462" s="391"/>
      <c r="J462" s="391"/>
      <c r="K462" s="391"/>
      <c r="L462" s="391"/>
      <c r="M462" s="392"/>
      <c r="N462" s="391"/>
      <c r="O462" s="391"/>
      <c r="P462" s="391"/>
      <c r="Q462" s="391"/>
      <c r="R462" s="392"/>
      <c r="S462" s="391"/>
      <c r="T462" s="391"/>
      <c r="U462" s="391"/>
      <c r="V462" s="391"/>
      <c r="W462" s="392"/>
      <c r="X462" s="391"/>
      <c r="Y462" s="391"/>
      <c r="Z462" s="391"/>
      <c r="AA462" s="391"/>
      <c r="AB462" s="392"/>
      <c r="AC462" s="391"/>
      <c r="AD462" s="391"/>
      <c r="AE462" s="391"/>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row>
    <row r="463" spans="1:58" ht="15.75" customHeight="1" x14ac:dyDescent="0.2">
      <c r="A463" s="189"/>
      <c r="B463" s="189"/>
      <c r="C463" s="55"/>
      <c r="D463" s="391"/>
      <c r="E463" s="391"/>
      <c r="F463" s="391"/>
      <c r="G463" s="391"/>
      <c r="H463" s="392"/>
      <c r="I463" s="391"/>
      <c r="J463" s="391"/>
      <c r="K463" s="391"/>
      <c r="L463" s="391"/>
      <c r="M463" s="392"/>
      <c r="N463" s="391"/>
      <c r="O463" s="391"/>
      <c r="P463" s="391"/>
      <c r="Q463" s="391"/>
      <c r="R463" s="392"/>
      <c r="S463" s="391"/>
      <c r="T463" s="391"/>
      <c r="U463" s="391"/>
      <c r="V463" s="391"/>
      <c r="W463" s="392"/>
      <c r="X463" s="391"/>
      <c r="Y463" s="391"/>
      <c r="Z463" s="391"/>
      <c r="AA463" s="391"/>
      <c r="AB463" s="392"/>
      <c r="AC463" s="391"/>
      <c r="AD463" s="391"/>
      <c r="AE463" s="391"/>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row>
    <row r="464" spans="1:58" ht="15.75" customHeight="1" x14ac:dyDescent="0.2">
      <c r="A464" s="189"/>
      <c r="B464" s="189"/>
      <c r="C464" s="55"/>
      <c r="D464" s="391"/>
      <c r="E464" s="391"/>
      <c r="F464" s="391"/>
      <c r="G464" s="391"/>
      <c r="H464" s="392"/>
      <c r="I464" s="391"/>
      <c r="J464" s="391"/>
      <c r="K464" s="391"/>
      <c r="L464" s="391"/>
      <c r="M464" s="392"/>
      <c r="N464" s="391"/>
      <c r="O464" s="391"/>
      <c r="P464" s="391"/>
      <c r="Q464" s="391"/>
      <c r="R464" s="392"/>
      <c r="S464" s="391"/>
      <c r="T464" s="391"/>
      <c r="U464" s="391"/>
      <c r="V464" s="391"/>
      <c r="W464" s="392"/>
      <c r="X464" s="391"/>
      <c r="Y464" s="391"/>
      <c r="Z464" s="391"/>
      <c r="AA464" s="391"/>
      <c r="AB464" s="392"/>
      <c r="AC464" s="391"/>
      <c r="AD464" s="391"/>
      <c r="AE464" s="391"/>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row>
    <row r="465" spans="1:58" ht="15.75" customHeight="1" x14ac:dyDescent="0.2">
      <c r="A465" s="189"/>
      <c r="B465" s="189"/>
      <c r="C465" s="55"/>
      <c r="D465" s="391"/>
      <c r="E465" s="391"/>
      <c r="F465" s="391"/>
      <c r="G465" s="391"/>
      <c r="H465" s="392"/>
      <c r="I465" s="391"/>
      <c r="J465" s="391"/>
      <c r="K465" s="391"/>
      <c r="L465" s="391"/>
      <c r="M465" s="392"/>
      <c r="N465" s="391"/>
      <c r="O465" s="391"/>
      <c r="P465" s="391"/>
      <c r="Q465" s="391"/>
      <c r="R465" s="392"/>
      <c r="S465" s="391"/>
      <c r="T465" s="391"/>
      <c r="U465" s="391"/>
      <c r="V465" s="391"/>
      <c r="W465" s="392"/>
      <c r="X465" s="391"/>
      <c r="Y465" s="391"/>
      <c r="Z465" s="391"/>
      <c r="AA465" s="391"/>
      <c r="AB465" s="392"/>
      <c r="AC465" s="391"/>
      <c r="AD465" s="391"/>
      <c r="AE465" s="391"/>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row>
    <row r="466" spans="1:58" ht="15.75" customHeight="1" x14ac:dyDescent="0.2">
      <c r="A466" s="189"/>
      <c r="B466" s="189"/>
      <c r="C466" s="55"/>
      <c r="D466" s="391"/>
      <c r="E466" s="391"/>
      <c r="F466" s="391"/>
      <c r="G466" s="391"/>
      <c r="H466" s="392"/>
      <c r="I466" s="391"/>
      <c r="J466" s="391"/>
      <c r="K466" s="391"/>
      <c r="L466" s="391"/>
      <c r="M466" s="392"/>
      <c r="N466" s="391"/>
      <c r="O466" s="391"/>
      <c r="P466" s="391"/>
      <c r="Q466" s="391"/>
      <c r="R466" s="392"/>
      <c r="S466" s="391"/>
      <c r="T466" s="391"/>
      <c r="U466" s="391"/>
      <c r="V466" s="391"/>
      <c r="W466" s="392"/>
      <c r="X466" s="391"/>
      <c r="Y466" s="391"/>
      <c r="Z466" s="391"/>
      <c r="AA466" s="391"/>
      <c r="AB466" s="392"/>
      <c r="AC466" s="391"/>
      <c r="AD466" s="391"/>
      <c r="AE466" s="391"/>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row>
    <row r="467" spans="1:58" ht="15.75" customHeight="1" x14ac:dyDescent="0.2">
      <c r="A467" s="189"/>
      <c r="B467" s="189"/>
      <c r="C467" s="55"/>
      <c r="D467" s="391"/>
      <c r="E467" s="391"/>
      <c r="F467" s="391"/>
      <c r="G467" s="391"/>
      <c r="H467" s="392"/>
      <c r="I467" s="391"/>
      <c r="J467" s="391"/>
      <c r="K467" s="391"/>
      <c r="L467" s="391"/>
      <c r="M467" s="392"/>
      <c r="N467" s="391"/>
      <c r="O467" s="391"/>
      <c r="P467" s="391"/>
      <c r="Q467" s="391"/>
      <c r="R467" s="392"/>
      <c r="S467" s="391"/>
      <c r="T467" s="391"/>
      <c r="U467" s="391"/>
      <c r="V467" s="391"/>
      <c r="W467" s="392"/>
      <c r="X467" s="391"/>
      <c r="Y467" s="391"/>
      <c r="Z467" s="391"/>
      <c r="AA467" s="391"/>
      <c r="AB467" s="392"/>
      <c r="AC467" s="391"/>
      <c r="AD467" s="391"/>
      <c r="AE467" s="391"/>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row>
    <row r="468" spans="1:58" ht="15.75" customHeight="1" x14ac:dyDescent="0.2">
      <c r="A468" s="189"/>
      <c r="B468" s="189"/>
      <c r="C468" s="55"/>
      <c r="D468" s="391"/>
      <c r="E468" s="391"/>
      <c r="F468" s="391"/>
      <c r="G468" s="391"/>
      <c r="H468" s="392"/>
      <c r="I468" s="391"/>
      <c r="J468" s="391"/>
      <c r="K468" s="391"/>
      <c r="L468" s="391"/>
      <c r="M468" s="392"/>
      <c r="N468" s="391"/>
      <c r="O468" s="391"/>
      <c r="P468" s="391"/>
      <c r="Q468" s="391"/>
      <c r="R468" s="392"/>
      <c r="S468" s="391"/>
      <c r="T468" s="391"/>
      <c r="U468" s="391"/>
      <c r="V468" s="391"/>
      <c r="W468" s="392"/>
      <c r="X468" s="391"/>
      <c r="Y468" s="391"/>
      <c r="Z468" s="391"/>
      <c r="AA468" s="391"/>
      <c r="AB468" s="392"/>
      <c r="AC468" s="391"/>
      <c r="AD468" s="391"/>
      <c r="AE468" s="391"/>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row>
    <row r="469" spans="1:58" ht="15.75" customHeight="1" x14ac:dyDescent="0.2">
      <c r="A469" s="189"/>
      <c r="B469" s="189"/>
      <c r="C469" s="55"/>
      <c r="D469" s="391"/>
      <c r="E469" s="391"/>
      <c r="F469" s="391"/>
      <c r="G469" s="391"/>
      <c r="H469" s="392"/>
      <c r="I469" s="391"/>
      <c r="J469" s="391"/>
      <c r="K469" s="391"/>
      <c r="L469" s="391"/>
      <c r="M469" s="392"/>
      <c r="N469" s="391"/>
      <c r="O469" s="391"/>
      <c r="P469" s="391"/>
      <c r="Q469" s="391"/>
      <c r="R469" s="392"/>
      <c r="S469" s="391"/>
      <c r="T469" s="391"/>
      <c r="U469" s="391"/>
      <c r="V469" s="391"/>
      <c r="W469" s="392"/>
      <c r="X469" s="391"/>
      <c r="Y469" s="391"/>
      <c r="Z469" s="391"/>
      <c r="AA469" s="391"/>
      <c r="AB469" s="392"/>
      <c r="AC469" s="391"/>
      <c r="AD469" s="391"/>
      <c r="AE469" s="391"/>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row>
    <row r="470" spans="1:58" ht="15.75" customHeight="1" x14ac:dyDescent="0.2">
      <c r="A470" s="189"/>
      <c r="B470" s="189"/>
      <c r="C470" s="55"/>
      <c r="D470" s="391"/>
      <c r="E470" s="391"/>
      <c r="F470" s="391"/>
      <c r="G470" s="391"/>
      <c r="H470" s="392"/>
      <c r="I470" s="391"/>
      <c r="J470" s="391"/>
      <c r="K470" s="391"/>
      <c r="L470" s="391"/>
      <c r="M470" s="392"/>
      <c r="N470" s="391"/>
      <c r="O470" s="391"/>
      <c r="P470" s="391"/>
      <c r="Q470" s="391"/>
      <c r="R470" s="392"/>
      <c r="S470" s="391"/>
      <c r="T470" s="391"/>
      <c r="U470" s="391"/>
      <c r="V470" s="391"/>
      <c r="W470" s="392"/>
      <c r="X470" s="391"/>
      <c r="Y470" s="391"/>
      <c r="Z470" s="391"/>
      <c r="AA470" s="391"/>
      <c r="AB470" s="392"/>
      <c r="AC470" s="391"/>
      <c r="AD470" s="391"/>
      <c r="AE470" s="391"/>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row>
    <row r="471" spans="1:58" ht="15.75" customHeight="1" x14ac:dyDescent="0.2">
      <c r="A471" s="189"/>
      <c r="B471" s="189"/>
      <c r="C471" s="55"/>
      <c r="D471" s="391"/>
      <c r="E471" s="391"/>
      <c r="F471" s="391"/>
      <c r="G471" s="391"/>
      <c r="H471" s="392"/>
      <c r="I471" s="391"/>
      <c r="J471" s="391"/>
      <c r="K471" s="391"/>
      <c r="L471" s="391"/>
      <c r="M471" s="392"/>
      <c r="N471" s="391"/>
      <c r="O471" s="391"/>
      <c r="P471" s="391"/>
      <c r="Q471" s="391"/>
      <c r="R471" s="392"/>
      <c r="S471" s="391"/>
      <c r="T471" s="391"/>
      <c r="U471" s="391"/>
      <c r="V471" s="391"/>
      <c r="W471" s="392"/>
      <c r="X471" s="391"/>
      <c r="Y471" s="391"/>
      <c r="Z471" s="391"/>
      <c r="AA471" s="391"/>
      <c r="AB471" s="392"/>
      <c r="AC471" s="391"/>
      <c r="AD471" s="391"/>
      <c r="AE471" s="391"/>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c r="BD471" s="189"/>
      <c r="BE471" s="189"/>
      <c r="BF471" s="189"/>
    </row>
    <row r="472" spans="1:58" ht="15.75" customHeight="1" x14ac:dyDescent="0.2">
      <c r="A472" s="189"/>
      <c r="B472" s="189"/>
      <c r="C472" s="55"/>
      <c r="D472" s="391"/>
      <c r="E472" s="391"/>
      <c r="F472" s="391"/>
      <c r="G472" s="391"/>
      <c r="H472" s="392"/>
      <c r="I472" s="391"/>
      <c r="J472" s="391"/>
      <c r="K472" s="391"/>
      <c r="L472" s="391"/>
      <c r="M472" s="392"/>
      <c r="N472" s="391"/>
      <c r="O472" s="391"/>
      <c r="P472" s="391"/>
      <c r="Q472" s="391"/>
      <c r="R472" s="392"/>
      <c r="S472" s="391"/>
      <c r="T472" s="391"/>
      <c r="U472" s="391"/>
      <c r="V472" s="391"/>
      <c r="W472" s="392"/>
      <c r="X472" s="391"/>
      <c r="Y472" s="391"/>
      <c r="Z472" s="391"/>
      <c r="AA472" s="391"/>
      <c r="AB472" s="392"/>
      <c r="AC472" s="391"/>
      <c r="AD472" s="391"/>
      <c r="AE472" s="391"/>
      <c r="AF472" s="189"/>
      <c r="AG472" s="189"/>
      <c r="AH472" s="189"/>
      <c r="AI472" s="189"/>
      <c r="AJ472" s="189"/>
      <c r="AK472" s="189"/>
      <c r="AL472" s="189"/>
      <c r="AM472" s="189"/>
      <c r="AN472" s="189"/>
      <c r="AO472" s="189"/>
      <c r="AP472" s="189"/>
      <c r="AQ472" s="189"/>
      <c r="AR472" s="189"/>
      <c r="AS472" s="189"/>
      <c r="AT472" s="189"/>
      <c r="AU472" s="189"/>
      <c r="AV472" s="189"/>
      <c r="AW472" s="189"/>
      <c r="AX472" s="189"/>
      <c r="AY472" s="189"/>
      <c r="AZ472" s="189"/>
      <c r="BA472" s="189"/>
      <c r="BB472" s="189"/>
      <c r="BC472" s="189"/>
      <c r="BD472" s="189"/>
      <c r="BE472" s="189"/>
      <c r="BF472" s="189"/>
    </row>
    <row r="473" spans="1:58" ht="15.75" customHeight="1" x14ac:dyDescent="0.2">
      <c r="A473" s="189"/>
      <c r="B473" s="189"/>
      <c r="C473" s="55"/>
      <c r="D473" s="391"/>
      <c r="E473" s="391"/>
      <c r="F473" s="391"/>
      <c r="G473" s="391"/>
      <c r="H473" s="392"/>
      <c r="I473" s="391"/>
      <c r="J473" s="391"/>
      <c r="K473" s="391"/>
      <c r="L473" s="391"/>
      <c r="M473" s="392"/>
      <c r="N473" s="391"/>
      <c r="O473" s="391"/>
      <c r="P473" s="391"/>
      <c r="Q473" s="391"/>
      <c r="R473" s="392"/>
      <c r="S473" s="391"/>
      <c r="T473" s="391"/>
      <c r="U473" s="391"/>
      <c r="V473" s="391"/>
      <c r="W473" s="392"/>
      <c r="X473" s="391"/>
      <c r="Y473" s="391"/>
      <c r="Z473" s="391"/>
      <c r="AA473" s="391"/>
      <c r="AB473" s="392"/>
      <c r="AC473" s="391"/>
      <c r="AD473" s="391"/>
      <c r="AE473" s="391"/>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row>
    <row r="474" spans="1:58" ht="15.75" customHeight="1" x14ac:dyDescent="0.2">
      <c r="A474" s="189"/>
      <c r="B474" s="189"/>
      <c r="C474" s="55"/>
      <c r="D474" s="391"/>
      <c r="E474" s="391"/>
      <c r="F474" s="391"/>
      <c r="G474" s="391"/>
      <c r="H474" s="392"/>
      <c r="I474" s="391"/>
      <c r="J474" s="391"/>
      <c r="K474" s="391"/>
      <c r="L474" s="391"/>
      <c r="M474" s="392"/>
      <c r="N474" s="391"/>
      <c r="O474" s="391"/>
      <c r="P474" s="391"/>
      <c r="Q474" s="391"/>
      <c r="R474" s="392"/>
      <c r="S474" s="391"/>
      <c r="T474" s="391"/>
      <c r="U474" s="391"/>
      <c r="V474" s="391"/>
      <c r="W474" s="392"/>
      <c r="X474" s="391"/>
      <c r="Y474" s="391"/>
      <c r="Z474" s="391"/>
      <c r="AA474" s="391"/>
      <c r="AB474" s="392"/>
      <c r="AC474" s="391"/>
      <c r="AD474" s="391"/>
      <c r="AE474" s="391"/>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row>
    <row r="475" spans="1:58" ht="15.75" customHeight="1" x14ac:dyDescent="0.2">
      <c r="A475" s="189"/>
      <c r="B475" s="189"/>
      <c r="C475" s="55"/>
      <c r="D475" s="391"/>
      <c r="E475" s="391"/>
      <c r="F475" s="391"/>
      <c r="G475" s="391"/>
      <c r="H475" s="392"/>
      <c r="I475" s="391"/>
      <c r="J475" s="391"/>
      <c r="K475" s="391"/>
      <c r="L475" s="391"/>
      <c r="M475" s="392"/>
      <c r="N475" s="391"/>
      <c r="O475" s="391"/>
      <c r="P475" s="391"/>
      <c r="Q475" s="391"/>
      <c r="R475" s="392"/>
      <c r="S475" s="391"/>
      <c r="T475" s="391"/>
      <c r="U475" s="391"/>
      <c r="V475" s="391"/>
      <c r="W475" s="392"/>
      <c r="X475" s="391"/>
      <c r="Y475" s="391"/>
      <c r="Z475" s="391"/>
      <c r="AA475" s="391"/>
      <c r="AB475" s="392"/>
      <c r="AC475" s="391"/>
      <c r="AD475" s="391"/>
      <c r="AE475" s="391"/>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row>
    <row r="476" spans="1:58" ht="15.75" customHeight="1" x14ac:dyDescent="0.2">
      <c r="A476" s="189"/>
      <c r="B476" s="189"/>
      <c r="C476" s="55"/>
      <c r="D476" s="391"/>
      <c r="E476" s="391"/>
      <c r="F476" s="391"/>
      <c r="G476" s="391"/>
      <c r="H476" s="392"/>
      <c r="I476" s="391"/>
      <c r="J476" s="391"/>
      <c r="K476" s="391"/>
      <c r="L476" s="391"/>
      <c r="M476" s="392"/>
      <c r="N476" s="391"/>
      <c r="O476" s="391"/>
      <c r="P476" s="391"/>
      <c r="Q476" s="391"/>
      <c r="R476" s="392"/>
      <c r="S476" s="391"/>
      <c r="T476" s="391"/>
      <c r="U476" s="391"/>
      <c r="V476" s="391"/>
      <c r="W476" s="392"/>
      <c r="X476" s="391"/>
      <c r="Y476" s="391"/>
      <c r="Z476" s="391"/>
      <c r="AA476" s="391"/>
      <c r="AB476" s="392"/>
      <c r="AC476" s="391"/>
      <c r="AD476" s="391"/>
      <c r="AE476" s="391"/>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row>
    <row r="477" spans="1:58" ht="15.75" customHeight="1" x14ac:dyDescent="0.2">
      <c r="A477" s="189"/>
      <c r="B477" s="189"/>
      <c r="C477" s="55"/>
      <c r="D477" s="391"/>
      <c r="E477" s="391"/>
      <c r="F477" s="391"/>
      <c r="G477" s="391"/>
      <c r="H477" s="392"/>
      <c r="I477" s="391"/>
      <c r="J477" s="391"/>
      <c r="K477" s="391"/>
      <c r="L477" s="391"/>
      <c r="M477" s="392"/>
      <c r="N477" s="391"/>
      <c r="O477" s="391"/>
      <c r="P477" s="391"/>
      <c r="Q477" s="391"/>
      <c r="R477" s="392"/>
      <c r="S477" s="391"/>
      <c r="T477" s="391"/>
      <c r="U477" s="391"/>
      <c r="V477" s="391"/>
      <c r="W477" s="392"/>
      <c r="X477" s="391"/>
      <c r="Y477" s="391"/>
      <c r="Z477" s="391"/>
      <c r="AA477" s="391"/>
      <c r="AB477" s="392"/>
      <c r="AC477" s="391"/>
      <c r="AD477" s="391"/>
      <c r="AE477" s="391"/>
      <c r="AF477" s="189"/>
      <c r="AG477" s="189"/>
      <c r="AH477" s="189"/>
      <c r="AI477" s="189"/>
      <c r="AJ477" s="189"/>
      <c r="AK477" s="189"/>
      <c r="AL477" s="189"/>
      <c r="AM477" s="189"/>
      <c r="AN477" s="189"/>
      <c r="AO477" s="189"/>
      <c r="AP477" s="189"/>
      <c r="AQ477" s="189"/>
      <c r="AR477" s="189"/>
      <c r="AS477" s="189"/>
      <c r="AT477" s="189"/>
      <c r="AU477" s="189"/>
      <c r="AV477" s="189"/>
      <c r="AW477" s="189"/>
      <c r="AX477" s="189"/>
      <c r="AY477" s="189"/>
      <c r="AZ477" s="189"/>
      <c r="BA477" s="189"/>
      <c r="BB477" s="189"/>
      <c r="BC477" s="189"/>
      <c r="BD477" s="189"/>
      <c r="BE477" s="189"/>
      <c r="BF477" s="189"/>
    </row>
    <row r="478" spans="1:58" ht="15.75" customHeight="1" x14ac:dyDescent="0.2">
      <c r="A478" s="189"/>
      <c r="B478" s="189"/>
      <c r="C478" s="55"/>
      <c r="D478" s="391"/>
      <c r="E478" s="391"/>
      <c r="F478" s="391"/>
      <c r="G478" s="391"/>
      <c r="H478" s="392"/>
      <c r="I478" s="391"/>
      <c r="J478" s="391"/>
      <c r="K478" s="391"/>
      <c r="L478" s="391"/>
      <c r="M478" s="392"/>
      <c r="N478" s="391"/>
      <c r="O478" s="391"/>
      <c r="P478" s="391"/>
      <c r="Q478" s="391"/>
      <c r="R478" s="392"/>
      <c r="S478" s="391"/>
      <c r="T478" s="391"/>
      <c r="U478" s="391"/>
      <c r="V478" s="391"/>
      <c r="W478" s="392"/>
      <c r="X478" s="391"/>
      <c r="Y478" s="391"/>
      <c r="Z478" s="391"/>
      <c r="AA478" s="391"/>
      <c r="AB478" s="392"/>
      <c r="AC478" s="391"/>
      <c r="AD478" s="391"/>
      <c r="AE478" s="391"/>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row>
    <row r="479" spans="1:58" ht="15.75" customHeight="1" x14ac:dyDescent="0.2">
      <c r="A479" s="189"/>
      <c r="B479" s="189"/>
      <c r="C479" s="55"/>
      <c r="D479" s="391"/>
      <c r="E479" s="391"/>
      <c r="F479" s="391"/>
      <c r="G479" s="391"/>
      <c r="H479" s="392"/>
      <c r="I479" s="391"/>
      <c r="J479" s="391"/>
      <c r="K479" s="391"/>
      <c r="L479" s="391"/>
      <c r="M479" s="392"/>
      <c r="N479" s="391"/>
      <c r="O479" s="391"/>
      <c r="P479" s="391"/>
      <c r="Q479" s="391"/>
      <c r="R479" s="392"/>
      <c r="S479" s="391"/>
      <c r="T479" s="391"/>
      <c r="U479" s="391"/>
      <c r="V479" s="391"/>
      <c r="W479" s="392"/>
      <c r="X479" s="391"/>
      <c r="Y479" s="391"/>
      <c r="Z479" s="391"/>
      <c r="AA479" s="391"/>
      <c r="AB479" s="392"/>
      <c r="AC479" s="391"/>
      <c r="AD479" s="391"/>
      <c r="AE479" s="391"/>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189"/>
      <c r="BC479" s="189"/>
      <c r="BD479" s="189"/>
      <c r="BE479" s="189"/>
      <c r="BF479" s="189"/>
    </row>
    <row r="480" spans="1:58" ht="15.75" customHeight="1" x14ac:dyDescent="0.2">
      <c r="A480" s="189"/>
      <c r="B480" s="189"/>
      <c r="C480" s="55"/>
      <c r="D480" s="391"/>
      <c r="E480" s="391"/>
      <c r="F480" s="391"/>
      <c r="G480" s="391"/>
      <c r="H480" s="392"/>
      <c r="I480" s="391"/>
      <c r="J480" s="391"/>
      <c r="K480" s="391"/>
      <c r="L480" s="391"/>
      <c r="M480" s="392"/>
      <c r="N480" s="391"/>
      <c r="O480" s="391"/>
      <c r="P480" s="391"/>
      <c r="Q480" s="391"/>
      <c r="R480" s="392"/>
      <c r="S480" s="391"/>
      <c r="T480" s="391"/>
      <c r="U480" s="391"/>
      <c r="V480" s="391"/>
      <c r="W480" s="392"/>
      <c r="X480" s="391"/>
      <c r="Y480" s="391"/>
      <c r="Z480" s="391"/>
      <c r="AA480" s="391"/>
      <c r="AB480" s="392"/>
      <c r="AC480" s="391"/>
      <c r="AD480" s="391"/>
      <c r="AE480" s="391"/>
      <c r="AF480" s="189"/>
      <c r="AG480" s="189"/>
      <c r="AH480" s="189"/>
      <c r="AI480" s="189"/>
      <c r="AJ480" s="189"/>
      <c r="AK480" s="189"/>
      <c r="AL480" s="189"/>
      <c r="AM480" s="189"/>
      <c r="AN480" s="189"/>
      <c r="AO480" s="189"/>
      <c r="AP480" s="189"/>
      <c r="AQ480" s="189"/>
      <c r="AR480" s="189"/>
      <c r="AS480" s="189"/>
      <c r="AT480" s="189"/>
      <c r="AU480" s="189"/>
      <c r="AV480" s="189"/>
      <c r="AW480" s="189"/>
      <c r="AX480" s="189"/>
      <c r="AY480" s="189"/>
      <c r="AZ480" s="189"/>
      <c r="BA480" s="189"/>
      <c r="BB480" s="189"/>
      <c r="BC480" s="189"/>
      <c r="BD480" s="189"/>
      <c r="BE480" s="189"/>
      <c r="BF480" s="189"/>
    </row>
    <row r="481" spans="1:58" ht="15.75" customHeight="1" x14ac:dyDescent="0.2">
      <c r="A481" s="189"/>
      <c r="B481" s="189"/>
      <c r="C481" s="55"/>
      <c r="D481" s="391"/>
      <c r="E481" s="391"/>
      <c r="F481" s="391"/>
      <c r="G481" s="391"/>
      <c r="H481" s="392"/>
      <c r="I481" s="391"/>
      <c r="J481" s="391"/>
      <c r="K481" s="391"/>
      <c r="L481" s="391"/>
      <c r="M481" s="392"/>
      <c r="N481" s="391"/>
      <c r="O481" s="391"/>
      <c r="P481" s="391"/>
      <c r="Q481" s="391"/>
      <c r="R481" s="392"/>
      <c r="S481" s="391"/>
      <c r="T481" s="391"/>
      <c r="U481" s="391"/>
      <c r="V481" s="391"/>
      <c r="W481" s="392"/>
      <c r="X481" s="391"/>
      <c r="Y481" s="391"/>
      <c r="Z481" s="391"/>
      <c r="AA481" s="391"/>
      <c r="AB481" s="392"/>
      <c r="AC481" s="391"/>
      <c r="AD481" s="391"/>
      <c r="AE481" s="391"/>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189"/>
      <c r="BC481" s="189"/>
      <c r="BD481" s="189"/>
      <c r="BE481" s="189"/>
      <c r="BF481" s="189"/>
    </row>
    <row r="482" spans="1:58" ht="15.75" customHeight="1" x14ac:dyDescent="0.2">
      <c r="A482" s="189"/>
      <c r="B482" s="189"/>
      <c r="C482" s="55"/>
      <c r="D482" s="391"/>
      <c r="E482" s="391"/>
      <c r="F482" s="391"/>
      <c r="G482" s="391"/>
      <c r="H482" s="392"/>
      <c r="I482" s="391"/>
      <c r="J482" s="391"/>
      <c r="K482" s="391"/>
      <c r="L482" s="391"/>
      <c r="M482" s="392"/>
      <c r="N482" s="391"/>
      <c r="O482" s="391"/>
      <c r="P482" s="391"/>
      <c r="Q482" s="391"/>
      <c r="R482" s="392"/>
      <c r="S482" s="391"/>
      <c r="T482" s="391"/>
      <c r="U482" s="391"/>
      <c r="V482" s="391"/>
      <c r="W482" s="392"/>
      <c r="X482" s="391"/>
      <c r="Y482" s="391"/>
      <c r="Z482" s="391"/>
      <c r="AA482" s="391"/>
      <c r="AB482" s="392"/>
      <c r="AC482" s="391"/>
      <c r="AD482" s="391"/>
      <c r="AE482" s="391"/>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row>
    <row r="483" spans="1:58" ht="15.75" customHeight="1" x14ac:dyDescent="0.2">
      <c r="A483" s="189"/>
      <c r="B483" s="189"/>
      <c r="C483" s="55"/>
      <c r="D483" s="391"/>
      <c r="E483" s="391"/>
      <c r="F483" s="391"/>
      <c r="G483" s="391"/>
      <c r="H483" s="392"/>
      <c r="I483" s="391"/>
      <c r="J483" s="391"/>
      <c r="K483" s="391"/>
      <c r="L483" s="391"/>
      <c r="M483" s="392"/>
      <c r="N483" s="391"/>
      <c r="O483" s="391"/>
      <c r="P483" s="391"/>
      <c r="Q483" s="391"/>
      <c r="R483" s="392"/>
      <c r="S483" s="391"/>
      <c r="T483" s="391"/>
      <c r="U483" s="391"/>
      <c r="V483" s="391"/>
      <c r="W483" s="392"/>
      <c r="X483" s="391"/>
      <c r="Y483" s="391"/>
      <c r="Z483" s="391"/>
      <c r="AA483" s="391"/>
      <c r="AB483" s="392"/>
      <c r="AC483" s="391"/>
      <c r="AD483" s="391"/>
      <c r="AE483" s="391"/>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row>
    <row r="484" spans="1:58" ht="15.75" customHeight="1" x14ac:dyDescent="0.2">
      <c r="A484" s="189"/>
      <c r="B484" s="189"/>
      <c r="C484" s="55"/>
      <c r="D484" s="391"/>
      <c r="E484" s="391"/>
      <c r="F484" s="391"/>
      <c r="G484" s="391"/>
      <c r="H484" s="392"/>
      <c r="I484" s="391"/>
      <c r="J484" s="391"/>
      <c r="K484" s="391"/>
      <c r="L484" s="391"/>
      <c r="M484" s="392"/>
      <c r="N484" s="391"/>
      <c r="O484" s="391"/>
      <c r="P484" s="391"/>
      <c r="Q484" s="391"/>
      <c r="R484" s="392"/>
      <c r="S484" s="391"/>
      <c r="T484" s="391"/>
      <c r="U484" s="391"/>
      <c r="V484" s="391"/>
      <c r="W484" s="392"/>
      <c r="X484" s="391"/>
      <c r="Y484" s="391"/>
      <c r="Z484" s="391"/>
      <c r="AA484" s="391"/>
      <c r="AB484" s="392"/>
      <c r="AC484" s="391"/>
      <c r="AD484" s="391"/>
      <c r="AE484" s="391"/>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row>
    <row r="485" spans="1:58" ht="15.75" customHeight="1" x14ac:dyDescent="0.2">
      <c r="A485" s="189"/>
      <c r="B485" s="189"/>
      <c r="C485" s="55"/>
      <c r="D485" s="391"/>
      <c r="E485" s="391"/>
      <c r="F485" s="391"/>
      <c r="G485" s="391"/>
      <c r="H485" s="392"/>
      <c r="I485" s="391"/>
      <c r="J485" s="391"/>
      <c r="K485" s="391"/>
      <c r="L485" s="391"/>
      <c r="M485" s="392"/>
      <c r="N485" s="391"/>
      <c r="O485" s="391"/>
      <c r="P485" s="391"/>
      <c r="Q485" s="391"/>
      <c r="R485" s="392"/>
      <c r="S485" s="391"/>
      <c r="T485" s="391"/>
      <c r="U485" s="391"/>
      <c r="V485" s="391"/>
      <c r="W485" s="392"/>
      <c r="X485" s="391"/>
      <c r="Y485" s="391"/>
      <c r="Z485" s="391"/>
      <c r="AA485" s="391"/>
      <c r="AB485" s="392"/>
      <c r="AC485" s="391"/>
      <c r="AD485" s="391"/>
      <c r="AE485" s="391"/>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row>
    <row r="486" spans="1:58" ht="15.75" customHeight="1" x14ac:dyDescent="0.2">
      <c r="A486" s="189"/>
      <c r="B486" s="189"/>
      <c r="C486" s="55"/>
      <c r="D486" s="391"/>
      <c r="E486" s="391"/>
      <c r="F486" s="391"/>
      <c r="G486" s="391"/>
      <c r="H486" s="392"/>
      <c r="I486" s="391"/>
      <c r="J486" s="391"/>
      <c r="K486" s="391"/>
      <c r="L486" s="391"/>
      <c r="M486" s="392"/>
      <c r="N486" s="391"/>
      <c r="O486" s="391"/>
      <c r="P486" s="391"/>
      <c r="Q486" s="391"/>
      <c r="R486" s="392"/>
      <c r="S486" s="391"/>
      <c r="T486" s="391"/>
      <c r="U486" s="391"/>
      <c r="V486" s="391"/>
      <c r="W486" s="392"/>
      <c r="X486" s="391"/>
      <c r="Y486" s="391"/>
      <c r="Z486" s="391"/>
      <c r="AA486" s="391"/>
      <c r="AB486" s="392"/>
      <c r="AC486" s="391"/>
      <c r="AD486" s="391"/>
      <c r="AE486" s="391"/>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c r="BB486" s="189"/>
      <c r="BC486" s="189"/>
      <c r="BD486" s="189"/>
      <c r="BE486" s="189"/>
      <c r="BF486" s="189"/>
    </row>
    <row r="487" spans="1:58" ht="15.75" customHeight="1" x14ac:dyDescent="0.2">
      <c r="A487" s="189"/>
      <c r="B487" s="189"/>
      <c r="C487" s="55"/>
      <c r="D487" s="391"/>
      <c r="E487" s="391"/>
      <c r="F487" s="391"/>
      <c r="G487" s="391"/>
      <c r="H487" s="392"/>
      <c r="I487" s="391"/>
      <c r="J487" s="391"/>
      <c r="K487" s="391"/>
      <c r="L487" s="391"/>
      <c r="M487" s="392"/>
      <c r="N487" s="391"/>
      <c r="O487" s="391"/>
      <c r="P487" s="391"/>
      <c r="Q487" s="391"/>
      <c r="R487" s="392"/>
      <c r="S487" s="391"/>
      <c r="T487" s="391"/>
      <c r="U487" s="391"/>
      <c r="V487" s="391"/>
      <c r="W487" s="392"/>
      <c r="X487" s="391"/>
      <c r="Y487" s="391"/>
      <c r="Z487" s="391"/>
      <c r="AA487" s="391"/>
      <c r="AB487" s="392"/>
      <c r="AC487" s="391"/>
      <c r="AD487" s="391"/>
      <c r="AE487" s="391"/>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c r="BD487" s="189"/>
      <c r="BE487" s="189"/>
      <c r="BF487" s="189"/>
    </row>
    <row r="488" spans="1:58" ht="15.75" customHeight="1" x14ac:dyDescent="0.2">
      <c r="A488" s="189"/>
      <c r="B488" s="189"/>
      <c r="C488" s="55"/>
      <c r="D488" s="391"/>
      <c r="E488" s="391"/>
      <c r="F488" s="391"/>
      <c r="G488" s="391"/>
      <c r="H488" s="392"/>
      <c r="I488" s="391"/>
      <c r="J488" s="391"/>
      <c r="K488" s="391"/>
      <c r="L488" s="391"/>
      <c r="M488" s="392"/>
      <c r="N488" s="391"/>
      <c r="O488" s="391"/>
      <c r="P488" s="391"/>
      <c r="Q488" s="391"/>
      <c r="R488" s="392"/>
      <c r="S488" s="391"/>
      <c r="T488" s="391"/>
      <c r="U488" s="391"/>
      <c r="V488" s="391"/>
      <c r="W488" s="392"/>
      <c r="X488" s="391"/>
      <c r="Y488" s="391"/>
      <c r="Z488" s="391"/>
      <c r="AA488" s="391"/>
      <c r="AB488" s="392"/>
      <c r="AC488" s="391"/>
      <c r="AD488" s="391"/>
      <c r="AE488" s="391"/>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c r="BB488" s="189"/>
      <c r="BC488" s="189"/>
      <c r="BD488" s="189"/>
      <c r="BE488" s="189"/>
      <c r="BF488" s="189"/>
    </row>
    <row r="489" spans="1:58" ht="15.75" customHeight="1" x14ac:dyDescent="0.2">
      <c r="A489" s="189"/>
      <c r="B489" s="189"/>
      <c r="C489" s="55"/>
      <c r="D489" s="391"/>
      <c r="E489" s="391"/>
      <c r="F489" s="391"/>
      <c r="G489" s="391"/>
      <c r="H489" s="392"/>
      <c r="I489" s="391"/>
      <c r="J489" s="391"/>
      <c r="K489" s="391"/>
      <c r="L489" s="391"/>
      <c r="M489" s="392"/>
      <c r="N489" s="391"/>
      <c r="O489" s="391"/>
      <c r="P489" s="391"/>
      <c r="Q489" s="391"/>
      <c r="R489" s="392"/>
      <c r="S489" s="391"/>
      <c r="T489" s="391"/>
      <c r="U489" s="391"/>
      <c r="V489" s="391"/>
      <c r="W489" s="392"/>
      <c r="X489" s="391"/>
      <c r="Y489" s="391"/>
      <c r="Z489" s="391"/>
      <c r="AA489" s="391"/>
      <c r="AB489" s="392"/>
      <c r="AC489" s="391"/>
      <c r="AD489" s="391"/>
      <c r="AE489" s="391"/>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c r="BB489" s="189"/>
      <c r="BC489" s="189"/>
      <c r="BD489" s="189"/>
      <c r="BE489" s="189"/>
      <c r="BF489" s="189"/>
    </row>
    <row r="490" spans="1:58" ht="15.75" customHeight="1" x14ac:dyDescent="0.2">
      <c r="A490" s="189"/>
      <c r="B490" s="189"/>
      <c r="C490" s="55"/>
      <c r="D490" s="391"/>
      <c r="E490" s="391"/>
      <c r="F490" s="391"/>
      <c r="G490" s="391"/>
      <c r="H490" s="392"/>
      <c r="I490" s="391"/>
      <c r="J490" s="391"/>
      <c r="K490" s="391"/>
      <c r="L490" s="391"/>
      <c r="M490" s="392"/>
      <c r="N490" s="391"/>
      <c r="O490" s="391"/>
      <c r="P490" s="391"/>
      <c r="Q490" s="391"/>
      <c r="R490" s="392"/>
      <c r="S490" s="391"/>
      <c r="T490" s="391"/>
      <c r="U490" s="391"/>
      <c r="V490" s="391"/>
      <c r="W490" s="392"/>
      <c r="X490" s="391"/>
      <c r="Y490" s="391"/>
      <c r="Z490" s="391"/>
      <c r="AA490" s="391"/>
      <c r="AB490" s="392"/>
      <c r="AC490" s="391"/>
      <c r="AD490" s="391"/>
      <c r="AE490" s="391"/>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c r="BB490" s="189"/>
      <c r="BC490" s="189"/>
      <c r="BD490" s="189"/>
      <c r="BE490" s="189"/>
      <c r="BF490" s="189"/>
    </row>
    <row r="491" spans="1:58" ht="15.75" customHeight="1" x14ac:dyDescent="0.2">
      <c r="A491" s="189"/>
      <c r="B491" s="189"/>
      <c r="C491" s="55"/>
      <c r="D491" s="391"/>
      <c r="E491" s="391"/>
      <c r="F491" s="391"/>
      <c r="G491" s="391"/>
      <c r="H491" s="392"/>
      <c r="I491" s="391"/>
      <c r="J491" s="391"/>
      <c r="K491" s="391"/>
      <c r="L491" s="391"/>
      <c r="M491" s="392"/>
      <c r="N491" s="391"/>
      <c r="O491" s="391"/>
      <c r="P491" s="391"/>
      <c r="Q491" s="391"/>
      <c r="R491" s="392"/>
      <c r="S491" s="391"/>
      <c r="T491" s="391"/>
      <c r="U491" s="391"/>
      <c r="V491" s="391"/>
      <c r="W491" s="392"/>
      <c r="X491" s="391"/>
      <c r="Y491" s="391"/>
      <c r="Z491" s="391"/>
      <c r="AA491" s="391"/>
      <c r="AB491" s="392"/>
      <c r="AC491" s="391"/>
      <c r="AD491" s="391"/>
      <c r="AE491" s="391"/>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c r="BB491" s="189"/>
      <c r="BC491" s="189"/>
      <c r="BD491" s="189"/>
      <c r="BE491" s="189"/>
      <c r="BF491" s="189"/>
    </row>
    <row r="492" spans="1:58" ht="15.75" customHeight="1" x14ac:dyDescent="0.2">
      <c r="A492" s="189"/>
      <c r="B492" s="189"/>
      <c r="C492" s="55"/>
      <c r="D492" s="391"/>
      <c r="E492" s="391"/>
      <c r="F492" s="391"/>
      <c r="G492" s="391"/>
      <c r="H492" s="392"/>
      <c r="I492" s="391"/>
      <c r="J492" s="391"/>
      <c r="K492" s="391"/>
      <c r="L492" s="391"/>
      <c r="M492" s="392"/>
      <c r="N492" s="391"/>
      <c r="O492" s="391"/>
      <c r="P492" s="391"/>
      <c r="Q492" s="391"/>
      <c r="R492" s="392"/>
      <c r="S492" s="391"/>
      <c r="T492" s="391"/>
      <c r="U492" s="391"/>
      <c r="V492" s="391"/>
      <c r="W492" s="392"/>
      <c r="X492" s="391"/>
      <c r="Y492" s="391"/>
      <c r="Z492" s="391"/>
      <c r="AA492" s="391"/>
      <c r="AB492" s="392"/>
      <c r="AC492" s="391"/>
      <c r="AD492" s="391"/>
      <c r="AE492" s="391"/>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c r="BB492" s="189"/>
      <c r="BC492" s="189"/>
      <c r="BD492" s="189"/>
      <c r="BE492" s="189"/>
      <c r="BF492" s="189"/>
    </row>
    <row r="493" spans="1:58" ht="15.75" customHeight="1" x14ac:dyDescent="0.2">
      <c r="A493" s="189"/>
      <c r="B493" s="189"/>
      <c r="C493" s="55"/>
      <c r="D493" s="391"/>
      <c r="E493" s="391"/>
      <c r="F493" s="391"/>
      <c r="G493" s="391"/>
      <c r="H493" s="392"/>
      <c r="I493" s="391"/>
      <c r="J493" s="391"/>
      <c r="K493" s="391"/>
      <c r="L493" s="391"/>
      <c r="M493" s="392"/>
      <c r="N493" s="391"/>
      <c r="O493" s="391"/>
      <c r="P493" s="391"/>
      <c r="Q493" s="391"/>
      <c r="R493" s="392"/>
      <c r="S493" s="391"/>
      <c r="T493" s="391"/>
      <c r="U493" s="391"/>
      <c r="V493" s="391"/>
      <c r="W493" s="392"/>
      <c r="X493" s="391"/>
      <c r="Y493" s="391"/>
      <c r="Z493" s="391"/>
      <c r="AA493" s="391"/>
      <c r="AB493" s="392"/>
      <c r="AC493" s="391"/>
      <c r="AD493" s="391"/>
      <c r="AE493" s="391"/>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c r="BD493" s="189"/>
      <c r="BE493" s="189"/>
      <c r="BF493" s="189"/>
    </row>
    <row r="494" spans="1:58" ht="15.75" customHeight="1" x14ac:dyDescent="0.2">
      <c r="A494" s="189"/>
      <c r="B494" s="189"/>
      <c r="C494" s="55"/>
      <c r="D494" s="391"/>
      <c r="E494" s="391"/>
      <c r="F494" s="391"/>
      <c r="G494" s="391"/>
      <c r="H494" s="392"/>
      <c r="I494" s="391"/>
      <c r="J494" s="391"/>
      <c r="K494" s="391"/>
      <c r="L494" s="391"/>
      <c r="M494" s="392"/>
      <c r="N494" s="391"/>
      <c r="O494" s="391"/>
      <c r="P494" s="391"/>
      <c r="Q494" s="391"/>
      <c r="R494" s="392"/>
      <c r="S494" s="391"/>
      <c r="T494" s="391"/>
      <c r="U494" s="391"/>
      <c r="V494" s="391"/>
      <c r="W494" s="392"/>
      <c r="X494" s="391"/>
      <c r="Y494" s="391"/>
      <c r="Z494" s="391"/>
      <c r="AA494" s="391"/>
      <c r="AB494" s="392"/>
      <c r="AC494" s="391"/>
      <c r="AD494" s="391"/>
      <c r="AE494" s="391"/>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c r="BB494" s="189"/>
      <c r="BC494" s="189"/>
      <c r="BD494" s="189"/>
      <c r="BE494" s="189"/>
      <c r="BF494" s="189"/>
    </row>
    <row r="495" spans="1:58" ht="15.75" customHeight="1" x14ac:dyDescent="0.2">
      <c r="A495" s="189"/>
      <c r="B495" s="189"/>
      <c r="C495" s="55"/>
      <c r="D495" s="391"/>
      <c r="E495" s="391"/>
      <c r="F495" s="391"/>
      <c r="G495" s="391"/>
      <c r="H495" s="392"/>
      <c r="I495" s="391"/>
      <c r="J495" s="391"/>
      <c r="K495" s="391"/>
      <c r="L495" s="391"/>
      <c r="M495" s="392"/>
      <c r="N495" s="391"/>
      <c r="O495" s="391"/>
      <c r="P495" s="391"/>
      <c r="Q495" s="391"/>
      <c r="R495" s="392"/>
      <c r="S495" s="391"/>
      <c r="T495" s="391"/>
      <c r="U495" s="391"/>
      <c r="V495" s="391"/>
      <c r="W495" s="392"/>
      <c r="X495" s="391"/>
      <c r="Y495" s="391"/>
      <c r="Z495" s="391"/>
      <c r="AA495" s="391"/>
      <c r="AB495" s="392"/>
      <c r="AC495" s="391"/>
      <c r="AD495" s="391"/>
      <c r="AE495" s="391"/>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c r="BB495" s="189"/>
      <c r="BC495" s="189"/>
      <c r="BD495" s="189"/>
      <c r="BE495" s="189"/>
      <c r="BF495" s="189"/>
    </row>
    <row r="496" spans="1:58" ht="15.75" customHeight="1" x14ac:dyDescent="0.2">
      <c r="A496" s="189"/>
      <c r="B496" s="189"/>
      <c r="C496" s="55"/>
      <c r="D496" s="391"/>
      <c r="E496" s="391"/>
      <c r="F496" s="391"/>
      <c r="G496" s="391"/>
      <c r="H496" s="392"/>
      <c r="I496" s="391"/>
      <c r="J496" s="391"/>
      <c r="K496" s="391"/>
      <c r="L496" s="391"/>
      <c r="M496" s="392"/>
      <c r="N496" s="391"/>
      <c r="O496" s="391"/>
      <c r="P496" s="391"/>
      <c r="Q496" s="391"/>
      <c r="R496" s="392"/>
      <c r="S496" s="391"/>
      <c r="T496" s="391"/>
      <c r="U496" s="391"/>
      <c r="V496" s="391"/>
      <c r="W496" s="392"/>
      <c r="X496" s="391"/>
      <c r="Y496" s="391"/>
      <c r="Z496" s="391"/>
      <c r="AA496" s="391"/>
      <c r="AB496" s="392"/>
      <c r="AC496" s="391"/>
      <c r="AD496" s="391"/>
      <c r="AE496" s="391"/>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c r="BB496" s="189"/>
      <c r="BC496" s="189"/>
      <c r="BD496" s="189"/>
      <c r="BE496" s="189"/>
      <c r="BF496" s="189"/>
    </row>
    <row r="497" spans="1:58" ht="15.75" customHeight="1" x14ac:dyDescent="0.2">
      <c r="A497" s="189"/>
      <c r="B497" s="189"/>
      <c r="C497" s="55"/>
      <c r="D497" s="391"/>
      <c r="E497" s="391"/>
      <c r="F497" s="391"/>
      <c r="G497" s="391"/>
      <c r="H497" s="392"/>
      <c r="I497" s="391"/>
      <c r="J497" s="391"/>
      <c r="K497" s="391"/>
      <c r="L497" s="391"/>
      <c r="M497" s="392"/>
      <c r="N497" s="391"/>
      <c r="O497" s="391"/>
      <c r="P497" s="391"/>
      <c r="Q497" s="391"/>
      <c r="R497" s="392"/>
      <c r="S497" s="391"/>
      <c r="T497" s="391"/>
      <c r="U497" s="391"/>
      <c r="V497" s="391"/>
      <c r="W497" s="392"/>
      <c r="X497" s="391"/>
      <c r="Y497" s="391"/>
      <c r="Z497" s="391"/>
      <c r="AA497" s="391"/>
      <c r="AB497" s="392"/>
      <c r="AC497" s="391"/>
      <c r="AD497" s="391"/>
      <c r="AE497" s="391"/>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c r="BB497" s="189"/>
      <c r="BC497" s="189"/>
      <c r="BD497" s="189"/>
      <c r="BE497" s="189"/>
      <c r="BF497" s="189"/>
    </row>
    <row r="498" spans="1:58" ht="15.75" customHeight="1" x14ac:dyDescent="0.2">
      <c r="A498" s="189"/>
      <c r="B498" s="189"/>
      <c r="C498" s="55"/>
      <c r="D498" s="391"/>
      <c r="E498" s="391"/>
      <c r="F498" s="391"/>
      <c r="G498" s="391"/>
      <c r="H498" s="392"/>
      <c r="I498" s="391"/>
      <c r="J498" s="391"/>
      <c r="K498" s="391"/>
      <c r="L498" s="391"/>
      <c r="M498" s="392"/>
      <c r="N498" s="391"/>
      <c r="O498" s="391"/>
      <c r="P498" s="391"/>
      <c r="Q498" s="391"/>
      <c r="R498" s="392"/>
      <c r="S498" s="391"/>
      <c r="T498" s="391"/>
      <c r="U498" s="391"/>
      <c r="V498" s="391"/>
      <c r="W498" s="392"/>
      <c r="X498" s="391"/>
      <c r="Y498" s="391"/>
      <c r="Z498" s="391"/>
      <c r="AA498" s="391"/>
      <c r="AB498" s="392"/>
      <c r="AC498" s="391"/>
      <c r="AD498" s="391"/>
      <c r="AE498" s="391"/>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c r="BB498" s="189"/>
      <c r="BC498" s="189"/>
      <c r="BD498" s="189"/>
      <c r="BE498" s="189"/>
      <c r="BF498" s="189"/>
    </row>
    <row r="499" spans="1:58" ht="15.75" customHeight="1" x14ac:dyDescent="0.2">
      <c r="A499" s="189"/>
      <c r="B499" s="189"/>
      <c r="C499" s="55"/>
      <c r="D499" s="391"/>
      <c r="E499" s="391"/>
      <c r="F499" s="391"/>
      <c r="G499" s="391"/>
      <c r="H499" s="392"/>
      <c r="I499" s="391"/>
      <c r="J499" s="391"/>
      <c r="K499" s="391"/>
      <c r="L499" s="391"/>
      <c r="M499" s="392"/>
      <c r="N499" s="391"/>
      <c r="O499" s="391"/>
      <c r="P499" s="391"/>
      <c r="Q499" s="391"/>
      <c r="R499" s="392"/>
      <c r="S499" s="391"/>
      <c r="T499" s="391"/>
      <c r="U499" s="391"/>
      <c r="V499" s="391"/>
      <c r="W499" s="392"/>
      <c r="X499" s="391"/>
      <c r="Y499" s="391"/>
      <c r="Z499" s="391"/>
      <c r="AA499" s="391"/>
      <c r="AB499" s="392"/>
      <c r="AC499" s="391"/>
      <c r="AD499" s="391"/>
      <c r="AE499" s="391"/>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row>
    <row r="500" spans="1:58" ht="15.75" customHeight="1" x14ac:dyDescent="0.2">
      <c r="A500" s="189"/>
      <c r="B500" s="189"/>
      <c r="C500" s="55"/>
      <c r="D500" s="391"/>
      <c r="E500" s="391"/>
      <c r="F500" s="391"/>
      <c r="G500" s="391"/>
      <c r="H500" s="392"/>
      <c r="I500" s="391"/>
      <c r="J500" s="391"/>
      <c r="K500" s="391"/>
      <c r="L500" s="391"/>
      <c r="M500" s="392"/>
      <c r="N500" s="391"/>
      <c r="O500" s="391"/>
      <c r="P500" s="391"/>
      <c r="Q500" s="391"/>
      <c r="R500" s="392"/>
      <c r="S500" s="391"/>
      <c r="T500" s="391"/>
      <c r="U500" s="391"/>
      <c r="V500" s="391"/>
      <c r="W500" s="392"/>
      <c r="X500" s="391"/>
      <c r="Y500" s="391"/>
      <c r="Z500" s="391"/>
      <c r="AA500" s="391"/>
      <c r="AB500" s="392"/>
      <c r="AC500" s="391"/>
      <c r="AD500" s="391"/>
      <c r="AE500" s="391"/>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189"/>
      <c r="BD500" s="189"/>
      <c r="BE500" s="189"/>
      <c r="BF500" s="189"/>
    </row>
    <row r="501" spans="1:58" ht="15.75" customHeight="1" x14ac:dyDescent="0.2">
      <c r="A501" s="189"/>
      <c r="B501" s="189"/>
      <c r="C501" s="55"/>
      <c r="D501" s="391"/>
      <c r="E501" s="391"/>
      <c r="F501" s="391"/>
      <c r="G501" s="391"/>
      <c r="H501" s="392"/>
      <c r="I501" s="391"/>
      <c r="J501" s="391"/>
      <c r="K501" s="391"/>
      <c r="L501" s="391"/>
      <c r="M501" s="392"/>
      <c r="N501" s="391"/>
      <c r="O501" s="391"/>
      <c r="P501" s="391"/>
      <c r="Q501" s="391"/>
      <c r="R501" s="392"/>
      <c r="S501" s="391"/>
      <c r="T501" s="391"/>
      <c r="U501" s="391"/>
      <c r="V501" s="391"/>
      <c r="W501" s="392"/>
      <c r="X501" s="391"/>
      <c r="Y501" s="391"/>
      <c r="Z501" s="391"/>
      <c r="AA501" s="391"/>
      <c r="AB501" s="392"/>
      <c r="AC501" s="391"/>
      <c r="AD501" s="391"/>
      <c r="AE501" s="391"/>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row>
    <row r="502" spans="1:58" ht="15.75" customHeight="1" x14ac:dyDescent="0.2">
      <c r="A502" s="189"/>
      <c r="B502" s="189"/>
      <c r="C502" s="55"/>
      <c r="D502" s="391"/>
      <c r="E502" s="391"/>
      <c r="F502" s="391"/>
      <c r="G502" s="391"/>
      <c r="H502" s="392"/>
      <c r="I502" s="391"/>
      <c r="J502" s="391"/>
      <c r="K502" s="391"/>
      <c r="L502" s="391"/>
      <c r="M502" s="392"/>
      <c r="N502" s="391"/>
      <c r="O502" s="391"/>
      <c r="P502" s="391"/>
      <c r="Q502" s="391"/>
      <c r="R502" s="392"/>
      <c r="S502" s="391"/>
      <c r="T502" s="391"/>
      <c r="U502" s="391"/>
      <c r="V502" s="391"/>
      <c r="W502" s="392"/>
      <c r="X502" s="391"/>
      <c r="Y502" s="391"/>
      <c r="Z502" s="391"/>
      <c r="AA502" s="391"/>
      <c r="AB502" s="392"/>
      <c r="AC502" s="391"/>
      <c r="AD502" s="391"/>
      <c r="AE502" s="391"/>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c r="BB502" s="189"/>
      <c r="BC502" s="189"/>
      <c r="BD502" s="189"/>
      <c r="BE502" s="189"/>
      <c r="BF502" s="189"/>
    </row>
    <row r="503" spans="1:58" ht="15.75" customHeight="1" x14ac:dyDescent="0.2">
      <c r="A503" s="189"/>
      <c r="B503" s="189"/>
      <c r="C503" s="55"/>
      <c r="D503" s="391"/>
      <c r="E503" s="391"/>
      <c r="F503" s="391"/>
      <c r="G503" s="391"/>
      <c r="H503" s="392"/>
      <c r="I503" s="391"/>
      <c r="J503" s="391"/>
      <c r="K503" s="391"/>
      <c r="L503" s="391"/>
      <c r="M503" s="392"/>
      <c r="N503" s="391"/>
      <c r="O503" s="391"/>
      <c r="P503" s="391"/>
      <c r="Q503" s="391"/>
      <c r="R503" s="392"/>
      <c r="S503" s="391"/>
      <c r="T503" s="391"/>
      <c r="U503" s="391"/>
      <c r="V503" s="391"/>
      <c r="W503" s="392"/>
      <c r="X503" s="391"/>
      <c r="Y503" s="391"/>
      <c r="Z503" s="391"/>
      <c r="AA503" s="391"/>
      <c r="AB503" s="392"/>
      <c r="AC503" s="391"/>
      <c r="AD503" s="391"/>
      <c r="AE503" s="391"/>
      <c r="AF503" s="189"/>
      <c r="AG503" s="189"/>
      <c r="AH503" s="189"/>
      <c r="AI503" s="189"/>
      <c r="AJ503" s="189"/>
      <c r="AK503" s="189"/>
      <c r="AL503" s="189"/>
      <c r="AM503" s="189"/>
      <c r="AN503" s="189"/>
      <c r="AO503" s="189"/>
      <c r="AP503" s="189"/>
      <c r="AQ503" s="189"/>
      <c r="AR503" s="189"/>
      <c r="AS503" s="189"/>
      <c r="AT503" s="189"/>
      <c r="AU503" s="189"/>
      <c r="AV503" s="189"/>
      <c r="AW503" s="189"/>
      <c r="AX503" s="189"/>
      <c r="AY503" s="189"/>
      <c r="AZ503" s="189"/>
      <c r="BA503" s="189"/>
      <c r="BB503" s="189"/>
      <c r="BC503" s="189"/>
      <c r="BD503" s="189"/>
      <c r="BE503" s="189"/>
      <c r="BF503" s="189"/>
    </row>
    <row r="504" spans="1:58" ht="15.75" customHeight="1" x14ac:dyDescent="0.2">
      <c r="A504" s="189"/>
      <c r="B504" s="189"/>
      <c r="C504" s="55"/>
      <c r="D504" s="391"/>
      <c r="E504" s="391"/>
      <c r="F504" s="391"/>
      <c r="G504" s="391"/>
      <c r="H504" s="392"/>
      <c r="I504" s="391"/>
      <c r="J504" s="391"/>
      <c r="K504" s="391"/>
      <c r="L504" s="391"/>
      <c r="M504" s="392"/>
      <c r="N504" s="391"/>
      <c r="O504" s="391"/>
      <c r="P504" s="391"/>
      <c r="Q504" s="391"/>
      <c r="R504" s="392"/>
      <c r="S504" s="391"/>
      <c r="T504" s="391"/>
      <c r="U504" s="391"/>
      <c r="V504" s="391"/>
      <c r="W504" s="392"/>
      <c r="X504" s="391"/>
      <c r="Y504" s="391"/>
      <c r="Z504" s="391"/>
      <c r="AA504" s="391"/>
      <c r="AB504" s="392"/>
      <c r="AC504" s="391"/>
      <c r="AD504" s="391"/>
      <c r="AE504" s="391"/>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c r="BB504" s="189"/>
      <c r="BC504" s="189"/>
      <c r="BD504" s="189"/>
      <c r="BE504" s="189"/>
      <c r="BF504" s="189"/>
    </row>
    <row r="505" spans="1:58" ht="15.75" customHeight="1" x14ac:dyDescent="0.2">
      <c r="A505" s="189"/>
      <c r="B505" s="189"/>
      <c r="C505" s="55"/>
      <c r="D505" s="391"/>
      <c r="E505" s="391"/>
      <c r="F505" s="391"/>
      <c r="G505" s="391"/>
      <c r="H505" s="392"/>
      <c r="I505" s="391"/>
      <c r="J505" s="391"/>
      <c r="K505" s="391"/>
      <c r="L505" s="391"/>
      <c r="M505" s="392"/>
      <c r="N505" s="391"/>
      <c r="O505" s="391"/>
      <c r="P505" s="391"/>
      <c r="Q505" s="391"/>
      <c r="R505" s="392"/>
      <c r="S505" s="391"/>
      <c r="T505" s="391"/>
      <c r="U505" s="391"/>
      <c r="V505" s="391"/>
      <c r="W505" s="392"/>
      <c r="X505" s="391"/>
      <c r="Y505" s="391"/>
      <c r="Z505" s="391"/>
      <c r="AA505" s="391"/>
      <c r="AB505" s="392"/>
      <c r="AC505" s="391"/>
      <c r="AD505" s="391"/>
      <c r="AE505" s="391"/>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c r="BD505" s="189"/>
      <c r="BE505" s="189"/>
      <c r="BF505" s="189"/>
    </row>
    <row r="506" spans="1:58" ht="15.75" customHeight="1" x14ac:dyDescent="0.2">
      <c r="A506" s="189"/>
      <c r="B506" s="189"/>
      <c r="C506" s="55"/>
      <c r="D506" s="391"/>
      <c r="E506" s="391"/>
      <c r="F506" s="391"/>
      <c r="G506" s="391"/>
      <c r="H506" s="392"/>
      <c r="I506" s="391"/>
      <c r="J506" s="391"/>
      <c r="K506" s="391"/>
      <c r="L506" s="391"/>
      <c r="M506" s="392"/>
      <c r="N506" s="391"/>
      <c r="O506" s="391"/>
      <c r="P506" s="391"/>
      <c r="Q506" s="391"/>
      <c r="R506" s="392"/>
      <c r="S506" s="391"/>
      <c r="T506" s="391"/>
      <c r="U506" s="391"/>
      <c r="V506" s="391"/>
      <c r="W506" s="392"/>
      <c r="X506" s="391"/>
      <c r="Y506" s="391"/>
      <c r="Z506" s="391"/>
      <c r="AA506" s="391"/>
      <c r="AB506" s="392"/>
      <c r="AC506" s="391"/>
      <c r="AD506" s="391"/>
      <c r="AE506" s="391"/>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189"/>
      <c r="BD506" s="189"/>
      <c r="BE506" s="189"/>
      <c r="BF506" s="189"/>
    </row>
    <row r="507" spans="1:58" ht="15.75" customHeight="1" x14ac:dyDescent="0.2">
      <c r="A507" s="189"/>
      <c r="B507" s="189"/>
      <c r="C507" s="55"/>
      <c r="D507" s="391"/>
      <c r="E507" s="391"/>
      <c r="F507" s="391"/>
      <c r="G507" s="391"/>
      <c r="H507" s="392"/>
      <c r="I507" s="391"/>
      <c r="J507" s="391"/>
      <c r="K507" s="391"/>
      <c r="L507" s="391"/>
      <c r="M507" s="392"/>
      <c r="N507" s="391"/>
      <c r="O507" s="391"/>
      <c r="P507" s="391"/>
      <c r="Q507" s="391"/>
      <c r="R507" s="392"/>
      <c r="S507" s="391"/>
      <c r="T507" s="391"/>
      <c r="U507" s="391"/>
      <c r="V507" s="391"/>
      <c r="W507" s="392"/>
      <c r="X507" s="391"/>
      <c r="Y507" s="391"/>
      <c r="Z507" s="391"/>
      <c r="AA507" s="391"/>
      <c r="AB507" s="392"/>
      <c r="AC507" s="391"/>
      <c r="AD507" s="391"/>
      <c r="AE507" s="391"/>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c r="BB507" s="189"/>
      <c r="BC507" s="189"/>
      <c r="BD507" s="189"/>
      <c r="BE507" s="189"/>
      <c r="BF507" s="189"/>
    </row>
    <row r="508" spans="1:58" ht="15.75" customHeight="1" x14ac:dyDescent="0.2">
      <c r="A508" s="189"/>
      <c r="B508" s="189"/>
      <c r="C508" s="55"/>
      <c r="D508" s="391"/>
      <c r="E508" s="391"/>
      <c r="F508" s="391"/>
      <c r="G508" s="391"/>
      <c r="H508" s="392"/>
      <c r="I508" s="391"/>
      <c r="J508" s="391"/>
      <c r="K508" s="391"/>
      <c r="L508" s="391"/>
      <c r="M508" s="392"/>
      <c r="N508" s="391"/>
      <c r="O508" s="391"/>
      <c r="P508" s="391"/>
      <c r="Q508" s="391"/>
      <c r="R508" s="392"/>
      <c r="S508" s="391"/>
      <c r="T508" s="391"/>
      <c r="U508" s="391"/>
      <c r="V508" s="391"/>
      <c r="W508" s="392"/>
      <c r="X508" s="391"/>
      <c r="Y508" s="391"/>
      <c r="Z508" s="391"/>
      <c r="AA508" s="391"/>
      <c r="AB508" s="392"/>
      <c r="AC508" s="391"/>
      <c r="AD508" s="391"/>
      <c r="AE508" s="391"/>
      <c r="AF508" s="189"/>
      <c r="AG508" s="189"/>
      <c r="AH508" s="189"/>
      <c r="AI508" s="189"/>
      <c r="AJ508" s="189"/>
      <c r="AK508" s="189"/>
      <c r="AL508" s="189"/>
      <c r="AM508" s="189"/>
      <c r="AN508" s="189"/>
      <c r="AO508" s="189"/>
      <c r="AP508" s="189"/>
      <c r="AQ508" s="189"/>
      <c r="AR508" s="189"/>
      <c r="AS508" s="189"/>
      <c r="AT508" s="189"/>
      <c r="AU508" s="189"/>
      <c r="AV508" s="189"/>
      <c r="AW508" s="189"/>
      <c r="AX508" s="189"/>
      <c r="AY508" s="189"/>
      <c r="AZ508" s="189"/>
      <c r="BA508" s="189"/>
      <c r="BB508" s="189"/>
      <c r="BC508" s="189"/>
      <c r="BD508" s="189"/>
      <c r="BE508" s="189"/>
      <c r="BF508" s="189"/>
    </row>
    <row r="509" spans="1:58" ht="15.75" customHeight="1" x14ac:dyDescent="0.2">
      <c r="A509" s="189"/>
      <c r="B509" s="189"/>
      <c r="C509" s="55"/>
      <c r="D509" s="391"/>
      <c r="E509" s="391"/>
      <c r="F509" s="391"/>
      <c r="G509" s="391"/>
      <c r="H509" s="392"/>
      <c r="I509" s="391"/>
      <c r="J509" s="391"/>
      <c r="K509" s="391"/>
      <c r="L509" s="391"/>
      <c r="M509" s="392"/>
      <c r="N509" s="391"/>
      <c r="O509" s="391"/>
      <c r="P509" s="391"/>
      <c r="Q509" s="391"/>
      <c r="R509" s="392"/>
      <c r="S509" s="391"/>
      <c r="T509" s="391"/>
      <c r="U509" s="391"/>
      <c r="V509" s="391"/>
      <c r="W509" s="392"/>
      <c r="X509" s="391"/>
      <c r="Y509" s="391"/>
      <c r="Z509" s="391"/>
      <c r="AA509" s="391"/>
      <c r="AB509" s="392"/>
      <c r="AC509" s="391"/>
      <c r="AD509" s="391"/>
      <c r="AE509" s="391"/>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c r="BB509" s="189"/>
      <c r="BC509" s="189"/>
      <c r="BD509" s="189"/>
      <c r="BE509" s="189"/>
      <c r="BF509" s="189"/>
    </row>
    <row r="510" spans="1:58" ht="15.75" customHeight="1" x14ac:dyDescent="0.2">
      <c r="A510" s="189"/>
      <c r="B510" s="189"/>
      <c r="C510" s="55"/>
      <c r="D510" s="391"/>
      <c r="E510" s="391"/>
      <c r="F510" s="391"/>
      <c r="G510" s="391"/>
      <c r="H510" s="392"/>
      <c r="I510" s="391"/>
      <c r="J510" s="391"/>
      <c r="K510" s="391"/>
      <c r="L510" s="391"/>
      <c r="M510" s="392"/>
      <c r="N510" s="391"/>
      <c r="O510" s="391"/>
      <c r="P510" s="391"/>
      <c r="Q510" s="391"/>
      <c r="R510" s="392"/>
      <c r="S510" s="391"/>
      <c r="T510" s="391"/>
      <c r="U510" s="391"/>
      <c r="V510" s="391"/>
      <c r="W510" s="392"/>
      <c r="X510" s="391"/>
      <c r="Y510" s="391"/>
      <c r="Z510" s="391"/>
      <c r="AA510" s="391"/>
      <c r="AB510" s="392"/>
      <c r="AC510" s="391"/>
      <c r="AD510" s="391"/>
      <c r="AE510" s="391"/>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c r="BD510" s="189"/>
      <c r="BE510" s="189"/>
      <c r="BF510" s="189"/>
    </row>
    <row r="511" spans="1:58" ht="15.75" customHeight="1" x14ac:dyDescent="0.2">
      <c r="A511" s="189"/>
      <c r="B511" s="189"/>
      <c r="C511" s="55"/>
      <c r="D511" s="391"/>
      <c r="E511" s="391"/>
      <c r="F511" s="391"/>
      <c r="G511" s="391"/>
      <c r="H511" s="392"/>
      <c r="I511" s="391"/>
      <c r="J511" s="391"/>
      <c r="K511" s="391"/>
      <c r="L511" s="391"/>
      <c r="M511" s="392"/>
      <c r="N511" s="391"/>
      <c r="O511" s="391"/>
      <c r="P511" s="391"/>
      <c r="Q511" s="391"/>
      <c r="R511" s="392"/>
      <c r="S511" s="391"/>
      <c r="T511" s="391"/>
      <c r="U511" s="391"/>
      <c r="V511" s="391"/>
      <c r="W511" s="392"/>
      <c r="X511" s="391"/>
      <c r="Y511" s="391"/>
      <c r="Z511" s="391"/>
      <c r="AA511" s="391"/>
      <c r="AB511" s="392"/>
      <c r="AC511" s="391"/>
      <c r="AD511" s="391"/>
      <c r="AE511" s="391"/>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c r="BD511" s="189"/>
      <c r="BE511" s="189"/>
      <c r="BF511" s="189"/>
    </row>
    <row r="512" spans="1:58" ht="15.75" customHeight="1" x14ac:dyDescent="0.2">
      <c r="A512" s="189"/>
      <c r="B512" s="189"/>
      <c r="C512" s="55"/>
      <c r="D512" s="391"/>
      <c r="E512" s="391"/>
      <c r="F512" s="391"/>
      <c r="G512" s="391"/>
      <c r="H512" s="392"/>
      <c r="I512" s="391"/>
      <c r="J512" s="391"/>
      <c r="K512" s="391"/>
      <c r="L512" s="391"/>
      <c r="M512" s="392"/>
      <c r="N512" s="391"/>
      <c r="O512" s="391"/>
      <c r="P512" s="391"/>
      <c r="Q512" s="391"/>
      <c r="R512" s="392"/>
      <c r="S512" s="391"/>
      <c r="T512" s="391"/>
      <c r="U512" s="391"/>
      <c r="V512" s="391"/>
      <c r="W512" s="392"/>
      <c r="X512" s="391"/>
      <c r="Y512" s="391"/>
      <c r="Z512" s="391"/>
      <c r="AA512" s="391"/>
      <c r="AB512" s="392"/>
      <c r="AC512" s="391"/>
      <c r="AD512" s="391"/>
      <c r="AE512" s="391"/>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c r="BD512" s="189"/>
      <c r="BE512" s="189"/>
      <c r="BF512" s="189"/>
    </row>
    <row r="513" spans="1:58" ht="15.75" customHeight="1" x14ac:dyDescent="0.2">
      <c r="A513" s="189"/>
      <c r="B513" s="189"/>
      <c r="C513" s="55"/>
      <c r="D513" s="391"/>
      <c r="E513" s="391"/>
      <c r="F513" s="391"/>
      <c r="G513" s="391"/>
      <c r="H513" s="392"/>
      <c r="I513" s="391"/>
      <c r="J513" s="391"/>
      <c r="K513" s="391"/>
      <c r="L513" s="391"/>
      <c r="M513" s="392"/>
      <c r="N513" s="391"/>
      <c r="O513" s="391"/>
      <c r="P513" s="391"/>
      <c r="Q513" s="391"/>
      <c r="R513" s="392"/>
      <c r="S513" s="391"/>
      <c r="T513" s="391"/>
      <c r="U513" s="391"/>
      <c r="V513" s="391"/>
      <c r="W513" s="392"/>
      <c r="X513" s="391"/>
      <c r="Y513" s="391"/>
      <c r="Z513" s="391"/>
      <c r="AA513" s="391"/>
      <c r="AB513" s="392"/>
      <c r="AC513" s="391"/>
      <c r="AD513" s="391"/>
      <c r="AE513" s="391"/>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c r="BD513" s="189"/>
      <c r="BE513" s="189"/>
      <c r="BF513" s="189"/>
    </row>
    <row r="514" spans="1:58" ht="15.75" customHeight="1" x14ac:dyDescent="0.2">
      <c r="A514" s="189"/>
      <c r="B514" s="189"/>
      <c r="C514" s="55"/>
      <c r="D514" s="391"/>
      <c r="E514" s="391"/>
      <c r="F514" s="391"/>
      <c r="G514" s="391"/>
      <c r="H514" s="392"/>
      <c r="I514" s="391"/>
      <c r="J514" s="391"/>
      <c r="K514" s="391"/>
      <c r="L514" s="391"/>
      <c r="M514" s="392"/>
      <c r="N514" s="391"/>
      <c r="O514" s="391"/>
      <c r="P514" s="391"/>
      <c r="Q514" s="391"/>
      <c r="R514" s="392"/>
      <c r="S514" s="391"/>
      <c r="T514" s="391"/>
      <c r="U514" s="391"/>
      <c r="V514" s="391"/>
      <c r="W514" s="392"/>
      <c r="X514" s="391"/>
      <c r="Y514" s="391"/>
      <c r="Z514" s="391"/>
      <c r="AA514" s="391"/>
      <c r="AB514" s="392"/>
      <c r="AC514" s="391"/>
      <c r="AD514" s="391"/>
      <c r="AE514" s="391"/>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c r="BD514" s="189"/>
      <c r="BE514" s="189"/>
      <c r="BF514" s="189"/>
    </row>
    <row r="515" spans="1:58" ht="15.75" customHeight="1" x14ac:dyDescent="0.2">
      <c r="A515" s="189"/>
      <c r="B515" s="189"/>
      <c r="C515" s="55"/>
      <c r="D515" s="391"/>
      <c r="E515" s="391"/>
      <c r="F515" s="391"/>
      <c r="G515" s="391"/>
      <c r="H515" s="392"/>
      <c r="I515" s="391"/>
      <c r="J515" s="391"/>
      <c r="K515" s="391"/>
      <c r="L515" s="391"/>
      <c r="M515" s="392"/>
      <c r="N515" s="391"/>
      <c r="O515" s="391"/>
      <c r="P515" s="391"/>
      <c r="Q515" s="391"/>
      <c r="R515" s="392"/>
      <c r="S515" s="391"/>
      <c r="T515" s="391"/>
      <c r="U515" s="391"/>
      <c r="V515" s="391"/>
      <c r="W515" s="392"/>
      <c r="X515" s="391"/>
      <c r="Y515" s="391"/>
      <c r="Z515" s="391"/>
      <c r="AA515" s="391"/>
      <c r="AB515" s="392"/>
      <c r="AC515" s="391"/>
      <c r="AD515" s="391"/>
      <c r="AE515" s="391"/>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row>
    <row r="516" spans="1:58" ht="15.75" customHeight="1" x14ac:dyDescent="0.2">
      <c r="A516" s="189"/>
      <c r="B516" s="189"/>
      <c r="C516" s="55"/>
      <c r="D516" s="391"/>
      <c r="E516" s="391"/>
      <c r="F516" s="391"/>
      <c r="G516" s="391"/>
      <c r="H516" s="392"/>
      <c r="I516" s="391"/>
      <c r="J516" s="391"/>
      <c r="K516" s="391"/>
      <c r="L516" s="391"/>
      <c r="M516" s="392"/>
      <c r="N516" s="391"/>
      <c r="O516" s="391"/>
      <c r="P516" s="391"/>
      <c r="Q516" s="391"/>
      <c r="R516" s="392"/>
      <c r="S516" s="391"/>
      <c r="T516" s="391"/>
      <c r="U516" s="391"/>
      <c r="V516" s="391"/>
      <c r="W516" s="392"/>
      <c r="X516" s="391"/>
      <c r="Y516" s="391"/>
      <c r="Z516" s="391"/>
      <c r="AA516" s="391"/>
      <c r="AB516" s="392"/>
      <c r="AC516" s="391"/>
      <c r="AD516" s="391"/>
      <c r="AE516" s="391"/>
      <c r="AF516" s="189"/>
      <c r="AG516" s="189"/>
      <c r="AH516" s="189"/>
      <c r="AI516" s="189"/>
      <c r="AJ516" s="189"/>
      <c r="AK516" s="189"/>
      <c r="AL516" s="189"/>
      <c r="AM516" s="189"/>
      <c r="AN516" s="189"/>
      <c r="AO516" s="189"/>
      <c r="AP516" s="189"/>
      <c r="AQ516" s="189"/>
      <c r="AR516" s="189"/>
      <c r="AS516" s="189"/>
      <c r="AT516" s="189"/>
      <c r="AU516" s="189"/>
      <c r="AV516" s="189"/>
      <c r="AW516" s="189"/>
      <c r="AX516" s="189"/>
      <c r="AY516" s="189"/>
      <c r="AZ516" s="189"/>
      <c r="BA516" s="189"/>
      <c r="BB516" s="189"/>
      <c r="BC516" s="189"/>
      <c r="BD516" s="189"/>
      <c r="BE516" s="189"/>
      <c r="BF516" s="189"/>
    </row>
    <row r="517" spans="1:58" ht="15.75" customHeight="1" x14ac:dyDescent="0.2">
      <c r="A517" s="189"/>
      <c r="B517" s="189"/>
      <c r="C517" s="55"/>
      <c r="D517" s="391"/>
      <c r="E517" s="391"/>
      <c r="F517" s="391"/>
      <c r="G517" s="391"/>
      <c r="H517" s="392"/>
      <c r="I517" s="391"/>
      <c r="J517" s="391"/>
      <c r="K517" s="391"/>
      <c r="L517" s="391"/>
      <c r="M517" s="392"/>
      <c r="N517" s="391"/>
      <c r="O517" s="391"/>
      <c r="P517" s="391"/>
      <c r="Q517" s="391"/>
      <c r="R517" s="392"/>
      <c r="S517" s="391"/>
      <c r="T517" s="391"/>
      <c r="U517" s="391"/>
      <c r="V517" s="391"/>
      <c r="W517" s="392"/>
      <c r="X517" s="391"/>
      <c r="Y517" s="391"/>
      <c r="Z517" s="391"/>
      <c r="AA517" s="391"/>
      <c r="AB517" s="392"/>
      <c r="AC517" s="391"/>
      <c r="AD517" s="391"/>
      <c r="AE517" s="391"/>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row>
    <row r="518" spans="1:58" ht="15.75" customHeight="1" x14ac:dyDescent="0.2">
      <c r="A518" s="189"/>
      <c r="B518" s="189"/>
      <c r="C518" s="55"/>
      <c r="D518" s="391"/>
      <c r="E518" s="391"/>
      <c r="F518" s="391"/>
      <c r="G518" s="391"/>
      <c r="H518" s="392"/>
      <c r="I518" s="391"/>
      <c r="J518" s="391"/>
      <c r="K518" s="391"/>
      <c r="L518" s="391"/>
      <c r="M518" s="392"/>
      <c r="N518" s="391"/>
      <c r="O518" s="391"/>
      <c r="P518" s="391"/>
      <c r="Q518" s="391"/>
      <c r="R518" s="392"/>
      <c r="S518" s="391"/>
      <c r="T518" s="391"/>
      <c r="U518" s="391"/>
      <c r="V518" s="391"/>
      <c r="W518" s="392"/>
      <c r="X518" s="391"/>
      <c r="Y518" s="391"/>
      <c r="Z518" s="391"/>
      <c r="AA518" s="391"/>
      <c r="AB518" s="392"/>
      <c r="AC518" s="391"/>
      <c r="AD518" s="391"/>
      <c r="AE518" s="391"/>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row>
    <row r="519" spans="1:58" ht="15.75" customHeight="1" x14ac:dyDescent="0.2">
      <c r="A519" s="189"/>
      <c r="B519" s="189"/>
      <c r="C519" s="55"/>
      <c r="D519" s="391"/>
      <c r="E519" s="391"/>
      <c r="F519" s="391"/>
      <c r="G519" s="391"/>
      <c r="H519" s="392"/>
      <c r="I519" s="391"/>
      <c r="J519" s="391"/>
      <c r="K519" s="391"/>
      <c r="L519" s="391"/>
      <c r="M519" s="392"/>
      <c r="N519" s="391"/>
      <c r="O519" s="391"/>
      <c r="P519" s="391"/>
      <c r="Q519" s="391"/>
      <c r="R519" s="392"/>
      <c r="S519" s="391"/>
      <c r="T519" s="391"/>
      <c r="U519" s="391"/>
      <c r="V519" s="391"/>
      <c r="W519" s="392"/>
      <c r="X519" s="391"/>
      <c r="Y519" s="391"/>
      <c r="Z519" s="391"/>
      <c r="AA519" s="391"/>
      <c r="AB519" s="392"/>
      <c r="AC519" s="391"/>
      <c r="AD519" s="391"/>
      <c r="AE519" s="391"/>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row>
    <row r="520" spans="1:58" ht="15.75" customHeight="1" x14ac:dyDescent="0.2">
      <c r="A520" s="189"/>
      <c r="B520" s="189"/>
      <c r="C520" s="55"/>
      <c r="D520" s="391"/>
      <c r="E520" s="391"/>
      <c r="F520" s="391"/>
      <c r="G520" s="391"/>
      <c r="H520" s="392"/>
      <c r="I520" s="391"/>
      <c r="J520" s="391"/>
      <c r="K520" s="391"/>
      <c r="L520" s="391"/>
      <c r="M520" s="392"/>
      <c r="N520" s="391"/>
      <c r="O520" s="391"/>
      <c r="P520" s="391"/>
      <c r="Q520" s="391"/>
      <c r="R520" s="392"/>
      <c r="S520" s="391"/>
      <c r="T520" s="391"/>
      <c r="U520" s="391"/>
      <c r="V520" s="391"/>
      <c r="W520" s="392"/>
      <c r="X520" s="391"/>
      <c r="Y520" s="391"/>
      <c r="Z520" s="391"/>
      <c r="AA520" s="391"/>
      <c r="AB520" s="392"/>
      <c r="AC520" s="391"/>
      <c r="AD520" s="391"/>
      <c r="AE520" s="391"/>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row>
    <row r="521" spans="1:58" ht="15.75" customHeight="1" x14ac:dyDescent="0.2">
      <c r="A521" s="189"/>
      <c r="B521" s="189"/>
      <c r="C521" s="55"/>
      <c r="D521" s="391"/>
      <c r="E521" s="391"/>
      <c r="F521" s="391"/>
      <c r="G521" s="391"/>
      <c r="H521" s="392"/>
      <c r="I521" s="391"/>
      <c r="J521" s="391"/>
      <c r="K521" s="391"/>
      <c r="L521" s="391"/>
      <c r="M521" s="392"/>
      <c r="N521" s="391"/>
      <c r="O521" s="391"/>
      <c r="P521" s="391"/>
      <c r="Q521" s="391"/>
      <c r="R521" s="392"/>
      <c r="S521" s="391"/>
      <c r="T521" s="391"/>
      <c r="U521" s="391"/>
      <c r="V521" s="391"/>
      <c r="W521" s="392"/>
      <c r="X521" s="391"/>
      <c r="Y521" s="391"/>
      <c r="Z521" s="391"/>
      <c r="AA521" s="391"/>
      <c r="AB521" s="392"/>
      <c r="AC521" s="391"/>
      <c r="AD521" s="391"/>
      <c r="AE521" s="391"/>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row>
    <row r="522" spans="1:58" ht="15.75" customHeight="1" x14ac:dyDescent="0.2">
      <c r="A522" s="189"/>
      <c r="B522" s="189"/>
      <c r="C522" s="55"/>
      <c r="D522" s="391"/>
      <c r="E522" s="391"/>
      <c r="F522" s="391"/>
      <c r="G522" s="391"/>
      <c r="H522" s="392"/>
      <c r="I522" s="391"/>
      <c r="J522" s="391"/>
      <c r="K522" s="391"/>
      <c r="L522" s="391"/>
      <c r="M522" s="392"/>
      <c r="N522" s="391"/>
      <c r="O522" s="391"/>
      <c r="P522" s="391"/>
      <c r="Q522" s="391"/>
      <c r="R522" s="392"/>
      <c r="S522" s="391"/>
      <c r="T522" s="391"/>
      <c r="U522" s="391"/>
      <c r="V522" s="391"/>
      <c r="W522" s="392"/>
      <c r="X522" s="391"/>
      <c r="Y522" s="391"/>
      <c r="Z522" s="391"/>
      <c r="AA522" s="391"/>
      <c r="AB522" s="392"/>
      <c r="AC522" s="391"/>
      <c r="AD522" s="391"/>
      <c r="AE522" s="391"/>
      <c r="AF522" s="189"/>
      <c r="AG522" s="189"/>
      <c r="AH522" s="189"/>
      <c r="AI522" s="189"/>
      <c r="AJ522" s="189"/>
      <c r="AK522" s="189"/>
      <c r="AL522" s="189"/>
      <c r="AM522" s="189"/>
      <c r="AN522" s="189"/>
      <c r="AO522" s="189"/>
      <c r="AP522" s="189"/>
      <c r="AQ522" s="189"/>
      <c r="AR522" s="189"/>
      <c r="AS522" s="189"/>
      <c r="AT522" s="189"/>
      <c r="AU522" s="189"/>
      <c r="AV522" s="189"/>
      <c r="AW522" s="189"/>
      <c r="AX522" s="189"/>
      <c r="AY522" s="189"/>
      <c r="AZ522" s="189"/>
      <c r="BA522" s="189"/>
      <c r="BB522" s="189"/>
      <c r="BC522" s="189"/>
      <c r="BD522" s="189"/>
      <c r="BE522" s="189"/>
      <c r="BF522" s="189"/>
    </row>
    <row r="523" spans="1:58" ht="15.75" customHeight="1" x14ac:dyDescent="0.2">
      <c r="A523" s="189"/>
      <c r="B523" s="189"/>
      <c r="C523" s="55"/>
      <c r="D523" s="391"/>
      <c r="E523" s="391"/>
      <c r="F523" s="391"/>
      <c r="G523" s="391"/>
      <c r="H523" s="392"/>
      <c r="I523" s="391"/>
      <c r="J523" s="391"/>
      <c r="K523" s="391"/>
      <c r="L523" s="391"/>
      <c r="M523" s="392"/>
      <c r="N523" s="391"/>
      <c r="O523" s="391"/>
      <c r="P523" s="391"/>
      <c r="Q523" s="391"/>
      <c r="R523" s="392"/>
      <c r="S523" s="391"/>
      <c r="T523" s="391"/>
      <c r="U523" s="391"/>
      <c r="V523" s="391"/>
      <c r="W523" s="392"/>
      <c r="X523" s="391"/>
      <c r="Y523" s="391"/>
      <c r="Z523" s="391"/>
      <c r="AA523" s="391"/>
      <c r="AB523" s="392"/>
      <c r="AC523" s="391"/>
      <c r="AD523" s="391"/>
      <c r="AE523" s="391"/>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row>
    <row r="524" spans="1:58" ht="15.75" customHeight="1" x14ac:dyDescent="0.2">
      <c r="A524" s="189"/>
      <c r="B524" s="189"/>
      <c r="C524" s="55"/>
      <c r="D524" s="391"/>
      <c r="E524" s="391"/>
      <c r="F524" s="391"/>
      <c r="G524" s="391"/>
      <c r="H524" s="392"/>
      <c r="I524" s="391"/>
      <c r="J524" s="391"/>
      <c r="K524" s="391"/>
      <c r="L524" s="391"/>
      <c r="M524" s="392"/>
      <c r="N524" s="391"/>
      <c r="O524" s="391"/>
      <c r="P524" s="391"/>
      <c r="Q524" s="391"/>
      <c r="R524" s="392"/>
      <c r="S524" s="391"/>
      <c r="T524" s="391"/>
      <c r="U524" s="391"/>
      <c r="V524" s="391"/>
      <c r="W524" s="392"/>
      <c r="X524" s="391"/>
      <c r="Y524" s="391"/>
      <c r="Z524" s="391"/>
      <c r="AA524" s="391"/>
      <c r="AB524" s="392"/>
      <c r="AC524" s="391"/>
      <c r="AD524" s="391"/>
      <c r="AE524" s="391"/>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row>
    <row r="525" spans="1:58" ht="15.75" customHeight="1" x14ac:dyDescent="0.2">
      <c r="A525" s="189"/>
      <c r="B525" s="189"/>
      <c r="C525" s="55"/>
      <c r="D525" s="391"/>
      <c r="E525" s="391"/>
      <c r="F525" s="391"/>
      <c r="G525" s="391"/>
      <c r="H525" s="392"/>
      <c r="I525" s="391"/>
      <c r="J525" s="391"/>
      <c r="K525" s="391"/>
      <c r="L525" s="391"/>
      <c r="M525" s="392"/>
      <c r="N525" s="391"/>
      <c r="O525" s="391"/>
      <c r="P525" s="391"/>
      <c r="Q525" s="391"/>
      <c r="R525" s="392"/>
      <c r="S525" s="391"/>
      <c r="T525" s="391"/>
      <c r="U525" s="391"/>
      <c r="V525" s="391"/>
      <c r="W525" s="392"/>
      <c r="X525" s="391"/>
      <c r="Y525" s="391"/>
      <c r="Z525" s="391"/>
      <c r="AA525" s="391"/>
      <c r="AB525" s="392"/>
      <c r="AC525" s="391"/>
      <c r="AD525" s="391"/>
      <c r="AE525" s="391"/>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row>
    <row r="526" spans="1:58" ht="15.75" customHeight="1" x14ac:dyDescent="0.2">
      <c r="A526" s="189"/>
      <c r="B526" s="189"/>
      <c r="C526" s="55"/>
      <c r="D526" s="391"/>
      <c r="E526" s="391"/>
      <c r="F526" s="391"/>
      <c r="G526" s="391"/>
      <c r="H526" s="392"/>
      <c r="I526" s="391"/>
      <c r="J526" s="391"/>
      <c r="K526" s="391"/>
      <c r="L526" s="391"/>
      <c r="M526" s="392"/>
      <c r="N526" s="391"/>
      <c r="O526" s="391"/>
      <c r="P526" s="391"/>
      <c r="Q526" s="391"/>
      <c r="R526" s="392"/>
      <c r="S526" s="391"/>
      <c r="T526" s="391"/>
      <c r="U526" s="391"/>
      <c r="V526" s="391"/>
      <c r="W526" s="392"/>
      <c r="X526" s="391"/>
      <c r="Y526" s="391"/>
      <c r="Z526" s="391"/>
      <c r="AA526" s="391"/>
      <c r="AB526" s="392"/>
      <c r="AC526" s="391"/>
      <c r="AD526" s="391"/>
      <c r="AE526" s="391"/>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row>
    <row r="527" spans="1:58" ht="15.75" customHeight="1" x14ac:dyDescent="0.2">
      <c r="A527" s="189"/>
      <c r="B527" s="189"/>
      <c r="C527" s="55"/>
      <c r="D527" s="391"/>
      <c r="E527" s="391"/>
      <c r="F527" s="391"/>
      <c r="G527" s="391"/>
      <c r="H527" s="392"/>
      <c r="I527" s="391"/>
      <c r="J527" s="391"/>
      <c r="K527" s="391"/>
      <c r="L527" s="391"/>
      <c r="M527" s="392"/>
      <c r="N527" s="391"/>
      <c r="O527" s="391"/>
      <c r="P527" s="391"/>
      <c r="Q527" s="391"/>
      <c r="R527" s="392"/>
      <c r="S527" s="391"/>
      <c r="T527" s="391"/>
      <c r="U527" s="391"/>
      <c r="V527" s="391"/>
      <c r="W527" s="392"/>
      <c r="X527" s="391"/>
      <c r="Y527" s="391"/>
      <c r="Z527" s="391"/>
      <c r="AA527" s="391"/>
      <c r="AB527" s="392"/>
      <c r="AC527" s="391"/>
      <c r="AD527" s="391"/>
      <c r="AE527" s="391"/>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row>
    <row r="528" spans="1:58" ht="15.75" customHeight="1" x14ac:dyDescent="0.2">
      <c r="A528" s="189"/>
      <c r="B528" s="189"/>
      <c r="C528" s="55"/>
      <c r="D528" s="391"/>
      <c r="E528" s="391"/>
      <c r="F528" s="391"/>
      <c r="G528" s="391"/>
      <c r="H528" s="392"/>
      <c r="I528" s="391"/>
      <c r="J528" s="391"/>
      <c r="K528" s="391"/>
      <c r="L528" s="391"/>
      <c r="M528" s="392"/>
      <c r="N528" s="391"/>
      <c r="O528" s="391"/>
      <c r="P528" s="391"/>
      <c r="Q528" s="391"/>
      <c r="R528" s="392"/>
      <c r="S528" s="391"/>
      <c r="T528" s="391"/>
      <c r="U528" s="391"/>
      <c r="V528" s="391"/>
      <c r="W528" s="392"/>
      <c r="X528" s="391"/>
      <c r="Y528" s="391"/>
      <c r="Z528" s="391"/>
      <c r="AA528" s="391"/>
      <c r="AB528" s="392"/>
      <c r="AC528" s="391"/>
      <c r="AD528" s="391"/>
      <c r="AE528" s="391"/>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row>
    <row r="529" spans="1:58" ht="15.75" customHeight="1" x14ac:dyDescent="0.2">
      <c r="A529" s="189"/>
      <c r="B529" s="189"/>
      <c r="C529" s="55"/>
      <c r="D529" s="391"/>
      <c r="E529" s="391"/>
      <c r="F529" s="391"/>
      <c r="G529" s="391"/>
      <c r="H529" s="392"/>
      <c r="I529" s="391"/>
      <c r="J529" s="391"/>
      <c r="K529" s="391"/>
      <c r="L529" s="391"/>
      <c r="M529" s="392"/>
      <c r="N529" s="391"/>
      <c r="O529" s="391"/>
      <c r="P529" s="391"/>
      <c r="Q529" s="391"/>
      <c r="R529" s="392"/>
      <c r="S529" s="391"/>
      <c r="T529" s="391"/>
      <c r="U529" s="391"/>
      <c r="V529" s="391"/>
      <c r="W529" s="392"/>
      <c r="X529" s="391"/>
      <c r="Y529" s="391"/>
      <c r="Z529" s="391"/>
      <c r="AA529" s="391"/>
      <c r="AB529" s="392"/>
      <c r="AC529" s="391"/>
      <c r="AD529" s="391"/>
      <c r="AE529" s="391"/>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row>
    <row r="530" spans="1:58" ht="15.75" customHeight="1" x14ac:dyDescent="0.2">
      <c r="A530" s="189"/>
      <c r="B530" s="189"/>
      <c r="C530" s="55"/>
      <c r="D530" s="391"/>
      <c r="E530" s="391"/>
      <c r="F530" s="391"/>
      <c r="G530" s="391"/>
      <c r="H530" s="392"/>
      <c r="I530" s="391"/>
      <c r="J530" s="391"/>
      <c r="K530" s="391"/>
      <c r="L530" s="391"/>
      <c r="M530" s="392"/>
      <c r="N530" s="391"/>
      <c r="O530" s="391"/>
      <c r="P530" s="391"/>
      <c r="Q530" s="391"/>
      <c r="R530" s="392"/>
      <c r="S530" s="391"/>
      <c r="T530" s="391"/>
      <c r="U530" s="391"/>
      <c r="V530" s="391"/>
      <c r="W530" s="392"/>
      <c r="X530" s="391"/>
      <c r="Y530" s="391"/>
      <c r="Z530" s="391"/>
      <c r="AA530" s="391"/>
      <c r="AB530" s="392"/>
      <c r="AC530" s="391"/>
      <c r="AD530" s="391"/>
      <c r="AE530" s="391"/>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row>
    <row r="531" spans="1:58" ht="15.75" customHeight="1" x14ac:dyDescent="0.2">
      <c r="A531" s="189"/>
      <c r="B531" s="189"/>
      <c r="C531" s="55"/>
      <c r="D531" s="391"/>
      <c r="E531" s="391"/>
      <c r="F531" s="391"/>
      <c r="G531" s="391"/>
      <c r="H531" s="392"/>
      <c r="I531" s="391"/>
      <c r="J531" s="391"/>
      <c r="K531" s="391"/>
      <c r="L531" s="391"/>
      <c r="M531" s="392"/>
      <c r="N531" s="391"/>
      <c r="O531" s="391"/>
      <c r="P531" s="391"/>
      <c r="Q531" s="391"/>
      <c r="R531" s="392"/>
      <c r="S531" s="391"/>
      <c r="T531" s="391"/>
      <c r="U531" s="391"/>
      <c r="V531" s="391"/>
      <c r="W531" s="392"/>
      <c r="X531" s="391"/>
      <c r="Y531" s="391"/>
      <c r="Z531" s="391"/>
      <c r="AA531" s="391"/>
      <c r="AB531" s="392"/>
      <c r="AC531" s="391"/>
      <c r="AD531" s="391"/>
      <c r="AE531" s="391"/>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row>
    <row r="532" spans="1:58" ht="15.75" customHeight="1" x14ac:dyDescent="0.2">
      <c r="A532" s="189"/>
      <c r="B532" s="189"/>
      <c r="C532" s="55"/>
      <c r="D532" s="391"/>
      <c r="E532" s="391"/>
      <c r="F532" s="391"/>
      <c r="G532" s="391"/>
      <c r="H532" s="392"/>
      <c r="I532" s="391"/>
      <c r="J532" s="391"/>
      <c r="K532" s="391"/>
      <c r="L532" s="391"/>
      <c r="M532" s="392"/>
      <c r="N532" s="391"/>
      <c r="O532" s="391"/>
      <c r="P532" s="391"/>
      <c r="Q532" s="391"/>
      <c r="R532" s="392"/>
      <c r="S532" s="391"/>
      <c r="T532" s="391"/>
      <c r="U532" s="391"/>
      <c r="V532" s="391"/>
      <c r="W532" s="392"/>
      <c r="X532" s="391"/>
      <c r="Y532" s="391"/>
      <c r="Z532" s="391"/>
      <c r="AA532" s="391"/>
      <c r="AB532" s="392"/>
      <c r="AC532" s="391"/>
      <c r="AD532" s="391"/>
      <c r="AE532" s="391"/>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row>
    <row r="533" spans="1:58" ht="15.75" customHeight="1" x14ac:dyDescent="0.2">
      <c r="A533" s="189"/>
      <c r="B533" s="189"/>
      <c r="C533" s="55"/>
      <c r="D533" s="391"/>
      <c r="E533" s="391"/>
      <c r="F533" s="391"/>
      <c r="G533" s="391"/>
      <c r="H533" s="392"/>
      <c r="I533" s="391"/>
      <c r="J533" s="391"/>
      <c r="K533" s="391"/>
      <c r="L533" s="391"/>
      <c r="M533" s="392"/>
      <c r="N533" s="391"/>
      <c r="O533" s="391"/>
      <c r="P533" s="391"/>
      <c r="Q533" s="391"/>
      <c r="R533" s="392"/>
      <c r="S533" s="391"/>
      <c r="T533" s="391"/>
      <c r="U533" s="391"/>
      <c r="V533" s="391"/>
      <c r="W533" s="392"/>
      <c r="X533" s="391"/>
      <c r="Y533" s="391"/>
      <c r="Z533" s="391"/>
      <c r="AA533" s="391"/>
      <c r="AB533" s="392"/>
      <c r="AC533" s="391"/>
      <c r="AD533" s="391"/>
      <c r="AE533" s="391"/>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row>
    <row r="534" spans="1:58" ht="15.75" customHeight="1" x14ac:dyDescent="0.2">
      <c r="A534" s="189"/>
      <c r="B534" s="189"/>
      <c r="C534" s="55"/>
      <c r="D534" s="391"/>
      <c r="E534" s="391"/>
      <c r="F534" s="391"/>
      <c r="G534" s="391"/>
      <c r="H534" s="392"/>
      <c r="I534" s="391"/>
      <c r="J534" s="391"/>
      <c r="K534" s="391"/>
      <c r="L534" s="391"/>
      <c r="M534" s="392"/>
      <c r="N534" s="391"/>
      <c r="O534" s="391"/>
      <c r="P534" s="391"/>
      <c r="Q534" s="391"/>
      <c r="R534" s="392"/>
      <c r="S534" s="391"/>
      <c r="T534" s="391"/>
      <c r="U534" s="391"/>
      <c r="V534" s="391"/>
      <c r="W534" s="392"/>
      <c r="X534" s="391"/>
      <c r="Y534" s="391"/>
      <c r="Z534" s="391"/>
      <c r="AA534" s="391"/>
      <c r="AB534" s="392"/>
      <c r="AC534" s="391"/>
      <c r="AD534" s="391"/>
      <c r="AE534" s="391"/>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row>
    <row r="535" spans="1:58" ht="15.75" customHeight="1" x14ac:dyDescent="0.2">
      <c r="A535" s="189"/>
      <c r="B535" s="189"/>
      <c r="C535" s="55"/>
      <c r="D535" s="391"/>
      <c r="E535" s="391"/>
      <c r="F535" s="391"/>
      <c r="G535" s="391"/>
      <c r="H535" s="392"/>
      <c r="I535" s="391"/>
      <c r="J535" s="391"/>
      <c r="K535" s="391"/>
      <c r="L535" s="391"/>
      <c r="M535" s="392"/>
      <c r="N535" s="391"/>
      <c r="O535" s="391"/>
      <c r="P535" s="391"/>
      <c r="Q535" s="391"/>
      <c r="R535" s="392"/>
      <c r="S535" s="391"/>
      <c r="T535" s="391"/>
      <c r="U535" s="391"/>
      <c r="V535" s="391"/>
      <c r="W535" s="392"/>
      <c r="X535" s="391"/>
      <c r="Y535" s="391"/>
      <c r="Z535" s="391"/>
      <c r="AA535" s="391"/>
      <c r="AB535" s="392"/>
      <c r="AC535" s="391"/>
      <c r="AD535" s="391"/>
      <c r="AE535" s="391"/>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row>
    <row r="536" spans="1:58" ht="15.75" customHeight="1" x14ac:dyDescent="0.2">
      <c r="A536" s="189"/>
      <c r="B536" s="189"/>
      <c r="C536" s="55"/>
      <c r="D536" s="391"/>
      <c r="E536" s="391"/>
      <c r="F536" s="391"/>
      <c r="G536" s="391"/>
      <c r="H536" s="392"/>
      <c r="I536" s="391"/>
      <c r="J536" s="391"/>
      <c r="K536" s="391"/>
      <c r="L536" s="391"/>
      <c r="M536" s="392"/>
      <c r="N536" s="391"/>
      <c r="O536" s="391"/>
      <c r="P536" s="391"/>
      <c r="Q536" s="391"/>
      <c r="R536" s="392"/>
      <c r="S536" s="391"/>
      <c r="T536" s="391"/>
      <c r="U536" s="391"/>
      <c r="V536" s="391"/>
      <c r="W536" s="392"/>
      <c r="X536" s="391"/>
      <c r="Y536" s="391"/>
      <c r="Z536" s="391"/>
      <c r="AA536" s="391"/>
      <c r="AB536" s="392"/>
      <c r="AC536" s="391"/>
      <c r="AD536" s="391"/>
      <c r="AE536" s="391"/>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row>
    <row r="537" spans="1:58" ht="15.75" customHeight="1" x14ac:dyDescent="0.2">
      <c r="A537" s="189"/>
      <c r="B537" s="189"/>
      <c r="C537" s="55"/>
      <c r="D537" s="391"/>
      <c r="E537" s="391"/>
      <c r="F537" s="391"/>
      <c r="G537" s="391"/>
      <c r="H537" s="392"/>
      <c r="I537" s="391"/>
      <c r="J537" s="391"/>
      <c r="K537" s="391"/>
      <c r="L537" s="391"/>
      <c r="M537" s="392"/>
      <c r="N537" s="391"/>
      <c r="O537" s="391"/>
      <c r="P537" s="391"/>
      <c r="Q537" s="391"/>
      <c r="R537" s="392"/>
      <c r="S537" s="391"/>
      <c r="T537" s="391"/>
      <c r="U537" s="391"/>
      <c r="V537" s="391"/>
      <c r="W537" s="392"/>
      <c r="X537" s="391"/>
      <c r="Y537" s="391"/>
      <c r="Z537" s="391"/>
      <c r="AA537" s="391"/>
      <c r="AB537" s="392"/>
      <c r="AC537" s="391"/>
      <c r="AD537" s="391"/>
      <c r="AE537" s="391"/>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row>
    <row r="538" spans="1:58" ht="15.75" customHeight="1" x14ac:dyDescent="0.2">
      <c r="A538" s="189"/>
      <c r="B538" s="189"/>
      <c r="C538" s="55"/>
      <c r="D538" s="391"/>
      <c r="E538" s="391"/>
      <c r="F538" s="391"/>
      <c r="G538" s="391"/>
      <c r="H538" s="392"/>
      <c r="I538" s="391"/>
      <c r="J538" s="391"/>
      <c r="K538" s="391"/>
      <c r="L538" s="391"/>
      <c r="M538" s="392"/>
      <c r="N538" s="391"/>
      <c r="O538" s="391"/>
      <c r="P538" s="391"/>
      <c r="Q538" s="391"/>
      <c r="R538" s="392"/>
      <c r="S538" s="391"/>
      <c r="T538" s="391"/>
      <c r="U538" s="391"/>
      <c r="V538" s="391"/>
      <c r="W538" s="392"/>
      <c r="X538" s="391"/>
      <c r="Y538" s="391"/>
      <c r="Z538" s="391"/>
      <c r="AA538" s="391"/>
      <c r="AB538" s="392"/>
      <c r="AC538" s="391"/>
      <c r="AD538" s="391"/>
      <c r="AE538" s="391"/>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row>
    <row r="539" spans="1:58" ht="15.75" customHeight="1" x14ac:dyDescent="0.2">
      <c r="A539" s="189"/>
      <c r="B539" s="189"/>
      <c r="C539" s="55"/>
      <c r="D539" s="391"/>
      <c r="E539" s="391"/>
      <c r="F539" s="391"/>
      <c r="G539" s="391"/>
      <c r="H539" s="392"/>
      <c r="I539" s="391"/>
      <c r="J539" s="391"/>
      <c r="K539" s="391"/>
      <c r="L539" s="391"/>
      <c r="M539" s="392"/>
      <c r="N539" s="391"/>
      <c r="O539" s="391"/>
      <c r="P539" s="391"/>
      <c r="Q539" s="391"/>
      <c r="R539" s="392"/>
      <c r="S539" s="391"/>
      <c r="T539" s="391"/>
      <c r="U539" s="391"/>
      <c r="V539" s="391"/>
      <c r="W539" s="392"/>
      <c r="X539" s="391"/>
      <c r="Y539" s="391"/>
      <c r="Z539" s="391"/>
      <c r="AA539" s="391"/>
      <c r="AB539" s="392"/>
      <c r="AC539" s="391"/>
      <c r="AD539" s="391"/>
      <c r="AE539" s="391"/>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row>
    <row r="540" spans="1:58" ht="15.75" customHeight="1" x14ac:dyDescent="0.2">
      <c r="A540" s="189"/>
      <c r="B540" s="189"/>
      <c r="C540" s="55"/>
      <c r="D540" s="391"/>
      <c r="E540" s="391"/>
      <c r="F540" s="391"/>
      <c r="G540" s="391"/>
      <c r="H540" s="392"/>
      <c r="I540" s="391"/>
      <c r="J540" s="391"/>
      <c r="K540" s="391"/>
      <c r="L540" s="391"/>
      <c r="M540" s="392"/>
      <c r="N540" s="391"/>
      <c r="O540" s="391"/>
      <c r="P540" s="391"/>
      <c r="Q540" s="391"/>
      <c r="R540" s="392"/>
      <c r="S540" s="391"/>
      <c r="T540" s="391"/>
      <c r="U540" s="391"/>
      <c r="V540" s="391"/>
      <c r="W540" s="392"/>
      <c r="X540" s="391"/>
      <c r="Y540" s="391"/>
      <c r="Z540" s="391"/>
      <c r="AA540" s="391"/>
      <c r="AB540" s="392"/>
      <c r="AC540" s="391"/>
      <c r="AD540" s="391"/>
      <c r="AE540" s="391"/>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row>
    <row r="541" spans="1:58" ht="15.75" customHeight="1" x14ac:dyDescent="0.2">
      <c r="A541" s="189"/>
      <c r="B541" s="189"/>
      <c r="C541" s="55"/>
      <c r="D541" s="391"/>
      <c r="E541" s="391"/>
      <c r="F541" s="391"/>
      <c r="G541" s="391"/>
      <c r="H541" s="392"/>
      <c r="I541" s="391"/>
      <c r="J541" s="391"/>
      <c r="K541" s="391"/>
      <c r="L541" s="391"/>
      <c r="M541" s="392"/>
      <c r="N541" s="391"/>
      <c r="O541" s="391"/>
      <c r="P541" s="391"/>
      <c r="Q541" s="391"/>
      <c r="R541" s="392"/>
      <c r="S541" s="391"/>
      <c r="T541" s="391"/>
      <c r="U541" s="391"/>
      <c r="V541" s="391"/>
      <c r="W541" s="392"/>
      <c r="X541" s="391"/>
      <c r="Y541" s="391"/>
      <c r="Z541" s="391"/>
      <c r="AA541" s="391"/>
      <c r="AB541" s="392"/>
      <c r="AC541" s="391"/>
      <c r="AD541" s="391"/>
      <c r="AE541" s="391"/>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row>
    <row r="542" spans="1:58" ht="15.75" customHeight="1" x14ac:dyDescent="0.2">
      <c r="A542" s="189"/>
      <c r="B542" s="189"/>
      <c r="C542" s="55"/>
      <c r="D542" s="391"/>
      <c r="E542" s="391"/>
      <c r="F542" s="391"/>
      <c r="G542" s="391"/>
      <c r="H542" s="392"/>
      <c r="I542" s="391"/>
      <c r="J542" s="391"/>
      <c r="K542" s="391"/>
      <c r="L542" s="391"/>
      <c r="M542" s="392"/>
      <c r="N542" s="391"/>
      <c r="O542" s="391"/>
      <c r="P542" s="391"/>
      <c r="Q542" s="391"/>
      <c r="R542" s="392"/>
      <c r="S542" s="391"/>
      <c r="T542" s="391"/>
      <c r="U542" s="391"/>
      <c r="V542" s="391"/>
      <c r="W542" s="392"/>
      <c r="X542" s="391"/>
      <c r="Y542" s="391"/>
      <c r="Z542" s="391"/>
      <c r="AA542" s="391"/>
      <c r="AB542" s="392"/>
      <c r="AC542" s="391"/>
      <c r="AD542" s="391"/>
      <c r="AE542" s="391"/>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row>
    <row r="543" spans="1:58" ht="15.75" customHeight="1" x14ac:dyDescent="0.2">
      <c r="A543" s="189"/>
      <c r="B543" s="189"/>
      <c r="C543" s="55"/>
      <c r="D543" s="391"/>
      <c r="E543" s="391"/>
      <c r="F543" s="391"/>
      <c r="G543" s="391"/>
      <c r="H543" s="392"/>
      <c r="I543" s="391"/>
      <c r="J543" s="391"/>
      <c r="K543" s="391"/>
      <c r="L543" s="391"/>
      <c r="M543" s="392"/>
      <c r="N543" s="391"/>
      <c r="O543" s="391"/>
      <c r="P543" s="391"/>
      <c r="Q543" s="391"/>
      <c r="R543" s="392"/>
      <c r="S543" s="391"/>
      <c r="T543" s="391"/>
      <c r="U543" s="391"/>
      <c r="V543" s="391"/>
      <c r="W543" s="392"/>
      <c r="X543" s="391"/>
      <c r="Y543" s="391"/>
      <c r="Z543" s="391"/>
      <c r="AA543" s="391"/>
      <c r="AB543" s="392"/>
      <c r="AC543" s="391"/>
      <c r="AD543" s="391"/>
      <c r="AE543" s="391"/>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row>
    <row r="544" spans="1:58" ht="15.75" customHeight="1" x14ac:dyDescent="0.2">
      <c r="A544" s="189"/>
      <c r="B544" s="189"/>
      <c r="C544" s="55"/>
      <c r="D544" s="391"/>
      <c r="E544" s="391"/>
      <c r="F544" s="391"/>
      <c r="G544" s="391"/>
      <c r="H544" s="392"/>
      <c r="I544" s="391"/>
      <c r="J544" s="391"/>
      <c r="K544" s="391"/>
      <c r="L544" s="391"/>
      <c r="M544" s="392"/>
      <c r="N544" s="391"/>
      <c r="O544" s="391"/>
      <c r="P544" s="391"/>
      <c r="Q544" s="391"/>
      <c r="R544" s="392"/>
      <c r="S544" s="391"/>
      <c r="T544" s="391"/>
      <c r="U544" s="391"/>
      <c r="V544" s="391"/>
      <c r="W544" s="392"/>
      <c r="X544" s="391"/>
      <c r="Y544" s="391"/>
      <c r="Z544" s="391"/>
      <c r="AA544" s="391"/>
      <c r="AB544" s="392"/>
      <c r="AC544" s="391"/>
      <c r="AD544" s="391"/>
      <c r="AE544" s="391"/>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row>
    <row r="545" spans="1:58" ht="15.75" customHeight="1" x14ac:dyDescent="0.2">
      <c r="A545" s="189"/>
      <c r="B545" s="189"/>
      <c r="C545" s="55"/>
      <c r="D545" s="391"/>
      <c r="E545" s="391"/>
      <c r="F545" s="391"/>
      <c r="G545" s="391"/>
      <c r="H545" s="392"/>
      <c r="I545" s="391"/>
      <c r="J545" s="391"/>
      <c r="K545" s="391"/>
      <c r="L545" s="391"/>
      <c r="M545" s="392"/>
      <c r="N545" s="391"/>
      <c r="O545" s="391"/>
      <c r="P545" s="391"/>
      <c r="Q545" s="391"/>
      <c r="R545" s="392"/>
      <c r="S545" s="391"/>
      <c r="T545" s="391"/>
      <c r="U545" s="391"/>
      <c r="V545" s="391"/>
      <c r="W545" s="392"/>
      <c r="X545" s="391"/>
      <c r="Y545" s="391"/>
      <c r="Z545" s="391"/>
      <c r="AA545" s="391"/>
      <c r="AB545" s="392"/>
      <c r="AC545" s="391"/>
      <c r="AD545" s="391"/>
      <c r="AE545" s="391"/>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row>
    <row r="546" spans="1:58" ht="15.75" customHeight="1" x14ac:dyDescent="0.2">
      <c r="A546" s="189"/>
      <c r="B546" s="189"/>
      <c r="C546" s="55"/>
      <c r="D546" s="391"/>
      <c r="E546" s="391"/>
      <c r="F546" s="391"/>
      <c r="G546" s="391"/>
      <c r="H546" s="392"/>
      <c r="I546" s="391"/>
      <c r="J546" s="391"/>
      <c r="K546" s="391"/>
      <c r="L546" s="391"/>
      <c r="M546" s="392"/>
      <c r="N546" s="391"/>
      <c r="O546" s="391"/>
      <c r="P546" s="391"/>
      <c r="Q546" s="391"/>
      <c r="R546" s="392"/>
      <c r="S546" s="391"/>
      <c r="T546" s="391"/>
      <c r="U546" s="391"/>
      <c r="V546" s="391"/>
      <c r="W546" s="392"/>
      <c r="X546" s="391"/>
      <c r="Y546" s="391"/>
      <c r="Z546" s="391"/>
      <c r="AA546" s="391"/>
      <c r="AB546" s="392"/>
      <c r="AC546" s="391"/>
      <c r="AD546" s="391"/>
      <c r="AE546" s="391"/>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row>
    <row r="547" spans="1:58" ht="15.75" customHeight="1" x14ac:dyDescent="0.2">
      <c r="A547" s="189"/>
      <c r="B547" s="189"/>
      <c r="C547" s="55"/>
      <c r="D547" s="391"/>
      <c r="E547" s="391"/>
      <c r="F547" s="391"/>
      <c r="G547" s="391"/>
      <c r="H547" s="392"/>
      <c r="I547" s="391"/>
      <c r="J547" s="391"/>
      <c r="K547" s="391"/>
      <c r="L547" s="391"/>
      <c r="M547" s="392"/>
      <c r="N547" s="391"/>
      <c r="O547" s="391"/>
      <c r="P547" s="391"/>
      <c r="Q547" s="391"/>
      <c r="R547" s="392"/>
      <c r="S547" s="391"/>
      <c r="T547" s="391"/>
      <c r="U547" s="391"/>
      <c r="V547" s="391"/>
      <c r="W547" s="392"/>
      <c r="X547" s="391"/>
      <c r="Y547" s="391"/>
      <c r="Z547" s="391"/>
      <c r="AA547" s="391"/>
      <c r="AB547" s="392"/>
      <c r="AC547" s="391"/>
      <c r="AD547" s="391"/>
      <c r="AE547" s="391"/>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row>
    <row r="548" spans="1:58" ht="15.75" customHeight="1" x14ac:dyDescent="0.2">
      <c r="A548" s="189"/>
      <c r="B548" s="189"/>
      <c r="C548" s="55"/>
      <c r="D548" s="391"/>
      <c r="E548" s="391"/>
      <c r="F548" s="391"/>
      <c r="G548" s="391"/>
      <c r="H548" s="392"/>
      <c r="I548" s="391"/>
      <c r="J548" s="391"/>
      <c r="K548" s="391"/>
      <c r="L548" s="391"/>
      <c r="M548" s="392"/>
      <c r="N548" s="391"/>
      <c r="O548" s="391"/>
      <c r="P548" s="391"/>
      <c r="Q548" s="391"/>
      <c r="R548" s="392"/>
      <c r="S548" s="391"/>
      <c r="T548" s="391"/>
      <c r="U548" s="391"/>
      <c r="V548" s="391"/>
      <c r="W548" s="392"/>
      <c r="X548" s="391"/>
      <c r="Y548" s="391"/>
      <c r="Z548" s="391"/>
      <c r="AA548" s="391"/>
      <c r="AB548" s="392"/>
      <c r="AC548" s="391"/>
      <c r="AD548" s="391"/>
      <c r="AE548" s="391"/>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row>
    <row r="549" spans="1:58" ht="15.75" customHeight="1" x14ac:dyDescent="0.2">
      <c r="A549" s="189"/>
      <c r="B549" s="189"/>
      <c r="C549" s="55"/>
      <c r="D549" s="391"/>
      <c r="E549" s="391"/>
      <c r="F549" s="391"/>
      <c r="G549" s="391"/>
      <c r="H549" s="392"/>
      <c r="I549" s="391"/>
      <c r="J549" s="391"/>
      <c r="K549" s="391"/>
      <c r="L549" s="391"/>
      <c r="M549" s="392"/>
      <c r="N549" s="391"/>
      <c r="O549" s="391"/>
      <c r="P549" s="391"/>
      <c r="Q549" s="391"/>
      <c r="R549" s="392"/>
      <c r="S549" s="391"/>
      <c r="T549" s="391"/>
      <c r="U549" s="391"/>
      <c r="V549" s="391"/>
      <c r="W549" s="392"/>
      <c r="X549" s="391"/>
      <c r="Y549" s="391"/>
      <c r="Z549" s="391"/>
      <c r="AA549" s="391"/>
      <c r="AB549" s="392"/>
      <c r="AC549" s="391"/>
      <c r="AD549" s="391"/>
      <c r="AE549" s="391"/>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row>
    <row r="550" spans="1:58" ht="15.75" customHeight="1" x14ac:dyDescent="0.2">
      <c r="A550" s="189"/>
      <c r="B550" s="189"/>
      <c r="C550" s="55"/>
      <c r="D550" s="391"/>
      <c r="E550" s="391"/>
      <c r="F550" s="391"/>
      <c r="G550" s="391"/>
      <c r="H550" s="392"/>
      <c r="I550" s="391"/>
      <c r="J550" s="391"/>
      <c r="K550" s="391"/>
      <c r="L550" s="391"/>
      <c r="M550" s="392"/>
      <c r="N550" s="391"/>
      <c r="O550" s="391"/>
      <c r="P550" s="391"/>
      <c r="Q550" s="391"/>
      <c r="R550" s="392"/>
      <c r="S550" s="391"/>
      <c r="T550" s="391"/>
      <c r="U550" s="391"/>
      <c r="V550" s="391"/>
      <c r="W550" s="392"/>
      <c r="X550" s="391"/>
      <c r="Y550" s="391"/>
      <c r="Z550" s="391"/>
      <c r="AA550" s="391"/>
      <c r="AB550" s="392"/>
      <c r="AC550" s="391"/>
      <c r="AD550" s="391"/>
      <c r="AE550" s="391"/>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row>
    <row r="551" spans="1:58" ht="15.75" customHeight="1" x14ac:dyDescent="0.2">
      <c r="A551" s="189"/>
      <c r="B551" s="189"/>
      <c r="C551" s="55"/>
      <c r="D551" s="391"/>
      <c r="E551" s="391"/>
      <c r="F551" s="391"/>
      <c r="G551" s="391"/>
      <c r="H551" s="392"/>
      <c r="I551" s="391"/>
      <c r="J551" s="391"/>
      <c r="K551" s="391"/>
      <c r="L551" s="391"/>
      <c r="M551" s="392"/>
      <c r="N551" s="391"/>
      <c r="O551" s="391"/>
      <c r="P551" s="391"/>
      <c r="Q551" s="391"/>
      <c r="R551" s="392"/>
      <c r="S551" s="391"/>
      <c r="T551" s="391"/>
      <c r="U551" s="391"/>
      <c r="V551" s="391"/>
      <c r="W551" s="392"/>
      <c r="X551" s="391"/>
      <c r="Y551" s="391"/>
      <c r="Z551" s="391"/>
      <c r="AA551" s="391"/>
      <c r="AB551" s="392"/>
      <c r="AC551" s="391"/>
      <c r="AD551" s="391"/>
      <c r="AE551" s="391"/>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row>
    <row r="552" spans="1:58" ht="15.75" customHeight="1" x14ac:dyDescent="0.2">
      <c r="A552" s="189"/>
      <c r="B552" s="189"/>
      <c r="C552" s="55"/>
      <c r="D552" s="391"/>
      <c r="E552" s="391"/>
      <c r="F552" s="391"/>
      <c r="G552" s="391"/>
      <c r="H552" s="392"/>
      <c r="I552" s="391"/>
      <c r="J552" s="391"/>
      <c r="K552" s="391"/>
      <c r="L552" s="391"/>
      <c r="M552" s="392"/>
      <c r="N552" s="391"/>
      <c r="O552" s="391"/>
      <c r="P552" s="391"/>
      <c r="Q552" s="391"/>
      <c r="R552" s="392"/>
      <c r="S552" s="391"/>
      <c r="T552" s="391"/>
      <c r="U552" s="391"/>
      <c r="V552" s="391"/>
      <c r="W552" s="392"/>
      <c r="X552" s="391"/>
      <c r="Y552" s="391"/>
      <c r="Z552" s="391"/>
      <c r="AA552" s="391"/>
      <c r="AB552" s="392"/>
      <c r="AC552" s="391"/>
      <c r="AD552" s="391"/>
      <c r="AE552" s="391"/>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row>
    <row r="553" spans="1:58" ht="15.75" customHeight="1" x14ac:dyDescent="0.2">
      <c r="A553" s="189"/>
      <c r="B553" s="189"/>
      <c r="C553" s="55"/>
      <c r="D553" s="391"/>
      <c r="E553" s="391"/>
      <c r="F553" s="391"/>
      <c r="G553" s="391"/>
      <c r="H553" s="392"/>
      <c r="I553" s="391"/>
      <c r="J553" s="391"/>
      <c r="K553" s="391"/>
      <c r="L553" s="391"/>
      <c r="M553" s="392"/>
      <c r="N553" s="391"/>
      <c r="O553" s="391"/>
      <c r="P553" s="391"/>
      <c r="Q553" s="391"/>
      <c r="R553" s="392"/>
      <c r="S553" s="391"/>
      <c r="T553" s="391"/>
      <c r="U553" s="391"/>
      <c r="V553" s="391"/>
      <c r="W553" s="392"/>
      <c r="X553" s="391"/>
      <c r="Y553" s="391"/>
      <c r="Z553" s="391"/>
      <c r="AA553" s="391"/>
      <c r="AB553" s="392"/>
      <c r="AC553" s="391"/>
      <c r="AD553" s="391"/>
      <c r="AE553" s="391"/>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row>
    <row r="554" spans="1:58" ht="15.75" customHeight="1" x14ac:dyDescent="0.2">
      <c r="A554" s="189"/>
      <c r="B554" s="189"/>
      <c r="C554" s="55"/>
      <c r="D554" s="391"/>
      <c r="E554" s="391"/>
      <c r="F554" s="391"/>
      <c r="G554" s="391"/>
      <c r="H554" s="392"/>
      <c r="I554" s="391"/>
      <c r="J554" s="391"/>
      <c r="K554" s="391"/>
      <c r="L554" s="391"/>
      <c r="M554" s="392"/>
      <c r="N554" s="391"/>
      <c r="O554" s="391"/>
      <c r="P554" s="391"/>
      <c r="Q554" s="391"/>
      <c r="R554" s="392"/>
      <c r="S554" s="391"/>
      <c r="T554" s="391"/>
      <c r="U554" s="391"/>
      <c r="V554" s="391"/>
      <c r="W554" s="392"/>
      <c r="X554" s="391"/>
      <c r="Y554" s="391"/>
      <c r="Z554" s="391"/>
      <c r="AA554" s="391"/>
      <c r="AB554" s="392"/>
      <c r="AC554" s="391"/>
      <c r="AD554" s="391"/>
      <c r="AE554" s="391"/>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row>
    <row r="555" spans="1:58" ht="15.75" customHeight="1" x14ac:dyDescent="0.2">
      <c r="A555" s="189"/>
      <c r="B555" s="189"/>
      <c r="C555" s="55"/>
      <c r="D555" s="391"/>
      <c r="E555" s="391"/>
      <c r="F555" s="391"/>
      <c r="G555" s="391"/>
      <c r="H555" s="392"/>
      <c r="I555" s="391"/>
      <c r="J555" s="391"/>
      <c r="K555" s="391"/>
      <c r="L555" s="391"/>
      <c r="M555" s="392"/>
      <c r="N555" s="391"/>
      <c r="O555" s="391"/>
      <c r="P555" s="391"/>
      <c r="Q555" s="391"/>
      <c r="R555" s="392"/>
      <c r="S555" s="391"/>
      <c r="T555" s="391"/>
      <c r="U555" s="391"/>
      <c r="V555" s="391"/>
      <c r="W555" s="392"/>
      <c r="X555" s="391"/>
      <c r="Y555" s="391"/>
      <c r="Z555" s="391"/>
      <c r="AA555" s="391"/>
      <c r="AB555" s="392"/>
      <c r="AC555" s="391"/>
      <c r="AD555" s="391"/>
      <c r="AE555" s="391"/>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row>
    <row r="556" spans="1:58" ht="15.75" customHeight="1" x14ac:dyDescent="0.2">
      <c r="A556" s="189"/>
      <c r="B556" s="189"/>
      <c r="C556" s="55"/>
      <c r="D556" s="391"/>
      <c r="E556" s="391"/>
      <c r="F556" s="391"/>
      <c r="G556" s="391"/>
      <c r="H556" s="392"/>
      <c r="I556" s="391"/>
      <c r="J556" s="391"/>
      <c r="K556" s="391"/>
      <c r="L556" s="391"/>
      <c r="M556" s="392"/>
      <c r="N556" s="391"/>
      <c r="O556" s="391"/>
      <c r="P556" s="391"/>
      <c r="Q556" s="391"/>
      <c r="R556" s="392"/>
      <c r="S556" s="391"/>
      <c r="T556" s="391"/>
      <c r="U556" s="391"/>
      <c r="V556" s="391"/>
      <c r="W556" s="392"/>
      <c r="X556" s="391"/>
      <c r="Y556" s="391"/>
      <c r="Z556" s="391"/>
      <c r="AA556" s="391"/>
      <c r="AB556" s="392"/>
      <c r="AC556" s="391"/>
      <c r="AD556" s="391"/>
      <c r="AE556" s="391"/>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row>
    <row r="557" spans="1:58" ht="15.75" customHeight="1" x14ac:dyDescent="0.2">
      <c r="A557" s="189"/>
      <c r="B557" s="189"/>
      <c r="C557" s="55"/>
      <c r="D557" s="391"/>
      <c r="E557" s="391"/>
      <c r="F557" s="391"/>
      <c r="G557" s="391"/>
      <c r="H557" s="392"/>
      <c r="I557" s="391"/>
      <c r="J557" s="391"/>
      <c r="K557" s="391"/>
      <c r="L557" s="391"/>
      <c r="M557" s="392"/>
      <c r="N557" s="391"/>
      <c r="O557" s="391"/>
      <c r="P557" s="391"/>
      <c r="Q557" s="391"/>
      <c r="R557" s="392"/>
      <c r="S557" s="391"/>
      <c r="T557" s="391"/>
      <c r="U557" s="391"/>
      <c r="V557" s="391"/>
      <c r="W557" s="392"/>
      <c r="X557" s="391"/>
      <c r="Y557" s="391"/>
      <c r="Z557" s="391"/>
      <c r="AA557" s="391"/>
      <c r="AB557" s="392"/>
      <c r="AC557" s="391"/>
      <c r="AD557" s="391"/>
      <c r="AE557" s="391"/>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row>
    <row r="558" spans="1:58" ht="15.75" customHeight="1" x14ac:dyDescent="0.2">
      <c r="A558" s="189"/>
      <c r="B558" s="189"/>
      <c r="C558" s="55"/>
      <c r="D558" s="391"/>
      <c r="E558" s="391"/>
      <c r="F558" s="391"/>
      <c r="G558" s="391"/>
      <c r="H558" s="392"/>
      <c r="I558" s="391"/>
      <c r="J558" s="391"/>
      <c r="K558" s="391"/>
      <c r="L558" s="391"/>
      <c r="M558" s="392"/>
      <c r="N558" s="391"/>
      <c r="O558" s="391"/>
      <c r="P558" s="391"/>
      <c r="Q558" s="391"/>
      <c r="R558" s="392"/>
      <c r="S558" s="391"/>
      <c r="T558" s="391"/>
      <c r="U558" s="391"/>
      <c r="V558" s="391"/>
      <c r="W558" s="392"/>
      <c r="X558" s="391"/>
      <c r="Y558" s="391"/>
      <c r="Z558" s="391"/>
      <c r="AA558" s="391"/>
      <c r="AB558" s="392"/>
      <c r="AC558" s="391"/>
      <c r="AD558" s="391"/>
      <c r="AE558" s="391"/>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row>
    <row r="559" spans="1:58" ht="15.75" customHeight="1" x14ac:dyDescent="0.2">
      <c r="A559" s="189"/>
      <c r="B559" s="189"/>
      <c r="C559" s="55"/>
      <c r="D559" s="391"/>
      <c r="E559" s="391"/>
      <c r="F559" s="391"/>
      <c r="G559" s="391"/>
      <c r="H559" s="392"/>
      <c r="I559" s="391"/>
      <c r="J559" s="391"/>
      <c r="K559" s="391"/>
      <c r="L559" s="391"/>
      <c r="M559" s="392"/>
      <c r="N559" s="391"/>
      <c r="O559" s="391"/>
      <c r="P559" s="391"/>
      <c r="Q559" s="391"/>
      <c r="R559" s="392"/>
      <c r="S559" s="391"/>
      <c r="T559" s="391"/>
      <c r="U559" s="391"/>
      <c r="V559" s="391"/>
      <c r="W559" s="392"/>
      <c r="X559" s="391"/>
      <c r="Y559" s="391"/>
      <c r="Z559" s="391"/>
      <c r="AA559" s="391"/>
      <c r="AB559" s="392"/>
      <c r="AC559" s="391"/>
      <c r="AD559" s="391"/>
      <c r="AE559" s="391"/>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row>
    <row r="560" spans="1:58" ht="15.75" customHeight="1" x14ac:dyDescent="0.2">
      <c r="A560" s="189"/>
      <c r="B560" s="189"/>
      <c r="C560" s="55"/>
      <c r="D560" s="391"/>
      <c r="E560" s="391"/>
      <c r="F560" s="391"/>
      <c r="G560" s="391"/>
      <c r="H560" s="392"/>
      <c r="I560" s="391"/>
      <c r="J560" s="391"/>
      <c r="K560" s="391"/>
      <c r="L560" s="391"/>
      <c r="M560" s="392"/>
      <c r="N560" s="391"/>
      <c r="O560" s="391"/>
      <c r="P560" s="391"/>
      <c r="Q560" s="391"/>
      <c r="R560" s="392"/>
      <c r="S560" s="391"/>
      <c r="T560" s="391"/>
      <c r="U560" s="391"/>
      <c r="V560" s="391"/>
      <c r="W560" s="392"/>
      <c r="X560" s="391"/>
      <c r="Y560" s="391"/>
      <c r="Z560" s="391"/>
      <c r="AA560" s="391"/>
      <c r="AB560" s="392"/>
      <c r="AC560" s="391"/>
      <c r="AD560" s="391"/>
      <c r="AE560" s="391"/>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row>
    <row r="561" spans="1:58" ht="15.75" customHeight="1" x14ac:dyDescent="0.2">
      <c r="A561" s="189"/>
      <c r="B561" s="189"/>
      <c r="C561" s="55"/>
      <c r="D561" s="391"/>
      <c r="E561" s="391"/>
      <c r="F561" s="391"/>
      <c r="G561" s="391"/>
      <c r="H561" s="392"/>
      <c r="I561" s="391"/>
      <c r="J561" s="391"/>
      <c r="K561" s="391"/>
      <c r="L561" s="391"/>
      <c r="M561" s="392"/>
      <c r="N561" s="391"/>
      <c r="O561" s="391"/>
      <c r="P561" s="391"/>
      <c r="Q561" s="391"/>
      <c r="R561" s="392"/>
      <c r="S561" s="391"/>
      <c r="T561" s="391"/>
      <c r="U561" s="391"/>
      <c r="V561" s="391"/>
      <c r="W561" s="392"/>
      <c r="X561" s="391"/>
      <c r="Y561" s="391"/>
      <c r="Z561" s="391"/>
      <c r="AA561" s="391"/>
      <c r="AB561" s="392"/>
      <c r="AC561" s="391"/>
      <c r="AD561" s="391"/>
      <c r="AE561" s="391"/>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row>
    <row r="562" spans="1:58" ht="15.75" customHeight="1" x14ac:dyDescent="0.2">
      <c r="A562" s="189"/>
      <c r="B562" s="189"/>
      <c r="C562" s="55"/>
      <c r="D562" s="391"/>
      <c r="E562" s="391"/>
      <c r="F562" s="391"/>
      <c r="G562" s="391"/>
      <c r="H562" s="392"/>
      <c r="I562" s="391"/>
      <c r="J562" s="391"/>
      <c r="K562" s="391"/>
      <c r="L562" s="391"/>
      <c r="M562" s="392"/>
      <c r="N562" s="391"/>
      <c r="O562" s="391"/>
      <c r="P562" s="391"/>
      <c r="Q562" s="391"/>
      <c r="R562" s="392"/>
      <c r="S562" s="391"/>
      <c r="T562" s="391"/>
      <c r="U562" s="391"/>
      <c r="V562" s="391"/>
      <c r="W562" s="392"/>
      <c r="X562" s="391"/>
      <c r="Y562" s="391"/>
      <c r="Z562" s="391"/>
      <c r="AA562" s="391"/>
      <c r="AB562" s="392"/>
      <c r="AC562" s="391"/>
      <c r="AD562" s="391"/>
      <c r="AE562" s="391"/>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row>
    <row r="563" spans="1:58" ht="15.75" customHeight="1" x14ac:dyDescent="0.2">
      <c r="A563" s="189"/>
      <c r="B563" s="189"/>
      <c r="C563" s="55"/>
      <c r="D563" s="391"/>
      <c r="E563" s="391"/>
      <c r="F563" s="391"/>
      <c r="G563" s="391"/>
      <c r="H563" s="392"/>
      <c r="I563" s="391"/>
      <c r="J563" s="391"/>
      <c r="K563" s="391"/>
      <c r="L563" s="391"/>
      <c r="M563" s="392"/>
      <c r="N563" s="391"/>
      <c r="O563" s="391"/>
      <c r="P563" s="391"/>
      <c r="Q563" s="391"/>
      <c r="R563" s="392"/>
      <c r="S563" s="391"/>
      <c r="T563" s="391"/>
      <c r="U563" s="391"/>
      <c r="V563" s="391"/>
      <c r="W563" s="392"/>
      <c r="X563" s="391"/>
      <c r="Y563" s="391"/>
      <c r="Z563" s="391"/>
      <c r="AA563" s="391"/>
      <c r="AB563" s="392"/>
      <c r="AC563" s="391"/>
      <c r="AD563" s="391"/>
      <c r="AE563" s="391"/>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row>
    <row r="564" spans="1:58" ht="15.75" customHeight="1" x14ac:dyDescent="0.2">
      <c r="A564" s="189"/>
      <c r="B564" s="189"/>
      <c r="C564" s="55"/>
      <c r="D564" s="391"/>
      <c r="E564" s="391"/>
      <c r="F564" s="391"/>
      <c r="G564" s="391"/>
      <c r="H564" s="392"/>
      <c r="I564" s="391"/>
      <c r="J564" s="391"/>
      <c r="K564" s="391"/>
      <c r="L564" s="391"/>
      <c r="M564" s="392"/>
      <c r="N564" s="391"/>
      <c r="O564" s="391"/>
      <c r="P564" s="391"/>
      <c r="Q564" s="391"/>
      <c r="R564" s="392"/>
      <c r="S564" s="391"/>
      <c r="T564" s="391"/>
      <c r="U564" s="391"/>
      <c r="V564" s="391"/>
      <c r="W564" s="392"/>
      <c r="X564" s="391"/>
      <c r="Y564" s="391"/>
      <c r="Z564" s="391"/>
      <c r="AA564" s="391"/>
      <c r="AB564" s="392"/>
      <c r="AC564" s="391"/>
      <c r="AD564" s="391"/>
      <c r="AE564" s="391"/>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row>
    <row r="565" spans="1:58" ht="15.75" customHeight="1" x14ac:dyDescent="0.2">
      <c r="A565" s="189"/>
      <c r="B565" s="189"/>
      <c r="C565" s="55"/>
      <c r="D565" s="391"/>
      <c r="E565" s="391"/>
      <c r="F565" s="391"/>
      <c r="G565" s="391"/>
      <c r="H565" s="392"/>
      <c r="I565" s="391"/>
      <c r="J565" s="391"/>
      <c r="K565" s="391"/>
      <c r="L565" s="391"/>
      <c r="M565" s="392"/>
      <c r="N565" s="391"/>
      <c r="O565" s="391"/>
      <c r="P565" s="391"/>
      <c r="Q565" s="391"/>
      <c r="R565" s="392"/>
      <c r="S565" s="391"/>
      <c r="T565" s="391"/>
      <c r="U565" s="391"/>
      <c r="V565" s="391"/>
      <c r="W565" s="392"/>
      <c r="X565" s="391"/>
      <c r="Y565" s="391"/>
      <c r="Z565" s="391"/>
      <c r="AA565" s="391"/>
      <c r="AB565" s="392"/>
      <c r="AC565" s="391"/>
      <c r="AD565" s="391"/>
      <c r="AE565" s="391"/>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row>
    <row r="566" spans="1:58" ht="15.75" customHeight="1" x14ac:dyDescent="0.2">
      <c r="A566" s="189"/>
      <c r="B566" s="189"/>
      <c r="C566" s="55"/>
      <c r="D566" s="391"/>
      <c r="E566" s="391"/>
      <c r="F566" s="391"/>
      <c r="G566" s="391"/>
      <c r="H566" s="392"/>
      <c r="I566" s="391"/>
      <c r="J566" s="391"/>
      <c r="K566" s="391"/>
      <c r="L566" s="391"/>
      <c r="M566" s="392"/>
      <c r="N566" s="391"/>
      <c r="O566" s="391"/>
      <c r="P566" s="391"/>
      <c r="Q566" s="391"/>
      <c r="R566" s="392"/>
      <c r="S566" s="391"/>
      <c r="T566" s="391"/>
      <c r="U566" s="391"/>
      <c r="V566" s="391"/>
      <c r="W566" s="392"/>
      <c r="X566" s="391"/>
      <c r="Y566" s="391"/>
      <c r="Z566" s="391"/>
      <c r="AA566" s="391"/>
      <c r="AB566" s="392"/>
      <c r="AC566" s="391"/>
      <c r="AD566" s="391"/>
      <c r="AE566" s="391"/>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row>
    <row r="567" spans="1:58" ht="15.75" customHeight="1" x14ac:dyDescent="0.2">
      <c r="A567" s="189"/>
      <c r="B567" s="189"/>
      <c r="C567" s="55"/>
      <c r="D567" s="391"/>
      <c r="E567" s="391"/>
      <c r="F567" s="391"/>
      <c r="G567" s="391"/>
      <c r="H567" s="392"/>
      <c r="I567" s="391"/>
      <c r="J567" s="391"/>
      <c r="K567" s="391"/>
      <c r="L567" s="391"/>
      <c r="M567" s="392"/>
      <c r="N567" s="391"/>
      <c r="O567" s="391"/>
      <c r="P567" s="391"/>
      <c r="Q567" s="391"/>
      <c r="R567" s="392"/>
      <c r="S567" s="391"/>
      <c r="T567" s="391"/>
      <c r="U567" s="391"/>
      <c r="V567" s="391"/>
      <c r="W567" s="392"/>
      <c r="X567" s="391"/>
      <c r="Y567" s="391"/>
      <c r="Z567" s="391"/>
      <c r="AA567" s="391"/>
      <c r="AB567" s="392"/>
      <c r="AC567" s="391"/>
      <c r="AD567" s="391"/>
      <c r="AE567" s="391"/>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row>
    <row r="568" spans="1:58" ht="15.75" customHeight="1" x14ac:dyDescent="0.2">
      <c r="A568" s="189"/>
      <c r="B568" s="189"/>
      <c r="C568" s="55"/>
      <c r="D568" s="391"/>
      <c r="E568" s="391"/>
      <c r="F568" s="391"/>
      <c r="G568" s="391"/>
      <c r="H568" s="392"/>
      <c r="I568" s="391"/>
      <c r="J568" s="391"/>
      <c r="K568" s="391"/>
      <c r="L568" s="391"/>
      <c r="M568" s="392"/>
      <c r="N568" s="391"/>
      <c r="O568" s="391"/>
      <c r="P568" s="391"/>
      <c r="Q568" s="391"/>
      <c r="R568" s="392"/>
      <c r="S568" s="391"/>
      <c r="T568" s="391"/>
      <c r="U568" s="391"/>
      <c r="V568" s="391"/>
      <c r="W568" s="392"/>
      <c r="X568" s="391"/>
      <c r="Y568" s="391"/>
      <c r="Z568" s="391"/>
      <c r="AA568" s="391"/>
      <c r="AB568" s="392"/>
      <c r="AC568" s="391"/>
      <c r="AD568" s="391"/>
      <c r="AE568" s="391"/>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row>
    <row r="569" spans="1:58" ht="15.75" customHeight="1" x14ac:dyDescent="0.2">
      <c r="A569" s="189"/>
      <c r="B569" s="189"/>
      <c r="C569" s="55"/>
      <c r="D569" s="391"/>
      <c r="E569" s="391"/>
      <c r="F569" s="391"/>
      <c r="G569" s="391"/>
      <c r="H569" s="392"/>
      <c r="I569" s="391"/>
      <c r="J569" s="391"/>
      <c r="K569" s="391"/>
      <c r="L569" s="391"/>
      <c r="M569" s="392"/>
      <c r="N569" s="391"/>
      <c r="O569" s="391"/>
      <c r="P569" s="391"/>
      <c r="Q569" s="391"/>
      <c r="R569" s="392"/>
      <c r="S569" s="391"/>
      <c r="T569" s="391"/>
      <c r="U569" s="391"/>
      <c r="V569" s="391"/>
      <c r="W569" s="392"/>
      <c r="X569" s="391"/>
      <c r="Y569" s="391"/>
      <c r="Z569" s="391"/>
      <c r="AA569" s="391"/>
      <c r="AB569" s="392"/>
      <c r="AC569" s="391"/>
      <c r="AD569" s="391"/>
      <c r="AE569" s="391"/>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row>
    <row r="570" spans="1:58" ht="15.75" customHeight="1" x14ac:dyDescent="0.2">
      <c r="A570" s="189"/>
      <c r="B570" s="189"/>
      <c r="C570" s="55"/>
      <c r="D570" s="391"/>
      <c r="E570" s="391"/>
      <c r="F570" s="391"/>
      <c r="G570" s="391"/>
      <c r="H570" s="392"/>
      <c r="I570" s="391"/>
      <c r="J570" s="391"/>
      <c r="K570" s="391"/>
      <c r="L570" s="391"/>
      <c r="M570" s="392"/>
      <c r="N570" s="391"/>
      <c r="O570" s="391"/>
      <c r="P570" s="391"/>
      <c r="Q570" s="391"/>
      <c r="R570" s="392"/>
      <c r="S570" s="391"/>
      <c r="T570" s="391"/>
      <c r="U570" s="391"/>
      <c r="V570" s="391"/>
      <c r="W570" s="392"/>
      <c r="X570" s="391"/>
      <c r="Y570" s="391"/>
      <c r="Z570" s="391"/>
      <c r="AA570" s="391"/>
      <c r="AB570" s="392"/>
      <c r="AC570" s="391"/>
      <c r="AD570" s="391"/>
      <c r="AE570" s="391"/>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row>
    <row r="571" spans="1:58" ht="15.75" customHeight="1" x14ac:dyDescent="0.2">
      <c r="A571" s="189"/>
      <c r="B571" s="189"/>
      <c r="C571" s="55"/>
      <c r="D571" s="391"/>
      <c r="E571" s="391"/>
      <c r="F571" s="391"/>
      <c r="G571" s="391"/>
      <c r="H571" s="392"/>
      <c r="I571" s="391"/>
      <c r="J571" s="391"/>
      <c r="K571" s="391"/>
      <c r="L571" s="391"/>
      <c r="M571" s="392"/>
      <c r="N571" s="391"/>
      <c r="O571" s="391"/>
      <c r="P571" s="391"/>
      <c r="Q571" s="391"/>
      <c r="R571" s="392"/>
      <c r="S571" s="391"/>
      <c r="T571" s="391"/>
      <c r="U571" s="391"/>
      <c r="V571" s="391"/>
      <c r="W571" s="392"/>
      <c r="X571" s="391"/>
      <c r="Y571" s="391"/>
      <c r="Z571" s="391"/>
      <c r="AA571" s="391"/>
      <c r="AB571" s="392"/>
      <c r="AC571" s="391"/>
      <c r="AD571" s="391"/>
      <c r="AE571" s="391"/>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row>
    <row r="572" spans="1:58" ht="15.75" customHeight="1" x14ac:dyDescent="0.2">
      <c r="A572" s="189"/>
      <c r="B572" s="189"/>
      <c r="C572" s="55"/>
      <c r="D572" s="391"/>
      <c r="E572" s="391"/>
      <c r="F572" s="391"/>
      <c r="G572" s="391"/>
      <c r="H572" s="392"/>
      <c r="I572" s="391"/>
      <c r="J572" s="391"/>
      <c r="K572" s="391"/>
      <c r="L572" s="391"/>
      <c r="M572" s="392"/>
      <c r="N572" s="391"/>
      <c r="O572" s="391"/>
      <c r="P572" s="391"/>
      <c r="Q572" s="391"/>
      <c r="R572" s="392"/>
      <c r="S572" s="391"/>
      <c r="T572" s="391"/>
      <c r="U572" s="391"/>
      <c r="V572" s="391"/>
      <c r="W572" s="392"/>
      <c r="X572" s="391"/>
      <c r="Y572" s="391"/>
      <c r="Z572" s="391"/>
      <c r="AA572" s="391"/>
      <c r="AB572" s="392"/>
      <c r="AC572" s="391"/>
      <c r="AD572" s="391"/>
      <c r="AE572" s="391"/>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row>
    <row r="573" spans="1:58" ht="15.75" customHeight="1" x14ac:dyDescent="0.2">
      <c r="A573" s="189"/>
      <c r="B573" s="189"/>
      <c r="C573" s="55"/>
      <c r="D573" s="391"/>
      <c r="E573" s="391"/>
      <c r="F573" s="391"/>
      <c r="G573" s="391"/>
      <c r="H573" s="392"/>
      <c r="I573" s="391"/>
      <c r="J573" s="391"/>
      <c r="K573" s="391"/>
      <c r="L573" s="391"/>
      <c r="M573" s="392"/>
      <c r="N573" s="391"/>
      <c r="O573" s="391"/>
      <c r="P573" s="391"/>
      <c r="Q573" s="391"/>
      <c r="R573" s="392"/>
      <c r="S573" s="391"/>
      <c r="T573" s="391"/>
      <c r="U573" s="391"/>
      <c r="V573" s="391"/>
      <c r="W573" s="392"/>
      <c r="X573" s="391"/>
      <c r="Y573" s="391"/>
      <c r="Z573" s="391"/>
      <c r="AA573" s="391"/>
      <c r="AB573" s="392"/>
      <c r="AC573" s="391"/>
      <c r="AD573" s="391"/>
      <c r="AE573" s="391"/>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row>
    <row r="574" spans="1:58" ht="15.75" customHeight="1" x14ac:dyDescent="0.2">
      <c r="A574" s="189"/>
      <c r="B574" s="189"/>
      <c r="C574" s="55"/>
      <c r="D574" s="391"/>
      <c r="E574" s="391"/>
      <c r="F574" s="391"/>
      <c r="G574" s="391"/>
      <c r="H574" s="392"/>
      <c r="I574" s="391"/>
      <c r="J574" s="391"/>
      <c r="K574" s="391"/>
      <c r="L574" s="391"/>
      <c r="M574" s="392"/>
      <c r="N574" s="391"/>
      <c r="O574" s="391"/>
      <c r="P574" s="391"/>
      <c r="Q574" s="391"/>
      <c r="R574" s="392"/>
      <c r="S574" s="391"/>
      <c r="T574" s="391"/>
      <c r="U574" s="391"/>
      <c r="V574" s="391"/>
      <c r="W574" s="392"/>
      <c r="X574" s="391"/>
      <c r="Y574" s="391"/>
      <c r="Z574" s="391"/>
      <c r="AA574" s="391"/>
      <c r="AB574" s="392"/>
      <c r="AC574" s="391"/>
      <c r="AD574" s="391"/>
      <c r="AE574" s="391"/>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row>
    <row r="575" spans="1:58" ht="15.75" customHeight="1" x14ac:dyDescent="0.2">
      <c r="A575" s="189"/>
      <c r="B575" s="189"/>
      <c r="C575" s="55"/>
      <c r="D575" s="391"/>
      <c r="E575" s="391"/>
      <c r="F575" s="391"/>
      <c r="G575" s="391"/>
      <c r="H575" s="392"/>
      <c r="I575" s="391"/>
      <c r="J575" s="391"/>
      <c r="K575" s="391"/>
      <c r="L575" s="391"/>
      <c r="M575" s="392"/>
      <c r="N575" s="391"/>
      <c r="O575" s="391"/>
      <c r="P575" s="391"/>
      <c r="Q575" s="391"/>
      <c r="R575" s="392"/>
      <c r="S575" s="391"/>
      <c r="T575" s="391"/>
      <c r="U575" s="391"/>
      <c r="V575" s="391"/>
      <c r="W575" s="392"/>
      <c r="X575" s="391"/>
      <c r="Y575" s="391"/>
      <c r="Z575" s="391"/>
      <c r="AA575" s="391"/>
      <c r="AB575" s="392"/>
      <c r="AC575" s="391"/>
      <c r="AD575" s="391"/>
      <c r="AE575" s="391"/>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row>
    <row r="576" spans="1:58" ht="15.75" customHeight="1" x14ac:dyDescent="0.2">
      <c r="A576" s="189"/>
      <c r="B576" s="189"/>
      <c r="C576" s="55"/>
      <c r="D576" s="391"/>
      <c r="E576" s="391"/>
      <c r="F576" s="391"/>
      <c r="G576" s="391"/>
      <c r="H576" s="392"/>
      <c r="I576" s="391"/>
      <c r="J576" s="391"/>
      <c r="K576" s="391"/>
      <c r="L576" s="391"/>
      <c r="M576" s="392"/>
      <c r="N576" s="391"/>
      <c r="O576" s="391"/>
      <c r="P576" s="391"/>
      <c r="Q576" s="391"/>
      <c r="R576" s="392"/>
      <c r="S576" s="391"/>
      <c r="T576" s="391"/>
      <c r="U576" s="391"/>
      <c r="V576" s="391"/>
      <c r="W576" s="392"/>
      <c r="X576" s="391"/>
      <c r="Y576" s="391"/>
      <c r="Z576" s="391"/>
      <c r="AA576" s="391"/>
      <c r="AB576" s="392"/>
      <c r="AC576" s="391"/>
      <c r="AD576" s="391"/>
      <c r="AE576" s="391"/>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row>
    <row r="577" spans="1:58" ht="15.75" customHeight="1" x14ac:dyDescent="0.2">
      <c r="A577" s="189"/>
      <c r="B577" s="189"/>
      <c r="C577" s="55"/>
      <c r="D577" s="391"/>
      <c r="E577" s="391"/>
      <c r="F577" s="391"/>
      <c r="G577" s="391"/>
      <c r="H577" s="392"/>
      <c r="I577" s="391"/>
      <c r="J577" s="391"/>
      <c r="K577" s="391"/>
      <c r="L577" s="391"/>
      <c r="M577" s="392"/>
      <c r="N577" s="391"/>
      <c r="O577" s="391"/>
      <c r="P577" s="391"/>
      <c r="Q577" s="391"/>
      <c r="R577" s="392"/>
      <c r="S577" s="391"/>
      <c r="T577" s="391"/>
      <c r="U577" s="391"/>
      <c r="V577" s="391"/>
      <c r="W577" s="392"/>
      <c r="X577" s="391"/>
      <c r="Y577" s="391"/>
      <c r="Z577" s="391"/>
      <c r="AA577" s="391"/>
      <c r="AB577" s="392"/>
      <c r="AC577" s="391"/>
      <c r="AD577" s="391"/>
      <c r="AE577" s="391"/>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row>
    <row r="578" spans="1:58" ht="15.75" customHeight="1" x14ac:dyDescent="0.2">
      <c r="A578" s="189"/>
      <c r="B578" s="189"/>
      <c r="C578" s="55"/>
      <c r="D578" s="391"/>
      <c r="E578" s="391"/>
      <c r="F578" s="391"/>
      <c r="G578" s="391"/>
      <c r="H578" s="392"/>
      <c r="I578" s="391"/>
      <c r="J578" s="391"/>
      <c r="K578" s="391"/>
      <c r="L578" s="391"/>
      <c r="M578" s="392"/>
      <c r="N578" s="391"/>
      <c r="O578" s="391"/>
      <c r="P578" s="391"/>
      <c r="Q578" s="391"/>
      <c r="R578" s="392"/>
      <c r="S578" s="391"/>
      <c r="T578" s="391"/>
      <c r="U578" s="391"/>
      <c r="V578" s="391"/>
      <c r="W578" s="392"/>
      <c r="X578" s="391"/>
      <c r="Y578" s="391"/>
      <c r="Z578" s="391"/>
      <c r="AA578" s="391"/>
      <c r="AB578" s="392"/>
      <c r="AC578" s="391"/>
      <c r="AD578" s="391"/>
      <c r="AE578" s="391"/>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row>
    <row r="579" spans="1:58" ht="15.75" customHeight="1" x14ac:dyDescent="0.2">
      <c r="A579" s="189"/>
      <c r="B579" s="189"/>
      <c r="C579" s="55"/>
      <c r="D579" s="391"/>
      <c r="E579" s="391"/>
      <c r="F579" s="391"/>
      <c r="G579" s="391"/>
      <c r="H579" s="392"/>
      <c r="I579" s="391"/>
      <c r="J579" s="391"/>
      <c r="K579" s="391"/>
      <c r="L579" s="391"/>
      <c r="M579" s="392"/>
      <c r="N579" s="391"/>
      <c r="O579" s="391"/>
      <c r="P579" s="391"/>
      <c r="Q579" s="391"/>
      <c r="R579" s="392"/>
      <c r="S579" s="391"/>
      <c r="T579" s="391"/>
      <c r="U579" s="391"/>
      <c r="V579" s="391"/>
      <c r="W579" s="392"/>
      <c r="X579" s="391"/>
      <c r="Y579" s="391"/>
      <c r="Z579" s="391"/>
      <c r="AA579" s="391"/>
      <c r="AB579" s="392"/>
      <c r="AC579" s="391"/>
      <c r="AD579" s="391"/>
      <c r="AE579" s="391"/>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row>
    <row r="580" spans="1:58" ht="15.75" customHeight="1" x14ac:dyDescent="0.2">
      <c r="A580" s="189"/>
      <c r="B580" s="189"/>
      <c r="C580" s="55"/>
      <c r="D580" s="391"/>
      <c r="E580" s="391"/>
      <c r="F580" s="391"/>
      <c r="G580" s="391"/>
      <c r="H580" s="392"/>
      <c r="I580" s="391"/>
      <c r="J580" s="391"/>
      <c r="K580" s="391"/>
      <c r="L580" s="391"/>
      <c r="M580" s="392"/>
      <c r="N580" s="391"/>
      <c r="O580" s="391"/>
      <c r="P580" s="391"/>
      <c r="Q580" s="391"/>
      <c r="R580" s="392"/>
      <c r="S580" s="391"/>
      <c r="T580" s="391"/>
      <c r="U580" s="391"/>
      <c r="V580" s="391"/>
      <c r="W580" s="392"/>
      <c r="X580" s="391"/>
      <c r="Y580" s="391"/>
      <c r="Z580" s="391"/>
      <c r="AA580" s="391"/>
      <c r="AB580" s="392"/>
      <c r="AC580" s="391"/>
      <c r="AD580" s="391"/>
      <c r="AE580" s="391"/>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row>
    <row r="581" spans="1:58" ht="15.75" customHeight="1" x14ac:dyDescent="0.2">
      <c r="A581" s="189"/>
      <c r="B581" s="189"/>
      <c r="C581" s="55"/>
      <c r="D581" s="391"/>
      <c r="E581" s="391"/>
      <c r="F581" s="391"/>
      <c r="G581" s="391"/>
      <c r="H581" s="392"/>
      <c r="I581" s="391"/>
      <c r="J581" s="391"/>
      <c r="K581" s="391"/>
      <c r="L581" s="391"/>
      <c r="M581" s="392"/>
      <c r="N581" s="391"/>
      <c r="O581" s="391"/>
      <c r="P581" s="391"/>
      <c r="Q581" s="391"/>
      <c r="R581" s="392"/>
      <c r="S581" s="391"/>
      <c r="T581" s="391"/>
      <c r="U581" s="391"/>
      <c r="V581" s="391"/>
      <c r="W581" s="392"/>
      <c r="X581" s="391"/>
      <c r="Y581" s="391"/>
      <c r="Z581" s="391"/>
      <c r="AA581" s="391"/>
      <c r="AB581" s="392"/>
      <c r="AC581" s="391"/>
      <c r="AD581" s="391"/>
      <c r="AE581" s="391"/>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row>
    <row r="582" spans="1:58" ht="15.75" customHeight="1" x14ac:dyDescent="0.2">
      <c r="A582" s="189"/>
      <c r="B582" s="189"/>
      <c r="C582" s="55"/>
      <c r="D582" s="391"/>
      <c r="E582" s="391"/>
      <c r="F582" s="391"/>
      <c r="G582" s="391"/>
      <c r="H582" s="392"/>
      <c r="I582" s="391"/>
      <c r="J582" s="391"/>
      <c r="K582" s="391"/>
      <c r="L582" s="391"/>
      <c r="M582" s="392"/>
      <c r="N582" s="391"/>
      <c r="O582" s="391"/>
      <c r="P582" s="391"/>
      <c r="Q582" s="391"/>
      <c r="R582" s="392"/>
      <c r="S582" s="391"/>
      <c r="T582" s="391"/>
      <c r="U582" s="391"/>
      <c r="V582" s="391"/>
      <c r="W582" s="392"/>
      <c r="X582" s="391"/>
      <c r="Y582" s="391"/>
      <c r="Z582" s="391"/>
      <c r="AA582" s="391"/>
      <c r="AB582" s="392"/>
      <c r="AC582" s="391"/>
      <c r="AD582" s="391"/>
      <c r="AE582" s="391"/>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row>
    <row r="583" spans="1:58" ht="15.75" customHeight="1" x14ac:dyDescent="0.2">
      <c r="A583" s="189"/>
      <c r="B583" s="189"/>
      <c r="C583" s="55"/>
      <c r="D583" s="391"/>
      <c r="E583" s="391"/>
      <c r="F583" s="391"/>
      <c r="G583" s="391"/>
      <c r="H583" s="392"/>
      <c r="I583" s="391"/>
      <c r="J583" s="391"/>
      <c r="K583" s="391"/>
      <c r="L583" s="391"/>
      <c r="M583" s="392"/>
      <c r="N583" s="391"/>
      <c r="O583" s="391"/>
      <c r="P583" s="391"/>
      <c r="Q583" s="391"/>
      <c r="R583" s="392"/>
      <c r="S583" s="391"/>
      <c r="T583" s="391"/>
      <c r="U583" s="391"/>
      <c r="V583" s="391"/>
      <c r="W583" s="392"/>
      <c r="X583" s="391"/>
      <c r="Y583" s="391"/>
      <c r="Z583" s="391"/>
      <c r="AA583" s="391"/>
      <c r="AB583" s="392"/>
      <c r="AC583" s="391"/>
      <c r="AD583" s="391"/>
      <c r="AE583" s="391"/>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row>
    <row r="584" spans="1:58" ht="15.75" customHeight="1" x14ac:dyDescent="0.2">
      <c r="A584" s="189"/>
      <c r="B584" s="189"/>
      <c r="C584" s="55"/>
      <c r="D584" s="391"/>
      <c r="E584" s="391"/>
      <c r="F584" s="391"/>
      <c r="G584" s="391"/>
      <c r="H584" s="392"/>
      <c r="I584" s="391"/>
      <c r="J584" s="391"/>
      <c r="K584" s="391"/>
      <c r="L584" s="391"/>
      <c r="M584" s="392"/>
      <c r="N584" s="391"/>
      <c r="O584" s="391"/>
      <c r="P584" s="391"/>
      <c r="Q584" s="391"/>
      <c r="R584" s="392"/>
      <c r="S584" s="391"/>
      <c r="T584" s="391"/>
      <c r="U584" s="391"/>
      <c r="V584" s="391"/>
      <c r="W584" s="392"/>
      <c r="X584" s="391"/>
      <c r="Y584" s="391"/>
      <c r="Z584" s="391"/>
      <c r="AA584" s="391"/>
      <c r="AB584" s="392"/>
      <c r="AC584" s="391"/>
      <c r="AD584" s="391"/>
      <c r="AE584" s="391"/>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row>
    <row r="585" spans="1:58" ht="15.75" customHeight="1" x14ac:dyDescent="0.2">
      <c r="A585" s="189"/>
      <c r="B585" s="189"/>
      <c r="C585" s="55"/>
      <c r="D585" s="391"/>
      <c r="E585" s="391"/>
      <c r="F585" s="391"/>
      <c r="G585" s="391"/>
      <c r="H585" s="392"/>
      <c r="I585" s="391"/>
      <c r="J585" s="391"/>
      <c r="K585" s="391"/>
      <c r="L585" s="391"/>
      <c r="M585" s="392"/>
      <c r="N585" s="391"/>
      <c r="O585" s="391"/>
      <c r="P585" s="391"/>
      <c r="Q585" s="391"/>
      <c r="R585" s="392"/>
      <c r="S585" s="391"/>
      <c r="T585" s="391"/>
      <c r="U585" s="391"/>
      <c r="V585" s="391"/>
      <c r="W585" s="392"/>
      <c r="X585" s="391"/>
      <c r="Y585" s="391"/>
      <c r="Z585" s="391"/>
      <c r="AA585" s="391"/>
      <c r="AB585" s="392"/>
      <c r="AC585" s="391"/>
      <c r="AD585" s="391"/>
      <c r="AE585" s="391"/>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row>
    <row r="586" spans="1:58" ht="15.75" customHeight="1" x14ac:dyDescent="0.2">
      <c r="A586" s="189"/>
      <c r="B586" s="189"/>
      <c r="C586" s="55"/>
      <c r="D586" s="391"/>
      <c r="E586" s="391"/>
      <c r="F586" s="391"/>
      <c r="G586" s="391"/>
      <c r="H586" s="392"/>
      <c r="I586" s="391"/>
      <c r="J586" s="391"/>
      <c r="K586" s="391"/>
      <c r="L586" s="391"/>
      <c r="M586" s="392"/>
      <c r="N586" s="391"/>
      <c r="O586" s="391"/>
      <c r="P586" s="391"/>
      <c r="Q586" s="391"/>
      <c r="R586" s="392"/>
      <c r="S586" s="391"/>
      <c r="T586" s="391"/>
      <c r="U586" s="391"/>
      <c r="V586" s="391"/>
      <c r="W586" s="392"/>
      <c r="X586" s="391"/>
      <c r="Y586" s="391"/>
      <c r="Z586" s="391"/>
      <c r="AA586" s="391"/>
      <c r="AB586" s="392"/>
      <c r="AC586" s="391"/>
      <c r="AD586" s="391"/>
      <c r="AE586" s="391"/>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row>
    <row r="587" spans="1:58" ht="15.75" customHeight="1" x14ac:dyDescent="0.2">
      <c r="A587" s="189"/>
      <c r="B587" s="189"/>
      <c r="C587" s="55"/>
      <c r="D587" s="391"/>
      <c r="E587" s="391"/>
      <c r="F587" s="391"/>
      <c r="G587" s="391"/>
      <c r="H587" s="392"/>
      <c r="I587" s="391"/>
      <c r="J587" s="391"/>
      <c r="K587" s="391"/>
      <c r="L587" s="391"/>
      <c r="M587" s="392"/>
      <c r="N587" s="391"/>
      <c r="O587" s="391"/>
      <c r="P587" s="391"/>
      <c r="Q587" s="391"/>
      <c r="R587" s="392"/>
      <c r="S587" s="391"/>
      <c r="T587" s="391"/>
      <c r="U587" s="391"/>
      <c r="V587" s="391"/>
      <c r="W587" s="392"/>
      <c r="X587" s="391"/>
      <c r="Y587" s="391"/>
      <c r="Z587" s="391"/>
      <c r="AA587" s="391"/>
      <c r="AB587" s="392"/>
      <c r="AC587" s="391"/>
      <c r="AD587" s="391"/>
      <c r="AE587" s="391"/>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row>
    <row r="588" spans="1:58" ht="15.75" customHeight="1" x14ac:dyDescent="0.2">
      <c r="A588" s="189"/>
      <c r="B588" s="189"/>
      <c r="C588" s="55"/>
      <c r="D588" s="391"/>
      <c r="E588" s="391"/>
      <c r="F588" s="391"/>
      <c r="G588" s="391"/>
      <c r="H588" s="392"/>
      <c r="I588" s="391"/>
      <c r="J588" s="391"/>
      <c r="K588" s="391"/>
      <c r="L588" s="391"/>
      <c r="M588" s="392"/>
      <c r="N588" s="391"/>
      <c r="O588" s="391"/>
      <c r="P588" s="391"/>
      <c r="Q588" s="391"/>
      <c r="R588" s="392"/>
      <c r="S588" s="391"/>
      <c r="T588" s="391"/>
      <c r="U588" s="391"/>
      <c r="V588" s="391"/>
      <c r="W588" s="392"/>
      <c r="X588" s="391"/>
      <c r="Y588" s="391"/>
      <c r="Z588" s="391"/>
      <c r="AA588" s="391"/>
      <c r="AB588" s="392"/>
      <c r="AC588" s="391"/>
      <c r="AD588" s="391"/>
      <c r="AE588" s="391"/>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row>
    <row r="589" spans="1:58" ht="15.75" customHeight="1" x14ac:dyDescent="0.2">
      <c r="A589" s="189"/>
      <c r="B589" s="189"/>
      <c r="C589" s="55"/>
      <c r="D589" s="391"/>
      <c r="E589" s="391"/>
      <c r="F589" s="391"/>
      <c r="G589" s="391"/>
      <c r="H589" s="392"/>
      <c r="I589" s="391"/>
      <c r="J589" s="391"/>
      <c r="K589" s="391"/>
      <c r="L589" s="391"/>
      <c r="M589" s="392"/>
      <c r="N589" s="391"/>
      <c r="O589" s="391"/>
      <c r="P589" s="391"/>
      <c r="Q589" s="391"/>
      <c r="R589" s="392"/>
      <c r="S589" s="391"/>
      <c r="T589" s="391"/>
      <c r="U589" s="391"/>
      <c r="V589" s="391"/>
      <c r="W589" s="392"/>
      <c r="X589" s="391"/>
      <c r="Y589" s="391"/>
      <c r="Z589" s="391"/>
      <c r="AA589" s="391"/>
      <c r="AB589" s="392"/>
      <c r="AC589" s="391"/>
      <c r="AD589" s="391"/>
      <c r="AE589" s="391"/>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row>
    <row r="590" spans="1:58" ht="15.75" customHeight="1" x14ac:dyDescent="0.2">
      <c r="A590" s="189"/>
      <c r="B590" s="189"/>
      <c r="C590" s="55"/>
      <c r="D590" s="391"/>
      <c r="E590" s="391"/>
      <c r="F590" s="391"/>
      <c r="G590" s="391"/>
      <c r="H590" s="392"/>
      <c r="I590" s="391"/>
      <c r="J590" s="391"/>
      <c r="K590" s="391"/>
      <c r="L590" s="391"/>
      <c r="M590" s="392"/>
      <c r="N590" s="391"/>
      <c r="O590" s="391"/>
      <c r="P590" s="391"/>
      <c r="Q590" s="391"/>
      <c r="R590" s="392"/>
      <c r="S590" s="391"/>
      <c r="T590" s="391"/>
      <c r="U590" s="391"/>
      <c r="V590" s="391"/>
      <c r="W590" s="392"/>
      <c r="X590" s="391"/>
      <c r="Y590" s="391"/>
      <c r="Z590" s="391"/>
      <c r="AA590" s="391"/>
      <c r="AB590" s="392"/>
      <c r="AC590" s="391"/>
      <c r="AD590" s="391"/>
      <c r="AE590" s="391"/>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row>
    <row r="591" spans="1:58" ht="15.75" customHeight="1" x14ac:dyDescent="0.2">
      <c r="A591" s="189"/>
      <c r="B591" s="189"/>
      <c r="C591" s="55"/>
      <c r="D591" s="391"/>
      <c r="E591" s="391"/>
      <c r="F591" s="391"/>
      <c r="G591" s="391"/>
      <c r="H591" s="392"/>
      <c r="I591" s="391"/>
      <c r="J591" s="391"/>
      <c r="K591" s="391"/>
      <c r="L591" s="391"/>
      <c r="M591" s="392"/>
      <c r="N591" s="391"/>
      <c r="O591" s="391"/>
      <c r="P591" s="391"/>
      <c r="Q591" s="391"/>
      <c r="R591" s="392"/>
      <c r="S591" s="391"/>
      <c r="T591" s="391"/>
      <c r="U591" s="391"/>
      <c r="V591" s="391"/>
      <c r="W591" s="392"/>
      <c r="X591" s="391"/>
      <c r="Y591" s="391"/>
      <c r="Z591" s="391"/>
      <c r="AA591" s="391"/>
      <c r="AB591" s="392"/>
      <c r="AC591" s="391"/>
      <c r="AD591" s="391"/>
      <c r="AE591" s="391"/>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row>
    <row r="592" spans="1:58" ht="15.75" customHeight="1" x14ac:dyDescent="0.2">
      <c r="A592" s="189"/>
      <c r="B592" s="189"/>
      <c r="C592" s="55"/>
      <c r="D592" s="391"/>
      <c r="E592" s="391"/>
      <c r="F592" s="391"/>
      <c r="G592" s="391"/>
      <c r="H592" s="392"/>
      <c r="I592" s="391"/>
      <c r="J592" s="391"/>
      <c r="K592" s="391"/>
      <c r="L592" s="391"/>
      <c r="M592" s="392"/>
      <c r="N592" s="391"/>
      <c r="O592" s="391"/>
      <c r="P592" s="391"/>
      <c r="Q592" s="391"/>
      <c r="R592" s="392"/>
      <c r="S592" s="391"/>
      <c r="T592" s="391"/>
      <c r="U592" s="391"/>
      <c r="V592" s="391"/>
      <c r="W592" s="392"/>
      <c r="X592" s="391"/>
      <c r="Y592" s="391"/>
      <c r="Z592" s="391"/>
      <c r="AA592" s="391"/>
      <c r="AB592" s="392"/>
      <c r="AC592" s="391"/>
      <c r="AD592" s="391"/>
      <c r="AE592" s="391"/>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row>
    <row r="593" spans="1:58" ht="15.75" customHeight="1" x14ac:dyDescent="0.2">
      <c r="A593" s="189"/>
      <c r="B593" s="189"/>
      <c r="C593" s="55"/>
      <c r="D593" s="391"/>
      <c r="E593" s="391"/>
      <c r="F593" s="391"/>
      <c r="G593" s="391"/>
      <c r="H593" s="392"/>
      <c r="I593" s="391"/>
      <c r="J593" s="391"/>
      <c r="K593" s="391"/>
      <c r="L593" s="391"/>
      <c r="M593" s="392"/>
      <c r="N593" s="391"/>
      <c r="O593" s="391"/>
      <c r="P593" s="391"/>
      <c r="Q593" s="391"/>
      <c r="R593" s="392"/>
      <c r="S593" s="391"/>
      <c r="T593" s="391"/>
      <c r="U593" s="391"/>
      <c r="V593" s="391"/>
      <c r="W593" s="392"/>
      <c r="X593" s="391"/>
      <c r="Y593" s="391"/>
      <c r="Z593" s="391"/>
      <c r="AA593" s="391"/>
      <c r="AB593" s="392"/>
      <c r="AC593" s="391"/>
      <c r="AD593" s="391"/>
      <c r="AE593" s="391"/>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row>
    <row r="594" spans="1:58" ht="15.75" customHeight="1" x14ac:dyDescent="0.2">
      <c r="A594" s="189"/>
      <c r="B594" s="189"/>
      <c r="C594" s="55"/>
      <c r="D594" s="391"/>
      <c r="E594" s="391"/>
      <c r="F594" s="391"/>
      <c r="G594" s="391"/>
      <c r="H594" s="392"/>
      <c r="I594" s="391"/>
      <c r="J594" s="391"/>
      <c r="K594" s="391"/>
      <c r="L594" s="391"/>
      <c r="M594" s="392"/>
      <c r="N594" s="391"/>
      <c r="O594" s="391"/>
      <c r="P594" s="391"/>
      <c r="Q594" s="391"/>
      <c r="R594" s="392"/>
      <c r="S594" s="391"/>
      <c r="T594" s="391"/>
      <c r="U594" s="391"/>
      <c r="V594" s="391"/>
      <c r="W594" s="392"/>
      <c r="X594" s="391"/>
      <c r="Y594" s="391"/>
      <c r="Z594" s="391"/>
      <c r="AA594" s="391"/>
      <c r="AB594" s="392"/>
      <c r="AC594" s="391"/>
      <c r="AD594" s="391"/>
      <c r="AE594" s="391"/>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row>
    <row r="595" spans="1:58" ht="15.75" customHeight="1" x14ac:dyDescent="0.2">
      <c r="A595" s="189"/>
      <c r="B595" s="189"/>
      <c r="C595" s="55"/>
      <c r="D595" s="391"/>
      <c r="E595" s="391"/>
      <c r="F595" s="391"/>
      <c r="G595" s="391"/>
      <c r="H595" s="392"/>
      <c r="I595" s="391"/>
      <c r="J595" s="391"/>
      <c r="K595" s="391"/>
      <c r="L595" s="391"/>
      <c r="M595" s="392"/>
      <c r="N595" s="391"/>
      <c r="O595" s="391"/>
      <c r="P595" s="391"/>
      <c r="Q595" s="391"/>
      <c r="R595" s="392"/>
      <c r="S595" s="391"/>
      <c r="T595" s="391"/>
      <c r="U595" s="391"/>
      <c r="V595" s="391"/>
      <c r="W595" s="392"/>
      <c r="X595" s="391"/>
      <c r="Y595" s="391"/>
      <c r="Z595" s="391"/>
      <c r="AA595" s="391"/>
      <c r="AB595" s="392"/>
      <c r="AC595" s="391"/>
      <c r="AD595" s="391"/>
      <c r="AE595" s="391"/>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row>
    <row r="596" spans="1:58" ht="15.75" customHeight="1" x14ac:dyDescent="0.2">
      <c r="A596" s="189"/>
      <c r="B596" s="189"/>
      <c r="C596" s="55"/>
      <c r="D596" s="391"/>
      <c r="E596" s="391"/>
      <c r="F596" s="391"/>
      <c r="G596" s="391"/>
      <c r="H596" s="392"/>
      <c r="I596" s="391"/>
      <c r="J596" s="391"/>
      <c r="K596" s="391"/>
      <c r="L596" s="391"/>
      <c r="M596" s="392"/>
      <c r="N596" s="391"/>
      <c r="O596" s="391"/>
      <c r="P596" s="391"/>
      <c r="Q596" s="391"/>
      <c r="R596" s="392"/>
      <c r="S596" s="391"/>
      <c r="T596" s="391"/>
      <c r="U596" s="391"/>
      <c r="V596" s="391"/>
      <c r="W596" s="392"/>
      <c r="X596" s="391"/>
      <c r="Y596" s="391"/>
      <c r="Z596" s="391"/>
      <c r="AA596" s="391"/>
      <c r="AB596" s="392"/>
      <c r="AC596" s="391"/>
      <c r="AD596" s="391"/>
      <c r="AE596" s="391"/>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row>
    <row r="597" spans="1:58" ht="15.75" customHeight="1" x14ac:dyDescent="0.2">
      <c r="A597" s="189"/>
      <c r="B597" s="189"/>
      <c r="C597" s="55"/>
      <c r="D597" s="391"/>
      <c r="E597" s="391"/>
      <c r="F597" s="391"/>
      <c r="G597" s="391"/>
      <c r="H597" s="392"/>
      <c r="I597" s="391"/>
      <c r="J597" s="391"/>
      <c r="K597" s="391"/>
      <c r="L597" s="391"/>
      <c r="M597" s="392"/>
      <c r="N597" s="391"/>
      <c r="O597" s="391"/>
      <c r="P597" s="391"/>
      <c r="Q597" s="391"/>
      <c r="R597" s="392"/>
      <c r="S597" s="391"/>
      <c r="T597" s="391"/>
      <c r="U597" s="391"/>
      <c r="V597" s="391"/>
      <c r="W597" s="392"/>
      <c r="X597" s="391"/>
      <c r="Y597" s="391"/>
      <c r="Z597" s="391"/>
      <c r="AA597" s="391"/>
      <c r="AB597" s="392"/>
      <c r="AC597" s="391"/>
      <c r="AD597" s="391"/>
      <c r="AE597" s="391"/>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row>
    <row r="598" spans="1:58" ht="15.75" customHeight="1" x14ac:dyDescent="0.2">
      <c r="A598" s="189"/>
      <c r="B598" s="189"/>
      <c r="C598" s="55"/>
      <c r="D598" s="391"/>
      <c r="E598" s="391"/>
      <c r="F598" s="391"/>
      <c r="G598" s="391"/>
      <c r="H598" s="392"/>
      <c r="I598" s="391"/>
      <c r="J598" s="391"/>
      <c r="K598" s="391"/>
      <c r="L598" s="391"/>
      <c r="M598" s="392"/>
      <c r="N598" s="391"/>
      <c r="O598" s="391"/>
      <c r="P598" s="391"/>
      <c r="Q598" s="391"/>
      <c r="R598" s="392"/>
      <c r="S598" s="391"/>
      <c r="T598" s="391"/>
      <c r="U598" s="391"/>
      <c r="V598" s="391"/>
      <c r="W598" s="392"/>
      <c r="X598" s="391"/>
      <c r="Y598" s="391"/>
      <c r="Z598" s="391"/>
      <c r="AA598" s="391"/>
      <c r="AB598" s="392"/>
      <c r="AC598" s="391"/>
      <c r="AD598" s="391"/>
      <c r="AE598" s="391"/>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row>
    <row r="599" spans="1:58" ht="15.75" customHeight="1" x14ac:dyDescent="0.2">
      <c r="A599" s="189"/>
      <c r="B599" s="189"/>
      <c r="C599" s="55"/>
      <c r="D599" s="391"/>
      <c r="E599" s="391"/>
      <c r="F599" s="391"/>
      <c r="G599" s="391"/>
      <c r="H599" s="392"/>
      <c r="I599" s="391"/>
      <c r="J599" s="391"/>
      <c r="K599" s="391"/>
      <c r="L599" s="391"/>
      <c r="M599" s="392"/>
      <c r="N599" s="391"/>
      <c r="O599" s="391"/>
      <c r="P599" s="391"/>
      <c r="Q599" s="391"/>
      <c r="R599" s="392"/>
      <c r="S599" s="391"/>
      <c r="T599" s="391"/>
      <c r="U599" s="391"/>
      <c r="V599" s="391"/>
      <c r="W599" s="392"/>
      <c r="X599" s="391"/>
      <c r="Y599" s="391"/>
      <c r="Z599" s="391"/>
      <c r="AA599" s="391"/>
      <c r="AB599" s="392"/>
      <c r="AC599" s="391"/>
      <c r="AD599" s="391"/>
      <c r="AE599" s="391"/>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row>
    <row r="600" spans="1:58" ht="15.75" customHeight="1" x14ac:dyDescent="0.2">
      <c r="A600" s="189"/>
      <c r="B600" s="189"/>
      <c r="C600" s="55"/>
      <c r="D600" s="391"/>
      <c r="E600" s="391"/>
      <c r="F600" s="391"/>
      <c r="G600" s="391"/>
      <c r="H600" s="392"/>
      <c r="I600" s="391"/>
      <c r="J600" s="391"/>
      <c r="K600" s="391"/>
      <c r="L600" s="391"/>
      <c r="M600" s="392"/>
      <c r="N600" s="391"/>
      <c r="O600" s="391"/>
      <c r="P600" s="391"/>
      <c r="Q600" s="391"/>
      <c r="R600" s="392"/>
      <c r="S600" s="391"/>
      <c r="T600" s="391"/>
      <c r="U600" s="391"/>
      <c r="V600" s="391"/>
      <c r="W600" s="392"/>
      <c r="X600" s="391"/>
      <c r="Y600" s="391"/>
      <c r="Z600" s="391"/>
      <c r="AA600" s="391"/>
      <c r="AB600" s="392"/>
      <c r="AC600" s="391"/>
      <c r="AD600" s="391"/>
      <c r="AE600" s="391"/>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row>
    <row r="601" spans="1:58" ht="15.75" customHeight="1" x14ac:dyDescent="0.2">
      <c r="A601" s="189"/>
      <c r="B601" s="189"/>
      <c r="C601" s="55"/>
      <c r="D601" s="391"/>
      <c r="E601" s="391"/>
      <c r="F601" s="391"/>
      <c r="G601" s="391"/>
      <c r="H601" s="392"/>
      <c r="I601" s="391"/>
      <c r="J601" s="391"/>
      <c r="K601" s="391"/>
      <c r="L601" s="391"/>
      <c r="M601" s="392"/>
      <c r="N601" s="391"/>
      <c r="O601" s="391"/>
      <c r="P601" s="391"/>
      <c r="Q601" s="391"/>
      <c r="R601" s="392"/>
      <c r="S601" s="391"/>
      <c r="T601" s="391"/>
      <c r="U601" s="391"/>
      <c r="V601" s="391"/>
      <c r="W601" s="392"/>
      <c r="X601" s="391"/>
      <c r="Y601" s="391"/>
      <c r="Z601" s="391"/>
      <c r="AA601" s="391"/>
      <c r="AB601" s="392"/>
      <c r="AC601" s="391"/>
      <c r="AD601" s="391"/>
      <c r="AE601" s="391"/>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row>
    <row r="602" spans="1:58" ht="15.75" customHeight="1" x14ac:dyDescent="0.2">
      <c r="A602" s="189"/>
      <c r="B602" s="189"/>
      <c r="C602" s="55"/>
      <c r="D602" s="391"/>
      <c r="E602" s="391"/>
      <c r="F602" s="391"/>
      <c r="G602" s="391"/>
      <c r="H602" s="392"/>
      <c r="I602" s="391"/>
      <c r="J602" s="391"/>
      <c r="K602" s="391"/>
      <c r="L602" s="391"/>
      <c r="M602" s="392"/>
      <c r="N602" s="391"/>
      <c r="O602" s="391"/>
      <c r="P602" s="391"/>
      <c r="Q602" s="391"/>
      <c r="R602" s="392"/>
      <c r="S602" s="391"/>
      <c r="T602" s="391"/>
      <c r="U602" s="391"/>
      <c r="V602" s="391"/>
      <c r="W602" s="392"/>
      <c r="X602" s="391"/>
      <c r="Y602" s="391"/>
      <c r="Z602" s="391"/>
      <c r="AA602" s="391"/>
      <c r="AB602" s="392"/>
      <c r="AC602" s="391"/>
      <c r="AD602" s="391"/>
      <c r="AE602" s="391"/>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row>
    <row r="603" spans="1:58" ht="15.75" customHeight="1" x14ac:dyDescent="0.2">
      <c r="A603" s="189"/>
      <c r="B603" s="189"/>
      <c r="C603" s="55"/>
      <c r="D603" s="391"/>
      <c r="E603" s="391"/>
      <c r="F603" s="391"/>
      <c r="G603" s="391"/>
      <c r="H603" s="392"/>
      <c r="I603" s="391"/>
      <c r="J603" s="391"/>
      <c r="K603" s="391"/>
      <c r="L603" s="391"/>
      <c r="M603" s="392"/>
      <c r="N603" s="391"/>
      <c r="O603" s="391"/>
      <c r="P603" s="391"/>
      <c r="Q603" s="391"/>
      <c r="R603" s="392"/>
      <c r="S603" s="391"/>
      <c r="T603" s="391"/>
      <c r="U603" s="391"/>
      <c r="V603" s="391"/>
      <c r="W603" s="392"/>
      <c r="X603" s="391"/>
      <c r="Y603" s="391"/>
      <c r="Z603" s="391"/>
      <c r="AA603" s="391"/>
      <c r="AB603" s="392"/>
      <c r="AC603" s="391"/>
      <c r="AD603" s="391"/>
      <c r="AE603" s="391"/>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row>
    <row r="604" spans="1:58" ht="15.75" customHeight="1" x14ac:dyDescent="0.2">
      <c r="A604" s="189"/>
      <c r="B604" s="189"/>
      <c r="C604" s="55"/>
      <c r="D604" s="391"/>
      <c r="E604" s="391"/>
      <c r="F604" s="391"/>
      <c r="G604" s="391"/>
      <c r="H604" s="392"/>
      <c r="I604" s="391"/>
      <c r="J604" s="391"/>
      <c r="K604" s="391"/>
      <c r="L604" s="391"/>
      <c r="M604" s="392"/>
      <c r="N604" s="391"/>
      <c r="O604" s="391"/>
      <c r="P604" s="391"/>
      <c r="Q604" s="391"/>
      <c r="R604" s="392"/>
      <c r="S604" s="391"/>
      <c r="T604" s="391"/>
      <c r="U604" s="391"/>
      <c r="V604" s="391"/>
      <c r="W604" s="392"/>
      <c r="X604" s="391"/>
      <c r="Y604" s="391"/>
      <c r="Z604" s="391"/>
      <c r="AA604" s="391"/>
      <c r="AB604" s="392"/>
      <c r="AC604" s="391"/>
      <c r="AD604" s="391"/>
      <c r="AE604" s="391"/>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row>
    <row r="605" spans="1:58" ht="15.75" customHeight="1" x14ac:dyDescent="0.2">
      <c r="A605" s="189"/>
      <c r="B605" s="189"/>
      <c r="C605" s="55"/>
      <c r="D605" s="391"/>
      <c r="E605" s="391"/>
      <c r="F605" s="391"/>
      <c r="G605" s="391"/>
      <c r="H605" s="392"/>
      <c r="I605" s="391"/>
      <c r="J605" s="391"/>
      <c r="K605" s="391"/>
      <c r="L605" s="391"/>
      <c r="M605" s="392"/>
      <c r="N605" s="391"/>
      <c r="O605" s="391"/>
      <c r="P605" s="391"/>
      <c r="Q605" s="391"/>
      <c r="R605" s="392"/>
      <c r="S605" s="391"/>
      <c r="T605" s="391"/>
      <c r="U605" s="391"/>
      <c r="V605" s="391"/>
      <c r="W605" s="392"/>
      <c r="X605" s="391"/>
      <c r="Y605" s="391"/>
      <c r="Z605" s="391"/>
      <c r="AA605" s="391"/>
      <c r="AB605" s="392"/>
      <c r="AC605" s="391"/>
      <c r="AD605" s="391"/>
      <c r="AE605" s="391"/>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row>
    <row r="606" spans="1:58" ht="15.75" customHeight="1" x14ac:dyDescent="0.2">
      <c r="A606" s="189"/>
      <c r="B606" s="189"/>
      <c r="C606" s="55"/>
      <c r="D606" s="391"/>
      <c r="E606" s="391"/>
      <c r="F606" s="391"/>
      <c r="G606" s="391"/>
      <c r="H606" s="392"/>
      <c r="I606" s="391"/>
      <c r="J606" s="391"/>
      <c r="K606" s="391"/>
      <c r="L606" s="391"/>
      <c r="M606" s="392"/>
      <c r="N606" s="391"/>
      <c r="O606" s="391"/>
      <c r="P606" s="391"/>
      <c r="Q606" s="391"/>
      <c r="R606" s="392"/>
      <c r="S606" s="391"/>
      <c r="T606" s="391"/>
      <c r="U606" s="391"/>
      <c r="V606" s="391"/>
      <c r="W606" s="392"/>
      <c r="X606" s="391"/>
      <c r="Y606" s="391"/>
      <c r="Z606" s="391"/>
      <c r="AA606" s="391"/>
      <c r="AB606" s="392"/>
      <c r="AC606" s="391"/>
      <c r="AD606" s="391"/>
      <c r="AE606" s="391"/>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row>
    <row r="607" spans="1:58" ht="15.75" customHeight="1" x14ac:dyDescent="0.2">
      <c r="A607" s="189"/>
      <c r="B607" s="189"/>
      <c r="C607" s="55"/>
      <c r="D607" s="391"/>
      <c r="E607" s="391"/>
      <c r="F607" s="391"/>
      <c r="G607" s="391"/>
      <c r="H607" s="392"/>
      <c r="I607" s="391"/>
      <c r="J607" s="391"/>
      <c r="K607" s="391"/>
      <c r="L607" s="391"/>
      <c r="M607" s="392"/>
      <c r="N607" s="391"/>
      <c r="O607" s="391"/>
      <c r="P607" s="391"/>
      <c r="Q607" s="391"/>
      <c r="R607" s="392"/>
      <c r="S607" s="391"/>
      <c r="T607" s="391"/>
      <c r="U607" s="391"/>
      <c r="V607" s="391"/>
      <c r="W607" s="392"/>
      <c r="X607" s="391"/>
      <c r="Y607" s="391"/>
      <c r="Z607" s="391"/>
      <c r="AA607" s="391"/>
      <c r="AB607" s="392"/>
      <c r="AC607" s="391"/>
      <c r="AD607" s="391"/>
      <c r="AE607" s="391"/>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row>
    <row r="608" spans="1:58" ht="15.75" customHeight="1" x14ac:dyDescent="0.2">
      <c r="A608" s="189"/>
      <c r="B608" s="189"/>
      <c r="C608" s="55"/>
      <c r="D608" s="391"/>
      <c r="E608" s="391"/>
      <c r="F608" s="391"/>
      <c r="G608" s="391"/>
      <c r="H608" s="392"/>
      <c r="I608" s="391"/>
      <c r="J608" s="391"/>
      <c r="K608" s="391"/>
      <c r="L608" s="391"/>
      <c r="M608" s="392"/>
      <c r="N608" s="391"/>
      <c r="O608" s="391"/>
      <c r="P608" s="391"/>
      <c r="Q608" s="391"/>
      <c r="R608" s="392"/>
      <c r="S608" s="391"/>
      <c r="T608" s="391"/>
      <c r="U608" s="391"/>
      <c r="V608" s="391"/>
      <c r="W608" s="392"/>
      <c r="X608" s="391"/>
      <c r="Y608" s="391"/>
      <c r="Z608" s="391"/>
      <c r="AA608" s="391"/>
      <c r="AB608" s="392"/>
      <c r="AC608" s="391"/>
      <c r="AD608" s="391"/>
      <c r="AE608" s="391"/>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row>
    <row r="609" spans="1:58" ht="15.75" customHeight="1" x14ac:dyDescent="0.2">
      <c r="A609" s="189"/>
      <c r="B609" s="189"/>
      <c r="C609" s="55"/>
      <c r="D609" s="391"/>
      <c r="E609" s="391"/>
      <c r="F609" s="391"/>
      <c r="G609" s="391"/>
      <c r="H609" s="392"/>
      <c r="I609" s="391"/>
      <c r="J609" s="391"/>
      <c r="K609" s="391"/>
      <c r="L609" s="391"/>
      <c r="M609" s="392"/>
      <c r="N609" s="391"/>
      <c r="O609" s="391"/>
      <c r="P609" s="391"/>
      <c r="Q609" s="391"/>
      <c r="R609" s="392"/>
      <c r="S609" s="391"/>
      <c r="T609" s="391"/>
      <c r="U609" s="391"/>
      <c r="V609" s="391"/>
      <c r="W609" s="392"/>
      <c r="X609" s="391"/>
      <c r="Y609" s="391"/>
      <c r="Z609" s="391"/>
      <c r="AA609" s="391"/>
      <c r="AB609" s="392"/>
      <c r="AC609" s="391"/>
      <c r="AD609" s="391"/>
      <c r="AE609" s="391"/>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row>
    <row r="610" spans="1:58" ht="15.75" customHeight="1" x14ac:dyDescent="0.2">
      <c r="A610" s="189"/>
      <c r="B610" s="189"/>
      <c r="C610" s="55"/>
      <c r="D610" s="391"/>
      <c r="E610" s="391"/>
      <c r="F610" s="391"/>
      <c r="G610" s="391"/>
      <c r="H610" s="392"/>
      <c r="I610" s="391"/>
      <c r="J610" s="391"/>
      <c r="K610" s="391"/>
      <c r="L610" s="391"/>
      <c r="M610" s="392"/>
      <c r="N610" s="391"/>
      <c r="O610" s="391"/>
      <c r="P610" s="391"/>
      <c r="Q610" s="391"/>
      <c r="R610" s="392"/>
      <c r="S610" s="391"/>
      <c r="T610" s="391"/>
      <c r="U610" s="391"/>
      <c r="V610" s="391"/>
      <c r="W610" s="392"/>
      <c r="X610" s="391"/>
      <c r="Y610" s="391"/>
      <c r="Z610" s="391"/>
      <c r="AA610" s="391"/>
      <c r="AB610" s="392"/>
      <c r="AC610" s="391"/>
      <c r="AD610" s="391"/>
      <c r="AE610" s="391"/>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row>
    <row r="611" spans="1:58" ht="15.75" customHeight="1" x14ac:dyDescent="0.2">
      <c r="A611" s="189"/>
      <c r="B611" s="189"/>
      <c r="C611" s="55"/>
      <c r="D611" s="391"/>
      <c r="E611" s="391"/>
      <c r="F611" s="391"/>
      <c r="G611" s="391"/>
      <c r="H611" s="392"/>
      <c r="I611" s="391"/>
      <c r="J611" s="391"/>
      <c r="K611" s="391"/>
      <c r="L611" s="391"/>
      <c r="M611" s="392"/>
      <c r="N611" s="391"/>
      <c r="O611" s="391"/>
      <c r="P611" s="391"/>
      <c r="Q611" s="391"/>
      <c r="R611" s="392"/>
      <c r="S611" s="391"/>
      <c r="T611" s="391"/>
      <c r="U611" s="391"/>
      <c r="V611" s="391"/>
      <c r="W611" s="392"/>
      <c r="X611" s="391"/>
      <c r="Y611" s="391"/>
      <c r="Z611" s="391"/>
      <c r="AA611" s="391"/>
      <c r="AB611" s="392"/>
      <c r="AC611" s="391"/>
      <c r="AD611" s="391"/>
      <c r="AE611" s="391"/>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row>
    <row r="612" spans="1:58" ht="15.75" customHeight="1" x14ac:dyDescent="0.2">
      <c r="A612" s="189"/>
      <c r="B612" s="189"/>
      <c r="C612" s="55"/>
      <c r="D612" s="391"/>
      <c r="E612" s="391"/>
      <c r="F612" s="391"/>
      <c r="G612" s="391"/>
      <c r="H612" s="392"/>
      <c r="I612" s="391"/>
      <c r="J612" s="391"/>
      <c r="K612" s="391"/>
      <c r="L612" s="391"/>
      <c r="M612" s="392"/>
      <c r="N612" s="391"/>
      <c r="O612" s="391"/>
      <c r="P612" s="391"/>
      <c r="Q612" s="391"/>
      <c r="R612" s="392"/>
      <c r="S612" s="391"/>
      <c r="T612" s="391"/>
      <c r="U612" s="391"/>
      <c r="V612" s="391"/>
      <c r="W612" s="392"/>
      <c r="X612" s="391"/>
      <c r="Y612" s="391"/>
      <c r="Z612" s="391"/>
      <c r="AA612" s="391"/>
      <c r="AB612" s="392"/>
      <c r="AC612" s="391"/>
      <c r="AD612" s="391"/>
      <c r="AE612" s="391"/>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row>
    <row r="613" spans="1:58" ht="15.75" customHeight="1" x14ac:dyDescent="0.2">
      <c r="A613" s="189"/>
      <c r="B613" s="189"/>
      <c r="C613" s="55"/>
      <c r="D613" s="391"/>
      <c r="E613" s="391"/>
      <c r="F613" s="391"/>
      <c r="G613" s="391"/>
      <c r="H613" s="392"/>
      <c r="I613" s="391"/>
      <c r="J613" s="391"/>
      <c r="K613" s="391"/>
      <c r="L613" s="391"/>
      <c r="M613" s="392"/>
      <c r="N613" s="391"/>
      <c r="O613" s="391"/>
      <c r="P613" s="391"/>
      <c r="Q613" s="391"/>
      <c r="R613" s="392"/>
      <c r="S613" s="391"/>
      <c r="T613" s="391"/>
      <c r="U613" s="391"/>
      <c r="V613" s="391"/>
      <c r="W613" s="392"/>
      <c r="X613" s="391"/>
      <c r="Y613" s="391"/>
      <c r="Z613" s="391"/>
      <c r="AA613" s="391"/>
      <c r="AB613" s="392"/>
      <c r="AC613" s="391"/>
      <c r="AD613" s="391"/>
      <c r="AE613" s="391"/>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row>
    <row r="614" spans="1:58" ht="15.75" customHeight="1" x14ac:dyDescent="0.2">
      <c r="A614" s="189"/>
      <c r="B614" s="189"/>
      <c r="C614" s="55"/>
      <c r="D614" s="391"/>
      <c r="E614" s="391"/>
      <c r="F614" s="391"/>
      <c r="G614" s="391"/>
      <c r="H614" s="392"/>
      <c r="I614" s="391"/>
      <c r="J614" s="391"/>
      <c r="K614" s="391"/>
      <c r="L614" s="391"/>
      <c r="M614" s="392"/>
      <c r="N614" s="391"/>
      <c r="O614" s="391"/>
      <c r="P614" s="391"/>
      <c r="Q614" s="391"/>
      <c r="R614" s="392"/>
      <c r="S614" s="391"/>
      <c r="T614" s="391"/>
      <c r="U614" s="391"/>
      <c r="V614" s="391"/>
      <c r="W614" s="392"/>
      <c r="X614" s="391"/>
      <c r="Y614" s="391"/>
      <c r="Z614" s="391"/>
      <c r="AA614" s="391"/>
      <c r="AB614" s="392"/>
      <c r="AC614" s="391"/>
      <c r="AD614" s="391"/>
      <c r="AE614" s="391"/>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row>
    <row r="615" spans="1:58" ht="15.75" customHeight="1" x14ac:dyDescent="0.2">
      <c r="A615" s="189"/>
      <c r="B615" s="189"/>
      <c r="C615" s="55"/>
      <c r="D615" s="391"/>
      <c r="E615" s="391"/>
      <c r="F615" s="391"/>
      <c r="G615" s="391"/>
      <c r="H615" s="392"/>
      <c r="I615" s="391"/>
      <c r="J615" s="391"/>
      <c r="K615" s="391"/>
      <c r="L615" s="391"/>
      <c r="M615" s="392"/>
      <c r="N615" s="391"/>
      <c r="O615" s="391"/>
      <c r="P615" s="391"/>
      <c r="Q615" s="391"/>
      <c r="R615" s="392"/>
      <c r="S615" s="391"/>
      <c r="T615" s="391"/>
      <c r="U615" s="391"/>
      <c r="V615" s="391"/>
      <c r="W615" s="392"/>
      <c r="X615" s="391"/>
      <c r="Y615" s="391"/>
      <c r="Z615" s="391"/>
      <c r="AA615" s="391"/>
      <c r="AB615" s="392"/>
      <c r="AC615" s="391"/>
      <c r="AD615" s="391"/>
      <c r="AE615" s="391"/>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row>
    <row r="616" spans="1:58" ht="15.75" customHeight="1" x14ac:dyDescent="0.2">
      <c r="A616" s="189"/>
      <c r="B616" s="189"/>
      <c r="C616" s="55"/>
      <c r="D616" s="391"/>
      <c r="E616" s="391"/>
      <c r="F616" s="391"/>
      <c r="G616" s="391"/>
      <c r="H616" s="392"/>
      <c r="I616" s="391"/>
      <c r="J616" s="391"/>
      <c r="K616" s="391"/>
      <c r="L616" s="391"/>
      <c r="M616" s="392"/>
      <c r="N616" s="391"/>
      <c r="O616" s="391"/>
      <c r="P616" s="391"/>
      <c r="Q616" s="391"/>
      <c r="R616" s="392"/>
      <c r="S616" s="391"/>
      <c r="T616" s="391"/>
      <c r="U616" s="391"/>
      <c r="V616" s="391"/>
      <c r="W616" s="392"/>
      <c r="X616" s="391"/>
      <c r="Y616" s="391"/>
      <c r="Z616" s="391"/>
      <c r="AA616" s="391"/>
      <c r="AB616" s="392"/>
      <c r="AC616" s="391"/>
      <c r="AD616" s="391"/>
      <c r="AE616" s="391"/>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row>
    <row r="617" spans="1:58" ht="15.75" customHeight="1" x14ac:dyDescent="0.2">
      <c r="A617" s="189"/>
      <c r="B617" s="189"/>
      <c r="C617" s="55"/>
      <c r="D617" s="391"/>
      <c r="E617" s="391"/>
      <c r="F617" s="391"/>
      <c r="G617" s="391"/>
      <c r="H617" s="392"/>
      <c r="I617" s="391"/>
      <c r="J617" s="391"/>
      <c r="K617" s="391"/>
      <c r="L617" s="391"/>
      <c r="M617" s="392"/>
      <c r="N617" s="391"/>
      <c r="O617" s="391"/>
      <c r="P617" s="391"/>
      <c r="Q617" s="391"/>
      <c r="R617" s="392"/>
      <c r="S617" s="391"/>
      <c r="T617" s="391"/>
      <c r="U617" s="391"/>
      <c r="V617" s="391"/>
      <c r="W617" s="392"/>
      <c r="X617" s="391"/>
      <c r="Y617" s="391"/>
      <c r="Z617" s="391"/>
      <c r="AA617" s="391"/>
      <c r="AB617" s="392"/>
      <c r="AC617" s="391"/>
      <c r="AD617" s="391"/>
      <c r="AE617" s="391"/>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row>
    <row r="618" spans="1:58" ht="15.75" customHeight="1" x14ac:dyDescent="0.2">
      <c r="A618" s="189"/>
      <c r="B618" s="189"/>
      <c r="C618" s="55"/>
      <c r="D618" s="391"/>
      <c r="E618" s="391"/>
      <c r="F618" s="391"/>
      <c r="G618" s="391"/>
      <c r="H618" s="392"/>
      <c r="I618" s="391"/>
      <c r="J618" s="391"/>
      <c r="K618" s="391"/>
      <c r="L618" s="391"/>
      <c r="M618" s="392"/>
      <c r="N618" s="391"/>
      <c r="O618" s="391"/>
      <c r="P618" s="391"/>
      <c r="Q618" s="391"/>
      <c r="R618" s="392"/>
      <c r="S618" s="391"/>
      <c r="T618" s="391"/>
      <c r="U618" s="391"/>
      <c r="V618" s="391"/>
      <c r="W618" s="392"/>
      <c r="X618" s="391"/>
      <c r="Y618" s="391"/>
      <c r="Z618" s="391"/>
      <c r="AA618" s="391"/>
      <c r="AB618" s="392"/>
      <c r="AC618" s="391"/>
      <c r="AD618" s="391"/>
      <c r="AE618" s="391"/>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row>
    <row r="619" spans="1:58" ht="15.75" customHeight="1" x14ac:dyDescent="0.2">
      <c r="A619" s="189"/>
      <c r="B619" s="189"/>
      <c r="C619" s="55"/>
      <c r="D619" s="391"/>
      <c r="E619" s="391"/>
      <c r="F619" s="391"/>
      <c r="G619" s="391"/>
      <c r="H619" s="392"/>
      <c r="I619" s="391"/>
      <c r="J619" s="391"/>
      <c r="K619" s="391"/>
      <c r="L619" s="391"/>
      <c r="M619" s="392"/>
      <c r="N619" s="391"/>
      <c r="O619" s="391"/>
      <c r="P619" s="391"/>
      <c r="Q619" s="391"/>
      <c r="R619" s="392"/>
      <c r="S619" s="391"/>
      <c r="T619" s="391"/>
      <c r="U619" s="391"/>
      <c r="V619" s="391"/>
      <c r="W619" s="392"/>
      <c r="X619" s="391"/>
      <c r="Y619" s="391"/>
      <c r="Z619" s="391"/>
      <c r="AA619" s="391"/>
      <c r="AB619" s="392"/>
      <c r="AC619" s="391"/>
      <c r="AD619" s="391"/>
      <c r="AE619" s="391"/>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row>
    <row r="620" spans="1:58" ht="15.75" customHeight="1" x14ac:dyDescent="0.2">
      <c r="A620" s="189"/>
      <c r="B620" s="189"/>
      <c r="C620" s="55"/>
      <c r="D620" s="391"/>
      <c r="E620" s="391"/>
      <c r="F620" s="391"/>
      <c r="G620" s="391"/>
      <c r="H620" s="392"/>
      <c r="I620" s="391"/>
      <c r="J620" s="391"/>
      <c r="K620" s="391"/>
      <c r="L620" s="391"/>
      <c r="M620" s="392"/>
      <c r="N620" s="391"/>
      <c r="O620" s="391"/>
      <c r="P620" s="391"/>
      <c r="Q620" s="391"/>
      <c r="R620" s="392"/>
      <c r="S620" s="391"/>
      <c r="T620" s="391"/>
      <c r="U620" s="391"/>
      <c r="V620" s="391"/>
      <c r="W620" s="392"/>
      <c r="X620" s="391"/>
      <c r="Y620" s="391"/>
      <c r="Z620" s="391"/>
      <c r="AA620" s="391"/>
      <c r="AB620" s="392"/>
      <c r="AC620" s="391"/>
      <c r="AD620" s="391"/>
      <c r="AE620" s="391"/>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row>
    <row r="621" spans="1:58" ht="15.75" customHeight="1" x14ac:dyDescent="0.2">
      <c r="A621" s="189"/>
      <c r="B621" s="189"/>
      <c r="C621" s="55"/>
      <c r="D621" s="391"/>
      <c r="E621" s="391"/>
      <c r="F621" s="391"/>
      <c r="G621" s="391"/>
      <c r="H621" s="392"/>
      <c r="I621" s="391"/>
      <c r="J621" s="391"/>
      <c r="K621" s="391"/>
      <c r="L621" s="391"/>
      <c r="M621" s="392"/>
      <c r="N621" s="391"/>
      <c r="O621" s="391"/>
      <c r="P621" s="391"/>
      <c r="Q621" s="391"/>
      <c r="R621" s="392"/>
      <c r="S621" s="391"/>
      <c r="T621" s="391"/>
      <c r="U621" s="391"/>
      <c r="V621" s="391"/>
      <c r="W621" s="392"/>
      <c r="X621" s="391"/>
      <c r="Y621" s="391"/>
      <c r="Z621" s="391"/>
      <c r="AA621" s="391"/>
      <c r="AB621" s="392"/>
      <c r="AC621" s="391"/>
      <c r="AD621" s="391"/>
      <c r="AE621" s="391"/>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row>
    <row r="622" spans="1:58" ht="15.75" customHeight="1" x14ac:dyDescent="0.2">
      <c r="A622" s="189"/>
      <c r="B622" s="189"/>
      <c r="C622" s="55"/>
      <c r="D622" s="391"/>
      <c r="E622" s="391"/>
      <c r="F622" s="391"/>
      <c r="G622" s="391"/>
      <c r="H622" s="392"/>
      <c r="I622" s="391"/>
      <c r="J622" s="391"/>
      <c r="K622" s="391"/>
      <c r="L622" s="391"/>
      <c r="M622" s="392"/>
      <c r="N622" s="391"/>
      <c r="O622" s="391"/>
      <c r="P622" s="391"/>
      <c r="Q622" s="391"/>
      <c r="R622" s="392"/>
      <c r="S622" s="391"/>
      <c r="T622" s="391"/>
      <c r="U622" s="391"/>
      <c r="V622" s="391"/>
      <c r="W622" s="392"/>
      <c r="X622" s="391"/>
      <c r="Y622" s="391"/>
      <c r="Z622" s="391"/>
      <c r="AA622" s="391"/>
      <c r="AB622" s="392"/>
      <c r="AC622" s="391"/>
      <c r="AD622" s="391"/>
      <c r="AE622" s="391"/>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row>
    <row r="623" spans="1:58" ht="15.75" customHeight="1" x14ac:dyDescent="0.2">
      <c r="A623" s="189"/>
      <c r="B623" s="189"/>
      <c r="C623" s="55"/>
      <c r="D623" s="391"/>
      <c r="E623" s="391"/>
      <c r="F623" s="391"/>
      <c r="G623" s="391"/>
      <c r="H623" s="392"/>
      <c r="I623" s="391"/>
      <c r="J623" s="391"/>
      <c r="K623" s="391"/>
      <c r="L623" s="391"/>
      <c r="M623" s="392"/>
      <c r="N623" s="391"/>
      <c r="O623" s="391"/>
      <c r="P623" s="391"/>
      <c r="Q623" s="391"/>
      <c r="R623" s="392"/>
      <c r="S623" s="391"/>
      <c r="T623" s="391"/>
      <c r="U623" s="391"/>
      <c r="V623" s="391"/>
      <c r="W623" s="392"/>
      <c r="X623" s="391"/>
      <c r="Y623" s="391"/>
      <c r="Z623" s="391"/>
      <c r="AA623" s="391"/>
      <c r="AB623" s="392"/>
      <c r="AC623" s="391"/>
      <c r="AD623" s="391"/>
      <c r="AE623" s="391"/>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row>
    <row r="624" spans="1:58" ht="15.75" customHeight="1" x14ac:dyDescent="0.2">
      <c r="A624" s="189"/>
      <c r="B624" s="189"/>
      <c r="C624" s="55"/>
      <c r="D624" s="391"/>
      <c r="E624" s="391"/>
      <c r="F624" s="391"/>
      <c r="G624" s="391"/>
      <c r="H624" s="392"/>
      <c r="I624" s="391"/>
      <c r="J624" s="391"/>
      <c r="K624" s="391"/>
      <c r="L624" s="391"/>
      <c r="M624" s="392"/>
      <c r="N624" s="391"/>
      <c r="O624" s="391"/>
      <c r="P624" s="391"/>
      <c r="Q624" s="391"/>
      <c r="R624" s="392"/>
      <c r="S624" s="391"/>
      <c r="T624" s="391"/>
      <c r="U624" s="391"/>
      <c r="V624" s="391"/>
      <c r="W624" s="392"/>
      <c r="X624" s="391"/>
      <c r="Y624" s="391"/>
      <c r="Z624" s="391"/>
      <c r="AA624" s="391"/>
      <c r="AB624" s="392"/>
      <c r="AC624" s="391"/>
      <c r="AD624" s="391"/>
      <c r="AE624" s="391"/>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row>
    <row r="625" spans="1:58" ht="15.75" customHeight="1" x14ac:dyDescent="0.2">
      <c r="A625" s="189"/>
      <c r="B625" s="189"/>
      <c r="C625" s="55"/>
      <c r="D625" s="391"/>
      <c r="E625" s="391"/>
      <c r="F625" s="391"/>
      <c r="G625" s="391"/>
      <c r="H625" s="392"/>
      <c r="I625" s="391"/>
      <c r="J625" s="391"/>
      <c r="K625" s="391"/>
      <c r="L625" s="391"/>
      <c r="M625" s="392"/>
      <c r="N625" s="391"/>
      <c r="O625" s="391"/>
      <c r="P625" s="391"/>
      <c r="Q625" s="391"/>
      <c r="R625" s="392"/>
      <c r="S625" s="391"/>
      <c r="T625" s="391"/>
      <c r="U625" s="391"/>
      <c r="V625" s="391"/>
      <c r="W625" s="392"/>
      <c r="X625" s="391"/>
      <c r="Y625" s="391"/>
      <c r="Z625" s="391"/>
      <c r="AA625" s="391"/>
      <c r="AB625" s="392"/>
      <c r="AC625" s="391"/>
      <c r="AD625" s="391"/>
      <c r="AE625" s="391"/>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row>
    <row r="626" spans="1:58" ht="15.75" customHeight="1" x14ac:dyDescent="0.2">
      <c r="A626" s="189"/>
      <c r="B626" s="189"/>
      <c r="C626" s="55"/>
      <c r="D626" s="391"/>
      <c r="E626" s="391"/>
      <c r="F626" s="391"/>
      <c r="G626" s="391"/>
      <c r="H626" s="392"/>
      <c r="I626" s="391"/>
      <c r="J626" s="391"/>
      <c r="K626" s="391"/>
      <c r="L626" s="391"/>
      <c r="M626" s="392"/>
      <c r="N626" s="391"/>
      <c r="O626" s="391"/>
      <c r="P626" s="391"/>
      <c r="Q626" s="391"/>
      <c r="R626" s="392"/>
      <c r="S626" s="391"/>
      <c r="T626" s="391"/>
      <c r="U626" s="391"/>
      <c r="V626" s="391"/>
      <c r="W626" s="392"/>
      <c r="X626" s="391"/>
      <c r="Y626" s="391"/>
      <c r="Z626" s="391"/>
      <c r="AA626" s="391"/>
      <c r="AB626" s="392"/>
      <c r="AC626" s="391"/>
      <c r="AD626" s="391"/>
      <c r="AE626" s="391"/>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row>
    <row r="627" spans="1:58" ht="15.75" customHeight="1" x14ac:dyDescent="0.2">
      <c r="A627" s="189"/>
      <c r="B627" s="189"/>
      <c r="C627" s="55"/>
      <c r="D627" s="391"/>
      <c r="E627" s="391"/>
      <c r="F627" s="391"/>
      <c r="G627" s="391"/>
      <c r="H627" s="392"/>
      <c r="I627" s="391"/>
      <c r="J627" s="391"/>
      <c r="K627" s="391"/>
      <c r="L627" s="391"/>
      <c r="M627" s="392"/>
      <c r="N627" s="391"/>
      <c r="O627" s="391"/>
      <c r="P627" s="391"/>
      <c r="Q627" s="391"/>
      <c r="R627" s="392"/>
      <c r="S627" s="391"/>
      <c r="T627" s="391"/>
      <c r="U627" s="391"/>
      <c r="V627" s="391"/>
      <c r="W627" s="392"/>
      <c r="X627" s="391"/>
      <c r="Y627" s="391"/>
      <c r="Z627" s="391"/>
      <c r="AA627" s="391"/>
      <c r="AB627" s="392"/>
      <c r="AC627" s="391"/>
      <c r="AD627" s="391"/>
      <c r="AE627" s="391"/>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row>
    <row r="628" spans="1:58" ht="15.75" customHeight="1" x14ac:dyDescent="0.2">
      <c r="A628" s="189"/>
      <c r="B628" s="189"/>
      <c r="C628" s="55"/>
      <c r="D628" s="391"/>
      <c r="E628" s="391"/>
      <c r="F628" s="391"/>
      <c r="G628" s="391"/>
      <c r="H628" s="392"/>
      <c r="I628" s="391"/>
      <c r="J628" s="391"/>
      <c r="K628" s="391"/>
      <c r="L628" s="391"/>
      <c r="M628" s="392"/>
      <c r="N628" s="391"/>
      <c r="O628" s="391"/>
      <c r="P628" s="391"/>
      <c r="Q628" s="391"/>
      <c r="R628" s="392"/>
      <c r="S628" s="391"/>
      <c r="T628" s="391"/>
      <c r="U628" s="391"/>
      <c r="V628" s="391"/>
      <c r="W628" s="392"/>
      <c r="X628" s="391"/>
      <c r="Y628" s="391"/>
      <c r="Z628" s="391"/>
      <c r="AA628" s="391"/>
      <c r="AB628" s="392"/>
      <c r="AC628" s="391"/>
      <c r="AD628" s="391"/>
      <c r="AE628" s="391"/>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row>
    <row r="629" spans="1:58" ht="15.75" customHeight="1" x14ac:dyDescent="0.2">
      <c r="A629" s="189"/>
      <c r="B629" s="189"/>
      <c r="C629" s="55"/>
      <c r="D629" s="391"/>
      <c r="E629" s="391"/>
      <c r="F629" s="391"/>
      <c r="G629" s="391"/>
      <c r="H629" s="392"/>
      <c r="I629" s="391"/>
      <c r="J629" s="391"/>
      <c r="K629" s="391"/>
      <c r="L629" s="391"/>
      <c r="M629" s="392"/>
      <c r="N629" s="391"/>
      <c r="O629" s="391"/>
      <c r="P629" s="391"/>
      <c r="Q629" s="391"/>
      <c r="R629" s="392"/>
      <c r="S629" s="391"/>
      <c r="T629" s="391"/>
      <c r="U629" s="391"/>
      <c r="V629" s="391"/>
      <c r="W629" s="392"/>
      <c r="X629" s="391"/>
      <c r="Y629" s="391"/>
      <c r="Z629" s="391"/>
      <c r="AA629" s="391"/>
      <c r="AB629" s="392"/>
      <c r="AC629" s="391"/>
      <c r="AD629" s="391"/>
      <c r="AE629" s="391"/>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row>
    <row r="630" spans="1:58" ht="15.75" customHeight="1" x14ac:dyDescent="0.2">
      <c r="A630" s="189"/>
      <c r="B630" s="189"/>
      <c r="C630" s="55"/>
      <c r="D630" s="391"/>
      <c r="E630" s="391"/>
      <c r="F630" s="391"/>
      <c r="G630" s="391"/>
      <c r="H630" s="392"/>
      <c r="I630" s="391"/>
      <c r="J630" s="391"/>
      <c r="K630" s="391"/>
      <c r="L630" s="391"/>
      <c r="M630" s="392"/>
      <c r="N630" s="391"/>
      <c r="O630" s="391"/>
      <c r="P630" s="391"/>
      <c r="Q630" s="391"/>
      <c r="R630" s="392"/>
      <c r="S630" s="391"/>
      <c r="T630" s="391"/>
      <c r="U630" s="391"/>
      <c r="V630" s="391"/>
      <c r="W630" s="392"/>
      <c r="X630" s="391"/>
      <c r="Y630" s="391"/>
      <c r="Z630" s="391"/>
      <c r="AA630" s="391"/>
      <c r="AB630" s="392"/>
      <c r="AC630" s="391"/>
      <c r="AD630" s="391"/>
      <c r="AE630" s="391"/>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row>
    <row r="631" spans="1:58" ht="15.75" customHeight="1" x14ac:dyDescent="0.2">
      <c r="A631" s="189"/>
      <c r="B631" s="189"/>
      <c r="C631" s="55"/>
      <c r="D631" s="391"/>
      <c r="E631" s="391"/>
      <c r="F631" s="391"/>
      <c r="G631" s="391"/>
      <c r="H631" s="392"/>
      <c r="I631" s="391"/>
      <c r="J631" s="391"/>
      <c r="K631" s="391"/>
      <c r="L631" s="391"/>
      <c r="M631" s="392"/>
      <c r="N631" s="391"/>
      <c r="O631" s="391"/>
      <c r="P631" s="391"/>
      <c r="Q631" s="391"/>
      <c r="R631" s="392"/>
      <c r="S631" s="391"/>
      <c r="T631" s="391"/>
      <c r="U631" s="391"/>
      <c r="V631" s="391"/>
      <c r="W631" s="392"/>
      <c r="X631" s="391"/>
      <c r="Y631" s="391"/>
      <c r="Z631" s="391"/>
      <c r="AA631" s="391"/>
      <c r="AB631" s="392"/>
      <c r="AC631" s="391"/>
      <c r="AD631" s="391"/>
      <c r="AE631" s="391"/>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row>
    <row r="632" spans="1:58" ht="15.75" customHeight="1" x14ac:dyDescent="0.2">
      <c r="A632" s="189"/>
      <c r="B632" s="189"/>
      <c r="C632" s="55"/>
      <c r="D632" s="391"/>
      <c r="E632" s="391"/>
      <c r="F632" s="391"/>
      <c r="G632" s="391"/>
      <c r="H632" s="392"/>
      <c r="I632" s="391"/>
      <c r="J632" s="391"/>
      <c r="K632" s="391"/>
      <c r="L632" s="391"/>
      <c r="M632" s="392"/>
      <c r="N632" s="391"/>
      <c r="O632" s="391"/>
      <c r="P632" s="391"/>
      <c r="Q632" s="391"/>
      <c r="R632" s="392"/>
      <c r="S632" s="391"/>
      <c r="T632" s="391"/>
      <c r="U632" s="391"/>
      <c r="V632" s="391"/>
      <c r="W632" s="392"/>
      <c r="X632" s="391"/>
      <c r="Y632" s="391"/>
      <c r="Z632" s="391"/>
      <c r="AA632" s="391"/>
      <c r="AB632" s="392"/>
      <c r="AC632" s="391"/>
      <c r="AD632" s="391"/>
      <c r="AE632" s="391"/>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row>
    <row r="633" spans="1:58" ht="15.75" customHeight="1" x14ac:dyDescent="0.2">
      <c r="A633" s="189"/>
      <c r="B633" s="189"/>
      <c r="C633" s="55"/>
      <c r="D633" s="391"/>
      <c r="E633" s="391"/>
      <c r="F633" s="391"/>
      <c r="G633" s="391"/>
      <c r="H633" s="392"/>
      <c r="I633" s="391"/>
      <c r="J633" s="391"/>
      <c r="K633" s="391"/>
      <c r="L633" s="391"/>
      <c r="M633" s="392"/>
      <c r="N633" s="391"/>
      <c r="O633" s="391"/>
      <c r="P633" s="391"/>
      <c r="Q633" s="391"/>
      <c r="R633" s="392"/>
      <c r="S633" s="391"/>
      <c r="T633" s="391"/>
      <c r="U633" s="391"/>
      <c r="V633" s="391"/>
      <c r="W633" s="392"/>
      <c r="X633" s="391"/>
      <c r="Y633" s="391"/>
      <c r="Z633" s="391"/>
      <c r="AA633" s="391"/>
      <c r="AB633" s="392"/>
      <c r="AC633" s="391"/>
      <c r="AD633" s="391"/>
      <c r="AE633" s="391"/>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row>
    <row r="634" spans="1:58" ht="15.75" customHeight="1" x14ac:dyDescent="0.2">
      <c r="A634" s="189"/>
      <c r="B634" s="189"/>
      <c r="C634" s="55"/>
      <c r="D634" s="391"/>
      <c r="E634" s="391"/>
      <c r="F634" s="391"/>
      <c r="G634" s="391"/>
      <c r="H634" s="392"/>
      <c r="I634" s="391"/>
      <c r="J634" s="391"/>
      <c r="K634" s="391"/>
      <c r="L634" s="391"/>
      <c r="M634" s="392"/>
      <c r="N634" s="391"/>
      <c r="O634" s="391"/>
      <c r="P634" s="391"/>
      <c r="Q634" s="391"/>
      <c r="R634" s="392"/>
      <c r="S634" s="391"/>
      <c r="T634" s="391"/>
      <c r="U634" s="391"/>
      <c r="V634" s="391"/>
      <c r="W634" s="392"/>
      <c r="X634" s="391"/>
      <c r="Y634" s="391"/>
      <c r="Z634" s="391"/>
      <c r="AA634" s="391"/>
      <c r="AB634" s="392"/>
      <c r="AC634" s="391"/>
      <c r="AD634" s="391"/>
      <c r="AE634" s="391"/>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row>
    <row r="635" spans="1:58" ht="15.75" customHeight="1" x14ac:dyDescent="0.2">
      <c r="A635" s="189"/>
      <c r="B635" s="189"/>
      <c r="C635" s="55"/>
      <c r="D635" s="391"/>
      <c r="E635" s="391"/>
      <c r="F635" s="391"/>
      <c r="G635" s="391"/>
      <c r="H635" s="392"/>
      <c r="I635" s="391"/>
      <c r="J635" s="391"/>
      <c r="K635" s="391"/>
      <c r="L635" s="391"/>
      <c r="M635" s="392"/>
      <c r="N635" s="391"/>
      <c r="O635" s="391"/>
      <c r="P635" s="391"/>
      <c r="Q635" s="391"/>
      <c r="R635" s="392"/>
      <c r="S635" s="391"/>
      <c r="T635" s="391"/>
      <c r="U635" s="391"/>
      <c r="V635" s="391"/>
      <c r="W635" s="392"/>
      <c r="X635" s="391"/>
      <c r="Y635" s="391"/>
      <c r="Z635" s="391"/>
      <c r="AA635" s="391"/>
      <c r="AB635" s="392"/>
      <c r="AC635" s="391"/>
      <c r="AD635" s="391"/>
      <c r="AE635" s="391"/>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row>
    <row r="636" spans="1:58" ht="15.75" customHeight="1" x14ac:dyDescent="0.2">
      <c r="A636" s="189"/>
      <c r="B636" s="189"/>
      <c r="C636" s="55"/>
      <c r="D636" s="391"/>
      <c r="E636" s="391"/>
      <c r="F636" s="391"/>
      <c r="G636" s="391"/>
      <c r="H636" s="392"/>
      <c r="I636" s="391"/>
      <c r="J636" s="391"/>
      <c r="K636" s="391"/>
      <c r="L636" s="391"/>
      <c r="M636" s="392"/>
      <c r="N636" s="391"/>
      <c r="O636" s="391"/>
      <c r="P636" s="391"/>
      <c r="Q636" s="391"/>
      <c r="R636" s="392"/>
      <c r="S636" s="391"/>
      <c r="T636" s="391"/>
      <c r="U636" s="391"/>
      <c r="V636" s="391"/>
      <c r="W636" s="392"/>
      <c r="X636" s="391"/>
      <c r="Y636" s="391"/>
      <c r="Z636" s="391"/>
      <c r="AA636" s="391"/>
      <c r="AB636" s="392"/>
      <c r="AC636" s="391"/>
      <c r="AD636" s="391"/>
      <c r="AE636" s="391"/>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row>
    <row r="637" spans="1:58" ht="15.75" customHeight="1" x14ac:dyDescent="0.2">
      <c r="A637" s="189"/>
      <c r="B637" s="189"/>
      <c r="C637" s="55"/>
      <c r="D637" s="391"/>
      <c r="E637" s="391"/>
      <c r="F637" s="391"/>
      <c r="G637" s="391"/>
      <c r="H637" s="392"/>
      <c r="I637" s="391"/>
      <c r="J637" s="391"/>
      <c r="K637" s="391"/>
      <c r="L637" s="391"/>
      <c r="M637" s="392"/>
      <c r="N637" s="391"/>
      <c r="O637" s="391"/>
      <c r="P637" s="391"/>
      <c r="Q637" s="391"/>
      <c r="R637" s="392"/>
      <c r="S637" s="391"/>
      <c r="T637" s="391"/>
      <c r="U637" s="391"/>
      <c r="V637" s="391"/>
      <c r="W637" s="392"/>
      <c r="X637" s="391"/>
      <c r="Y637" s="391"/>
      <c r="Z637" s="391"/>
      <c r="AA637" s="391"/>
      <c r="AB637" s="392"/>
      <c r="AC637" s="391"/>
      <c r="AD637" s="391"/>
      <c r="AE637" s="391"/>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row>
    <row r="638" spans="1:58" ht="15.75" customHeight="1" x14ac:dyDescent="0.2">
      <c r="A638" s="189"/>
      <c r="B638" s="189"/>
      <c r="C638" s="55"/>
      <c r="D638" s="391"/>
      <c r="E638" s="391"/>
      <c r="F638" s="391"/>
      <c r="G638" s="391"/>
      <c r="H638" s="392"/>
      <c r="I638" s="391"/>
      <c r="J638" s="391"/>
      <c r="K638" s="391"/>
      <c r="L638" s="391"/>
      <c r="M638" s="392"/>
      <c r="N638" s="391"/>
      <c r="O638" s="391"/>
      <c r="P638" s="391"/>
      <c r="Q638" s="391"/>
      <c r="R638" s="392"/>
      <c r="S638" s="391"/>
      <c r="T638" s="391"/>
      <c r="U638" s="391"/>
      <c r="V638" s="391"/>
      <c r="W638" s="392"/>
      <c r="X638" s="391"/>
      <c r="Y638" s="391"/>
      <c r="Z638" s="391"/>
      <c r="AA638" s="391"/>
      <c r="AB638" s="392"/>
      <c r="AC638" s="391"/>
      <c r="AD638" s="391"/>
      <c r="AE638" s="391"/>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row>
    <row r="639" spans="1:58" ht="15.75" customHeight="1" x14ac:dyDescent="0.2">
      <c r="A639" s="189"/>
      <c r="B639" s="189"/>
      <c r="C639" s="55"/>
      <c r="D639" s="391"/>
      <c r="E639" s="391"/>
      <c r="F639" s="391"/>
      <c r="G639" s="391"/>
      <c r="H639" s="392"/>
      <c r="I639" s="391"/>
      <c r="J639" s="391"/>
      <c r="K639" s="391"/>
      <c r="L639" s="391"/>
      <c r="M639" s="392"/>
      <c r="N639" s="391"/>
      <c r="O639" s="391"/>
      <c r="P639" s="391"/>
      <c r="Q639" s="391"/>
      <c r="R639" s="392"/>
      <c r="S639" s="391"/>
      <c r="T639" s="391"/>
      <c r="U639" s="391"/>
      <c r="V639" s="391"/>
      <c r="W639" s="392"/>
      <c r="X639" s="391"/>
      <c r="Y639" s="391"/>
      <c r="Z639" s="391"/>
      <c r="AA639" s="391"/>
      <c r="AB639" s="392"/>
      <c r="AC639" s="391"/>
      <c r="AD639" s="391"/>
      <c r="AE639" s="391"/>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row>
    <row r="640" spans="1:58" ht="15.75" customHeight="1" x14ac:dyDescent="0.2">
      <c r="A640" s="189"/>
      <c r="B640" s="189"/>
      <c r="C640" s="55"/>
      <c r="D640" s="391"/>
      <c r="E640" s="391"/>
      <c r="F640" s="391"/>
      <c r="G640" s="391"/>
      <c r="H640" s="392"/>
      <c r="I640" s="391"/>
      <c r="J640" s="391"/>
      <c r="K640" s="391"/>
      <c r="L640" s="391"/>
      <c r="M640" s="392"/>
      <c r="N640" s="391"/>
      <c r="O640" s="391"/>
      <c r="P640" s="391"/>
      <c r="Q640" s="391"/>
      <c r="R640" s="392"/>
      <c r="S640" s="391"/>
      <c r="T640" s="391"/>
      <c r="U640" s="391"/>
      <c r="V640" s="391"/>
      <c r="W640" s="392"/>
      <c r="X640" s="391"/>
      <c r="Y640" s="391"/>
      <c r="Z640" s="391"/>
      <c r="AA640" s="391"/>
      <c r="AB640" s="392"/>
      <c r="AC640" s="391"/>
      <c r="AD640" s="391"/>
      <c r="AE640" s="391"/>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row>
    <row r="641" spans="1:58" ht="15.75" customHeight="1" x14ac:dyDescent="0.2">
      <c r="A641" s="189"/>
      <c r="B641" s="189"/>
      <c r="C641" s="55"/>
      <c r="D641" s="391"/>
      <c r="E641" s="391"/>
      <c r="F641" s="391"/>
      <c r="G641" s="391"/>
      <c r="H641" s="392"/>
      <c r="I641" s="391"/>
      <c r="J641" s="391"/>
      <c r="K641" s="391"/>
      <c r="L641" s="391"/>
      <c r="M641" s="392"/>
      <c r="N641" s="391"/>
      <c r="O641" s="391"/>
      <c r="P641" s="391"/>
      <c r="Q641" s="391"/>
      <c r="R641" s="392"/>
      <c r="S641" s="391"/>
      <c r="T641" s="391"/>
      <c r="U641" s="391"/>
      <c r="V641" s="391"/>
      <c r="W641" s="392"/>
      <c r="X641" s="391"/>
      <c r="Y641" s="391"/>
      <c r="Z641" s="391"/>
      <c r="AA641" s="391"/>
      <c r="AB641" s="392"/>
      <c r="AC641" s="391"/>
      <c r="AD641" s="391"/>
      <c r="AE641" s="391"/>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row>
    <row r="642" spans="1:58" ht="15.75" customHeight="1" x14ac:dyDescent="0.2">
      <c r="A642" s="189"/>
      <c r="B642" s="189"/>
      <c r="C642" s="55"/>
      <c r="D642" s="391"/>
      <c r="E642" s="391"/>
      <c r="F642" s="391"/>
      <c r="G642" s="391"/>
      <c r="H642" s="392"/>
      <c r="I642" s="391"/>
      <c r="J642" s="391"/>
      <c r="K642" s="391"/>
      <c r="L642" s="391"/>
      <c r="M642" s="392"/>
      <c r="N642" s="391"/>
      <c r="O642" s="391"/>
      <c r="P642" s="391"/>
      <c r="Q642" s="391"/>
      <c r="R642" s="392"/>
      <c r="S642" s="391"/>
      <c r="T642" s="391"/>
      <c r="U642" s="391"/>
      <c r="V642" s="391"/>
      <c r="W642" s="392"/>
      <c r="X642" s="391"/>
      <c r="Y642" s="391"/>
      <c r="Z642" s="391"/>
      <c r="AA642" s="391"/>
      <c r="AB642" s="392"/>
      <c r="AC642" s="391"/>
      <c r="AD642" s="391"/>
      <c r="AE642" s="391"/>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row>
    <row r="643" spans="1:58" ht="15.75" customHeight="1" x14ac:dyDescent="0.2">
      <c r="A643" s="189"/>
      <c r="B643" s="189"/>
      <c r="C643" s="55"/>
      <c r="D643" s="391"/>
      <c r="E643" s="391"/>
      <c r="F643" s="391"/>
      <c r="G643" s="391"/>
      <c r="H643" s="392"/>
      <c r="I643" s="391"/>
      <c r="J643" s="391"/>
      <c r="K643" s="391"/>
      <c r="L643" s="391"/>
      <c r="M643" s="392"/>
      <c r="N643" s="391"/>
      <c r="O643" s="391"/>
      <c r="P643" s="391"/>
      <c r="Q643" s="391"/>
      <c r="R643" s="392"/>
      <c r="S643" s="391"/>
      <c r="T643" s="391"/>
      <c r="U643" s="391"/>
      <c r="V643" s="391"/>
      <c r="W643" s="392"/>
      <c r="X643" s="391"/>
      <c r="Y643" s="391"/>
      <c r="Z643" s="391"/>
      <c r="AA643" s="391"/>
      <c r="AB643" s="392"/>
      <c r="AC643" s="391"/>
      <c r="AD643" s="391"/>
      <c r="AE643" s="391"/>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row>
    <row r="644" spans="1:58" ht="15.75" customHeight="1" x14ac:dyDescent="0.2">
      <c r="A644" s="189"/>
      <c r="B644" s="189"/>
      <c r="C644" s="55"/>
      <c r="D644" s="391"/>
      <c r="E644" s="391"/>
      <c r="F644" s="391"/>
      <c r="G644" s="391"/>
      <c r="H644" s="392"/>
      <c r="I644" s="391"/>
      <c r="J644" s="391"/>
      <c r="K644" s="391"/>
      <c r="L644" s="391"/>
      <c r="M644" s="392"/>
      <c r="N644" s="391"/>
      <c r="O644" s="391"/>
      <c r="P644" s="391"/>
      <c r="Q644" s="391"/>
      <c r="R644" s="392"/>
      <c r="S644" s="391"/>
      <c r="T644" s="391"/>
      <c r="U644" s="391"/>
      <c r="V644" s="391"/>
      <c r="W644" s="392"/>
      <c r="X644" s="391"/>
      <c r="Y644" s="391"/>
      <c r="Z644" s="391"/>
      <c r="AA644" s="391"/>
      <c r="AB644" s="392"/>
      <c r="AC644" s="391"/>
      <c r="AD644" s="391"/>
      <c r="AE644" s="391"/>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row>
    <row r="645" spans="1:58" ht="15.75" customHeight="1" x14ac:dyDescent="0.2">
      <c r="A645" s="189"/>
      <c r="B645" s="189"/>
      <c r="C645" s="55"/>
      <c r="D645" s="391"/>
      <c r="E645" s="391"/>
      <c r="F645" s="391"/>
      <c r="G645" s="391"/>
      <c r="H645" s="392"/>
      <c r="I645" s="391"/>
      <c r="J645" s="391"/>
      <c r="K645" s="391"/>
      <c r="L645" s="391"/>
      <c r="M645" s="392"/>
      <c r="N645" s="391"/>
      <c r="O645" s="391"/>
      <c r="P645" s="391"/>
      <c r="Q645" s="391"/>
      <c r="R645" s="392"/>
      <c r="S645" s="391"/>
      <c r="T645" s="391"/>
      <c r="U645" s="391"/>
      <c r="V645" s="391"/>
      <c r="W645" s="392"/>
      <c r="X645" s="391"/>
      <c r="Y645" s="391"/>
      <c r="Z645" s="391"/>
      <c r="AA645" s="391"/>
      <c r="AB645" s="392"/>
      <c r="AC645" s="391"/>
      <c r="AD645" s="391"/>
      <c r="AE645" s="391"/>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row>
    <row r="646" spans="1:58" ht="15.75" customHeight="1" x14ac:dyDescent="0.2">
      <c r="A646" s="189"/>
      <c r="B646" s="189"/>
      <c r="C646" s="55"/>
      <c r="D646" s="391"/>
      <c r="E646" s="391"/>
      <c r="F646" s="391"/>
      <c r="G646" s="391"/>
      <c r="H646" s="392"/>
      <c r="I646" s="391"/>
      <c r="J646" s="391"/>
      <c r="K646" s="391"/>
      <c r="L646" s="391"/>
      <c r="M646" s="392"/>
      <c r="N646" s="391"/>
      <c r="O646" s="391"/>
      <c r="P646" s="391"/>
      <c r="Q646" s="391"/>
      <c r="R646" s="392"/>
      <c r="S646" s="391"/>
      <c r="T646" s="391"/>
      <c r="U646" s="391"/>
      <c r="V646" s="391"/>
      <c r="W646" s="392"/>
      <c r="X646" s="391"/>
      <c r="Y646" s="391"/>
      <c r="Z646" s="391"/>
      <c r="AA646" s="391"/>
      <c r="AB646" s="392"/>
      <c r="AC646" s="391"/>
      <c r="AD646" s="391"/>
      <c r="AE646" s="391"/>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row>
    <row r="647" spans="1:58" ht="15.75" customHeight="1" x14ac:dyDescent="0.2">
      <c r="A647" s="189"/>
      <c r="B647" s="189"/>
      <c r="C647" s="55"/>
      <c r="D647" s="391"/>
      <c r="E647" s="391"/>
      <c r="F647" s="391"/>
      <c r="G647" s="391"/>
      <c r="H647" s="392"/>
      <c r="I647" s="391"/>
      <c r="J647" s="391"/>
      <c r="K647" s="391"/>
      <c r="L647" s="391"/>
      <c r="M647" s="392"/>
      <c r="N647" s="391"/>
      <c r="O647" s="391"/>
      <c r="P647" s="391"/>
      <c r="Q647" s="391"/>
      <c r="R647" s="392"/>
      <c r="S647" s="391"/>
      <c r="T647" s="391"/>
      <c r="U647" s="391"/>
      <c r="V647" s="391"/>
      <c r="W647" s="392"/>
      <c r="X647" s="391"/>
      <c r="Y647" s="391"/>
      <c r="Z647" s="391"/>
      <c r="AA647" s="391"/>
      <c r="AB647" s="392"/>
      <c r="AC647" s="391"/>
      <c r="AD647" s="391"/>
      <c r="AE647" s="391"/>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row>
    <row r="648" spans="1:58" ht="15.75" customHeight="1" x14ac:dyDescent="0.2">
      <c r="A648" s="189"/>
      <c r="B648" s="189"/>
      <c r="C648" s="55"/>
      <c r="D648" s="391"/>
      <c r="E648" s="391"/>
      <c r="F648" s="391"/>
      <c r="G648" s="391"/>
      <c r="H648" s="392"/>
      <c r="I648" s="391"/>
      <c r="J648" s="391"/>
      <c r="K648" s="391"/>
      <c r="L648" s="391"/>
      <c r="M648" s="392"/>
      <c r="N648" s="391"/>
      <c r="O648" s="391"/>
      <c r="P648" s="391"/>
      <c r="Q648" s="391"/>
      <c r="R648" s="392"/>
      <c r="S648" s="391"/>
      <c r="T648" s="391"/>
      <c r="U648" s="391"/>
      <c r="V648" s="391"/>
      <c r="W648" s="392"/>
      <c r="X648" s="391"/>
      <c r="Y648" s="391"/>
      <c r="Z648" s="391"/>
      <c r="AA648" s="391"/>
      <c r="AB648" s="392"/>
      <c r="AC648" s="391"/>
      <c r="AD648" s="391"/>
      <c r="AE648" s="391"/>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row>
    <row r="649" spans="1:58" ht="15.75" customHeight="1" x14ac:dyDescent="0.2">
      <c r="A649" s="189"/>
      <c r="B649" s="189"/>
      <c r="C649" s="55"/>
      <c r="D649" s="391"/>
      <c r="E649" s="391"/>
      <c r="F649" s="391"/>
      <c r="G649" s="391"/>
      <c r="H649" s="392"/>
      <c r="I649" s="391"/>
      <c r="J649" s="391"/>
      <c r="K649" s="391"/>
      <c r="L649" s="391"/>
      <c r="M649" s="392"/>
      <c r="N649" s="391"/>
      <c r="O649" s="391"/>
      <c r="P649" s="391"/>
      <c r="Q649" s="391"/>
      <c r="R649" s="392"/>
      <c r="S649" s="391"/>
      <c r="T649" s="391"/>
      <c r="U649" s="391"/>
      <c r="V649" s="391"/>
      <c r="W649" s="392"/>
      <c r="X649" s="391"/>
      <c r="Y649" s="391"/>
      <c r="Z649" s="391"/>
      <c r="AA649" s="391"/>
      <c r="AB649" s="392"/>
      <c r="AC649" s="391"/>
      <c r="AD649" s="391"/>
      <c r="AE649" s="391"/>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row>
    <row r="650" spans="1:58" ht="15.75" customHeight="1" x14ac:dyDescent="0.2">
      <c r="A650" s="189"/>
      <c r="B650" s="189"/>
      <c r="C650" s="55"/>
      <c r="D650" s="391"/>
      <c r="E650" s="391"/>
      <c r="F650" s="391"/>
      <c r="G650" s="391"/>
      <c r="H650" s="392"/>
      <c r="I650" s="391"/>
      <c r="J650" s="391"/>
      <c r="K650" s="391"/>
      <c r="L650" s="391"/>
      <c r="M650" s="392"/>
      <c r="N650" s="391"/>
      <c r="O650" s="391"/>
      <c r="P650" s="391"/>
      <c r="Q650" s="391"/>
      <c r="R650" s="392"/>
      <c r="S650" s="391"/>
      <c r="T650" s="391"/>
      <c r="U650" s="391"/>
      <c r="V650" s="391"/>
      <c r="W650" s="392"/>
      <c r="X650" s="391"/>
      <c r="Y650" s="391"/>
      <c r="Z650" s="391"/>
      <c r="AA650" s="391"/>
      <c r="AB650" s="392"/>
      <c r="AC650" s="391"/>
      <c r="AD650" s="391"/>
      <c r="AE650" s="391"/>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row>
    <row r="651" spans="1:58" ht="15.75" customHeight="1" x14ac:dyDescent="0.2">
      <c r="A651" s="189"/>
      <c r="B651" s="189"/>
      <c r="C651" s="55"/>
      <c r="D651" s="391"/>
      <c r="E651" s="391"/>
      <c r="F651" s="391"/>
      <c r="G651" s="391"/>
      <c r="H651" s="392"/>
      <c r="I651" s="391"/>
      <c r="J651" s="391"/>
      <c r="K651" s="391"/>
      <c r="L651" s="391"/>
      <c r="M651" s="392"/>
      <c r="N651" s="391"/>
      <c r="O651" s="391"/>
      <c r="P651" s="391"/>
      <c r="Q651" s="391"/>
      <c r="R651" s="392"/>
      <c r="S651" s="391"/>
      <c r="T651" s="391"/>
      <c r="U651" s="391"/>
      <c r="V651" s="391"/>
      <c r="W651" s="392"/>
      <c r="X651" s="391"/>
      <c r="Y651" s="391"/>
      <c r="Z651" s="391"/>
      <c r="AA651" s="391"/>
      <c r="AB651" s="392"/>
      <c r="AC651" s="391"/>
      <c r="AD651" s="391"/>
      <c r="AE651" s="391"/>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row>
    <row r="652" spans="1:58" ht="15.75" customHeight="1" x14ac:dyDescent="0.2">
      <c r="A652" s="189"/>
      <c r="B652" s="189"/>
      <c r="C652" s="55"/>
      <c r="D652" s="391"/>
      <c r="E652" s="391"/>
      <c r="F652" s="391"/>
      <c r="G652" s="391"/>
      <c r="H652" s="392"/>
      <c r="I652" s="391"/>
      <c r="J652" s="391"/>
      <c r="K652" s="391"/>
      <c r="L652" s="391"/>
      <c r="M652" s="392"/>
      <c r="N652" s="391"/>
      <c r="O652" s="391"/>
      <c r="P652" s="391"/>
      <c r="Q652" s="391"/>
      <c r="R652" s="392"/>
      <c r="S652" s="391"/>
      <c r="T652" s="391"/>
      <c r="U652" s="391"/>
      <c r="V652" s="391"/>
      <c r="W652" s="392"/>
      <c r="X652" s="391"/>
      <c r="Y652" s="391"/>
      <c r="Z652" s="391"/>
      <c r="AA652" s="391"/>
      <c r="AB652" s="392"/>
      <c r="AC652" s="391"/>
      <c r="AD652" s="391"/>
      <c r="AE652" s="391"/>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row>
    <row r="653" spans="1:58" ht="15.75" customHeight="1" x14ac:dyDescent="0.2">
      <c r="A653" s="189"/>
      <c r="B653" s="189"/>
      <c r="C653" s="55"/>
      <c r="D653" s="391"/>
      <c r="E653" s="391"/>
      <c r="F653" s="391"/>
      <c r="G653" s="391"/>
      <c r="H653" s="392"/>
      <c r="I653" s="391"/>
      <c r="J653" s="391"/>
      <c r="K653" s="391"/>
      <c r="L653" s="391"/>
      <c r="M653" s="392"/>
      <c r="N653" s="391"/>
      <c r="O653" s="391"/>
      <c r="P653" s="391"/>
      <c r="Q653" s="391"/>
      <c r="R653" s="392"/>
      <c r="S653" s="391"/>
      <c r="T653" s="391"/>
      <c r="U653" s="391"/>
      <c r="V653" s="391"/>
      <c r="W653" s="392"/>
      <c r="X653" s="391"/>
      <c r="Y653" s="391"/>
      <c r="Z653" s="391"/>
      <c r="AA653" s="391"/>
      <c r="AB653" s="392"/>
      <c r="AC653" s="391"/>
      <c r="AD653" s="391"/>
      <c r="AE653" s="391"/>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row>
    <row r="654" spans="1:58" ht="15.75" customHeight="1" x14ac:dyDescent="0.2">
      <c r="A654" s="189"/>
      <c r="B654" s="189"/>
      <c r="C654" s="55"/>
      <c r="D654" s="391"/>
      <c r="E654" s="391"/>
      <c r="F654" s="391"/>
      <c r="G654" s="391"/>
      <c r="H654" s="392"/>
      <c r="I654" s="391"/>
      <c r="J654" s="391"/>
      <c r="K654" s="391"/>
      <c r="L654" s="391"/>
      <c r="M654" s="392"/>
      <c r="N654" s="391"/>
      <c r="O654" s="391"/>
      <c r="P654" s="391"/>
      <c r="Q654" s="391"/>
      <c r="R654" s="392"/>
      <c r="S654" s="391"/>
      <c r="T654" s="391"/>
      <c r="U654" s="391"/>
      <c r="V654" s="391"/>
      <c r="W654" s="392"/>
      <c r="X654" s="391"/>
      <c r="Y654" s="391"/>
      <c r="Z654" s="391"/>
      <c r="AA654" s="391"/>
      <c r="AB654" s="392"/>
      <c r="AC654" s="391"/>
      <c r="AD654" s="391"/>
      <c r="AE654" s="391"/>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row>
    <row r="655" spans="1:58" ht="15.75" customHeight="1" x14ac:dyDescent="0.2">
      <c r="A655" s="189"/>
      <c r="B655" s="189"/>
      <c r="C655" s="55"/>
      <c r="D655" s="391"/>
      <c r="E655" s="391"/>
      <c r="F655" s="391"/>
      <c r="G655" s="391"/>
      <c r="H655" s="392"/>
      <c r="I655" s="391"/>
      <c r="J655" s="391"/>
      <c r="K655" s="391"/>
      <c r="L655" s="391"/>
      <c r="M655" s="392"/>
      <c r="N655" s="391"/>
      <c r="O655" s="391"/>
      <c r="P655" s="391"/>
      <c r="Q655" s="391"/>
      <c r="R655" s="392"/>
      <c r="S655" s="391"/>
      <c r="T655" s="391"/>
      <c r="U655" s="391"/>
      <c r="V655" s="391"/>
      <c r="W655" s="392"/>
      <c r="X655" s="391"/>
      <c r="Y655" s="391"/>
      <c r="Z655" s="391"/>
      <c r="AA655" s="391"/>
      <c r="AB655" s="392"/>
      <c r="AC655" s="391"/>
      <c r="AD655" s="391"/>
      <c r="AE655" s="391"/>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row>
    <row r="656" spans="1:58" ht="15.75" customHeight="1" x14ac:dyDescent="0.2">
      <c r="A656" s="189"/>
      <c r="B656" s="189"/>
      <c r="C656" s="55"/>
      <c r="D656" s="391"/>
      <c r="E656" s="391"/>
      <c r="F656" s="391"/>
      <c r="G656" s="391"/>
      <c r="H656" s="392"/>
      <c r="I656" s="391"/>
      <c r="J656" s="391"/>
      <c r="K656" s="391"/>
      <c r="L656" s="391"/>
      <c r="M656" s="392"/>
      <c r="N656" s="391"/>
      <c r="O656" s="391"/>
      <c r="P656" s="391"/>
      <c r="Q656" s="391"/>
      <c r="R656" s="392"/>
      <c r="S656" s="391"/>
      <c r="T656" s="391"/>
      <c r="U656" s="391"/>
      <c r="V656" s="391"/>
      <c r="W656" s="392"/>
      <c r="X656" s="391"/>
      <c r="Y656" s="391"/>
      <c r="Z656" s="391"/>
      <c r="AA656" s="391"/>
      <c r="AB656" s="392"/>
      <c r="AC656" s="391"/>
      <c r="AD656" s="391"/>
      <c r="AE656" s="391"/>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row>
    <row r="657" spans="1:58" ht="15.75" customHeight="1" x14ac:dyDescent="0.2">
      <c r="A657" s="189"/>
      <c r="B657" s="189"/>
      <c r="C657" s="55"/>
      <c r="D657" s="391"/>
      <c r="E657" s="391"/>
      <c r="F657" s="391"/>
      <c r="G657" s="391"/>
      <c r="H657" s="392"/>
      <c r="I657" s="391"/>
      <c r="J657" s="391"/>
      <c r="K657" s="391"/>
      <c r="L657" s="391"/>
      <c r="M657" s="392"/>
      <c r="N657" s="391"/>
      <c r="O657" s="391"/>
      <c r="P657" s="391"/>
      <c r="Q657" s="391"/>
      <c r="R657" s="392"/>
      <c r="S657" s="391"/>
      <c r="T657" s="391"/>
      <c r="U657" s="391"/>
      <c r="V657" s="391"/>
      <c r="W657" s="392"/>
      <c r="X657" s="391"/>
      <c r="Y657" s="391"/>
      <c r="Z657" s="391"/>
      <c r="AA657" s="391"/>
      <c r="AB657" s="392"/>
      <c r="AC657" s="391"/>
      <c r="AD657" s="391"/>
      <c r="AE657" s="391"/>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row>
    <row r="658" spans="1:58" ht="15.75" customHeight="1" x14ac:dyDescent="0.2">
      <c r="A658" s="189"/>
      <c r="B658" s="189"/>
      <c r="C658" s="55"/>
      <c r="D658" s="391"/>
      <c r="E658" s="391"/>
      <c r="F658" s="391"/>
      <c r="G658" s="391"/>
      <c r="H658" s="392"/>
      <c r="I658" s="391"/>
      <c r="J658" s="391"/>
      <c r="K658" s="391"/>
      <c r="L658" s="391"/>
      <c r="M658" s="392"/>
      <c r="N658" s="391"/>
      <c r="O658" s="391"/>
      <c r="P658" s="391"/>
      <c r="Q658" s="391"/>
      <c r="R658" s="392"/>
      <c r="S658" s="391"/>
      <c r="T658" s="391"/>
      <c r="U658" s="391"/>
      <c r="V658" s="391"/>
      <c r="W658" s="392"/>
      <c r="X658" s="391"/>
      <c r="Y658" s="391"/>
      <c r="Z658" s="391"/>
      <c r="AA658" s="391"/>
      <c r="AB658" s="392"/>
      <c r="AC658" s="391"/>
      <c r="AD658" s="391"/>
      <c r="AE658" s="391"/>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row>
    <row r="659" spans="1:58" ht="15.75" customHeight="1" x14ac:dyDescent="0.2">
      <c r="A659" s="189"/>
      <c r="B659" s="189"/>
      <c r="C659" s="55"/>
      <c r="D659" s="391"/>
      <c r="E659" s="391"/>
      <c r="F659" s="391"/>
      <c r="G659" s="391"/>
      <c r="H659" s="392"/>
      <c r="I659" s="391"/>
      <c r="J659" s="391"/>
      <c r="K659" s="391"/>
      <c r="L659" s="391"/>
      <c r="M659" s="392"/>
      <c r="N659" s="391"/>
      <c r="O659" s="391"/>
      <c r="P659" s="391"/>
      <c r="Q659" s="391"/>
      <c r="R659" s="392"/>
      <c r="S659" s="391"/>
      <c r="T659" s="391"/>
      <c r="U659" s="391"/>
      <c r="V659" s="391"/>
      <c r="W659" s="392"/>
      <c r="X659" s="391"/>
      <c r="Y659" s="391"/>
      <c r="Z659" s="391"/>
      <c r="AA659" s="391"/>
      <c r="AB659" s="392"/>
      <c r="AC659" s="391"/>
      <c r="AD659" s="391"/>
      <c r="AE659" s="391"/>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row>
    <row r="660" spans="1:58" ht="15.75" customHeight="1" x14ac:dyDescent="0.2">
      <c r="A660" s="189"/>
      <c r="B660" s="189"/>
      <c r="C660" s="55"/>
      <c r="D660" s="391"/>
      <c r="E660" s="391"/>
      <c r="F660" s="391"/>
      <c r="G660" s="391"/>
      <c r="H660" s="392"/>
      <c r="I660" s="391"/>
      <c r="J660" s="391"/>
      <c r="K660" s="391"/>
      <c r="L660" s="391"/>
      <c r="M660" s="392"/>
      <c r="N660" s="391"/>
      <c r="O660" s="391"/>
      <c r="P660" s="391"/>
      <c r="Q660" s="391"/>
      <c r="R660" s="392"/>
      <c r="S660" s="391"/>
      <c r="T660" s="391"/>
      <c r="U660" s="391"/>
      <c r="V660" s="391"/>
      <c r="W660" s="392"/>
      <c r="X660" s="391"/>
      <c r="Y660" s="391"/>
      <c r="Z660" s="391"/>
      <c r="AA660" s="391"/>
      <c r="AB660" s="392"/>
      <c r="AC660" s="391"/>
      <c r="AD660" s="391"/>
      <c r="AE660" s="391"/>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row>
    <row r="661" spans="1:58" ht="15.75" customHeight="1" x14ac:dyDescent="0.2">
      <c r="A661" s="189"/>
      <c r="B661" s="189"/>
      <c r="C661" s="55"/>
      <c r="D661" s="391"/>
      <c r="E661" s="391"/>
      <c r="F661" s="391"/>
      <c r="G661" s="391"/>
      <c r="H661" s="392"/>
      <c r="I661" s="391"/>
      <c r="J661" s="391"/>
      <c r="K661" s="391"/>
      <c r="L661" s="391"/>
      <c r="M661" s="392"/>
      <c r="N661" s="391"/>
      <c r="O661" s="391"/>
      <c r="P661" s="391"/>
      <c r="Q661" s="391"/>
      <c r="R661" s="392"/>
      <c r="S661" s="391"/>
      <c r="T661" s="391"/>
      <c r="U661" s="391"/>
      <c r="V661" s="391"/>
      <c r="W661" s="392"/>
      <c r="X661" s="391"/>
      <c r="Y661" s="391"/>
      <c r="Z661" s="391"/>
      <c r="AA661" s="391"/>
      <c r="AB661" s="392"/>
      <c r="AC661" s="391"/>
      <c r="AD661" s="391"/>
      <c r="AE661" s="391"/>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row>
    <row r="662" spans="1:58" ht="15.75" customHeight="1" x14ac:dyDescent="0.2">
      <c r="A662" s="189"/>
      <c r="B662" s="189"/>
      <c r="C662" s="55"/>
      <c r="D662" s="391"/>
      <c r="E662" s="391"/>
      <c r="F662" s="391"/>
      <c r="G662" s="391"/>
      <c r="H662" s="392"/>
      <c r="I662" s="391"/>
      <c r="J662" s="391"/>
      <c r="K662" s="391"/>
      <c r="L662" s="391"/>
      <c r="M662" s="392"/>
      <c r="N662" s="391"/>
      <c r="O662" s="391"/>
      <c r="P662" s="391"/>
      <c r="Q662" s="391"/>
      <c r="R662" s="392"/>
      <c r="S662" s="391"/>
      <c r="T662" s="391"/>
      <c r="U662" s="391"/>
      <c r="V662" s="391"/>
      <c r="W662" s="392"/>
      <c r="X662" s="391"/>
      <c r="Y662" s="391"/>
      <c r="Z662" s="391"/>
      <c r="AA662" s="391"/>
      <c r="AB662" s="392"/>
      <c r="AC662" s="391"/>
      <c r="AD662" s="391"/>
      <c r="AE662" s="391"/>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row>
    <row r="663" spans="1:58" ht="15.75" customHeight="1" x14ac:dyDescent="0.2">
      <c r="A663" s="189"/>
      <c r="B663" s="189"/>
      <c r="C663" s="55"/>
      <c r="D663" s="391"/>
      <c r="E663" s="391"/>
      <c r="F663" s="391"/>
      <c r="G663" s="391"/>
      <c r="H663" s="392"/>
      <c r="I663" s="391"/>
      <c r="J663" s="391"/>
      <c r="K663" s="391"/>
      <c r="L663" s="391"/>
      <c r="M663" s="392"/>
      <c r="N663" s="391"/>
      <c r="O663" s="391"/>
      <c r="P663" s="391"/>
      <c r="Q663" s="391"/>
      <c r="R663" s="392"/>
      <c r="S663" s="391"/>
      <c r="T663" s="391"/>
      <c r="U663" s="391"/>
      <c r="V663" s="391"/>
      <c r="W663" s="392"/>
      <c r="X663" s="391"/>
      <c r="Y663" s="391"/>
      <c r="Z663" s="391"/>
      <c r="AA663" s="391"/>
      <c r="AB663" s="392"/>
      <c r="AC663" s="391"/>
      <c r="AD663" s="391"/>
      <c r="AE663" s="391"/>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row>
    <row r="664" spans="1:58" ht="15.75" customHeight="1" x14ac:dyDescent="0.2">
      <c r="A664" s="189"/>
      <c r="B664" s="189"/>
      <c r="C664" s="55"/>
      <c r="D664" s="391"/>
      <c r="E664" s="391"/>
      <c r="F664" s="391"/>
      <c r="G664" s="391"/>
      <c r="H664" s="392"/>
      <c r="I664" s="391"/>
      <c r="J664" s="391"/>
      <c r="K664" s="391"/>
      <c r="L664" s="391"/>
      <c r="M664" s="392"/>
      <c r="N664" s="391"/>
      <c r="O664" s="391"/>
      <c r="P664" s="391"/>
      <c r="Q664" s="391"/>
      <c r="R664" s="392"/>
      <c r="S664" s="391"/>
      <c r="T664" s="391"/>
      <c r="U664" s="391"/>
      <c r="V664" s="391"/>
      <c r="W664" s="392"/>
      <c r="X664" s="391"/>
      <c r="Y664" s="391"/>
      <c r="Z664" s="391"/>
      <c r="AA664" s="391"/>
      <c r="AB664" s="392"/>
      <c r="AC664" s="391"/>
      <c r="AD664" s="391"/>
      <c r="AE664" s="391"/>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row>
    <row r="665" spans="1:58" ht="15.75" customHeight="1" x14ac:dyDescent="0.2">
      <c r="A665" s="189"/>
      <c r="B665" s="189"/>
      <c r="C665" s="55"/>
      <c r="D665" s="391"/>
      <c r="E665" s="391"/>
      <c r="F665" s="391"/>
      <c r="G665" s="391"/>
      <c r="H665" s="392"/>
      <c r="I665" s="391"/>
      <c r="J665" s="391"/>
      <c r="K665" s="391"/>
      <c r="L665" s="391"/>
      <c r="M665" s="392"/>
      <c r="N665" s="391"/>
      <c r="O665" s="391"/>
      <c r="P665" s="391"/>
      <c r="Q665" s="391"/>
      <c r="R665" s="392"/>
      <c r="S665" s="391"/>
      <c r="T665" s="391"/>
      <c r="U665" s="391"/>
      <c r="V665" s="391"/>
      <c r="W665" s="392"/>
      <c r="X665" s="391"/>
      <c r="Y665" s="391"/>
      <c r="Z665" s="391"/>
      <c r="AA665" s="391"/>
      <c r="AB665" s="392"/>
      <c r="AC665" s="391"/>
      <c r="AD665" s="391"/>
      <c r="AE665" s="391"/>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row>
    <row r="666" spans="1:58" ht="15.75" customHeight="1" x14ac:dyDescent="0.2">
      <c r="A666" s="189"/>
      <c r="B666" s="189"/>
      <c r="C666" s="55"/>
      <c r="D666" s="391"/>
      <c r="E666" s="391"/>
      <c r="F666" s="391"/>
      <c r="G666" s="391"/>
      <c r="H666" s="392"/>
      <c r="I666" s="391"/>
      <c r="J666" s="391"/>
      <c r="K666" s="391"/>
      <c r="L666" s="391"/>
      <c r="M666" s="392"/>
      <c r="N666" s="391"/>
      <c r="O666" s="391"/>
      <c r="P666" s="391"/>
      <c r="Q666" s="391"/>
      <c r="R666" s="392"/>
      <c r="S666" s="391"/>
      <c r="T666" s="391"/>
      <c r="U666" s="391"/>
      <c r="V666" s="391"/>
      <c r="W666" s="392"/>
      <c r="X666" s="391"/>
      <c r="Y666" s="391"/>
      <c r="Z666" s="391"/>
      <c r="AA666" s="391"/>
      <c r="AB666" s="392"/>
      <c r="AC666" s="391"/>
      <c r="AD666" s="391"/>
      <c r="AE666" s="391"/>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row>
    <row r="667" spans="1:58" ht="15.75" customHeight="1" x14ac:dyDescent="0.2">
      <c r="A667" s="189"/>
      <c r="B667" s="189"/>
      <c r="C667" s="55"/>
      <c r="D667" s="391"/>
      <c r="E667" s="391"/>
      <c r="F667" s="391"/>
      <c r="G667" s="391"/>
      <c r="H667" s="392"/>
      <c r="I667" s="391"/>
      <c r="J667" s="391"/>
      <c r="K667" s="391"/>
      <c r="L667" s="391"/>
      <c r="M667" s="392"/>
      <c r="N667" s="391"/>
      <c r="O667" s="391"/>
      <c r="P667" s="391"/>
      <c r="Q667" s="391"/>
      <c r="R667" s="392"/>
      <c r="S667" s="391"/>
      <c r="T667" s="391"/>
      <c r="U667" s="391"/>
      <c r="V667" s="391"/>
      <c r="W667" s="392"/>
      <c r="X667" s="391"/>
      <c r="Y667" s="391"/>
      <c r="Z667" s="391"/>
      <c r="AA667" s="391"/>
      <c r="AB667" s="392"/>
      <c r="AC667" s="391"/>
      <c r="AD667" s="391"/>
      <c r="AE667" s="391"/>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row>
    <row r="668" spans="1:58" ht="15.75" customHeight="1" x14ac:dyDescent="0.2">
      <c r="A668" s="189"/>
      <c r="B668" s="189"/>
      <c r="C668" s="55"/>
      <c r="D668" s="391"/>
      <c r="E668" s="391"/>
      <c r="F668" s="391"/>
      <c r="G668" s="391"/>
      <c r="H668" s="392"/>
      <c r="I668" s="391"/>
      <c r="J668" s="391"/>
      <c r="K668" s="391"/>
      <c r="L668" s="391"/>
      <c r="M668" s="392"/>
      <c r="N668" s="391"/>
      <c r="O668" s="391"/>
      <c r="P668" s="391"/>
      <c r="Q668" s="391"/>
      <c r="R668" s="392"/>
      <c r="S668" s="391"/>
      <c r="T668" s="391"/>
      <c r="U668" s="391"/>
      <c r="V668" s="391"/>
      <c r="W668" s="392"/>
      <c r="X668" s="391"/>
      <c r="Y668" s="391"/>
      <c r="Z668" s="391"/>
      <c r="AA668" s="391"/>
      <c r="AB668" s="392"/>
      <c r="AC668" s="391"/>
      <c r="AD668" s="391"/>
      <c r="AE668" s="391"/>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row>
    <row r="669" spans="1:58" ht="15.75" customHeight="1" x14ac:dyDescent="0.2">
      <c r="A669" s="189"/>
      <c r="B669" s="189"/>
      <c r="C669" s="55"/>
      <c r="D669" s="391"/>
      <c r="E669" s="391"/>
      <c r="F669" s="391"/>
      <c r="G669" s="391"/>
      <c r="H669" s="392"/>
      <c r="I669" s="391"/>
      <c r="J669" s="391"/>
      <c r="K669" s="391"/>
      <c r="L669" s="391"/>
      <c r="M669" s="392"/>
      <c r="N669" s="391"/>
      <c r="O669" s="391"/>
      <c r="P669" s="391"/>
      <c r="Q669" s="391"/>
      <c r="R669" s="392"/>
      <c r="S669" s="391"/>
      <c r="T669" s="391"/>
      <c r="U669" s="391"/>
      <c r="V669" s="391"/>
      <c r="W669" s="392"/>
      <c r="X669" s="391"/>
      <c r="Y669" s="391"/>
      <c r="Z669" s="391"/>
      <c r="AA669" s="391"/>
      <c r="AB669" s="392"/>
      <c r="AC669" s="391"/>
      <c r="AD669" s="391"/>
      <c r="AE669" s="391"/>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row>
    <row r="670" spans="1:58" ht="15.75" customHeight="1" x14ac:dyDescent="0.2">
      <c r="A670" s="189"/>
      <c r="B670" s="189"/>
      <c r="C670" s="55"/>
      <c r="D670" s="391"/>
      <c r="E670" s="391"/>
      <c r="F670" s="391"/>
      <c r="G670" s="391"/>
      <c r="H670" s="392"/>
      <c r="I670" s="391"/>
      <c r="J670" s="391"/>
      <c r="K670" s="391"/>
      <c r="L670" s="391"/>
      <c r="M670" s="392"/>
      <c r="N670" s="391"/>
      <c r="O670" s="391"/>
      <c r="P670" s="391"/>
      <c r="Q670" s="391"/>
      <c r="R670" s="392"/>
      <c r="S670" s="391"/>
      <c r="T670" s="391"/>
      <c r="U670" s="391"/>
      <c r="V670" s="391"/>
      <c r="W670" s="392"/>
      <c r="X670" s="391"/>
      <c r="Y670" s="391"/>
      <c r="Z670" s="391"/>
      <c r="AA670" s="391"/>
      <c r="AB670" s="392"/>
      <c r="AC670" s="391"/>
      <c r="AD670" s="391"/>
      <c r="AE670" s="391"/>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row>
    <row r="671" spans="1:58" ht="15.75" customHeight="1" x14ac:dyDescent="0.2">
      <c r="A671" s="189"/>
      <c r="B671" s="189"/>
      <c r="C671" s="55"/>
      <c r="D671" s="391"/>
      <c r="E671" s="391"/>
      <c r="F671" s="391"/>
      <c r="G671" s="391"/>
      <c r="H671" s="392"/>
      <c r="I671" s="391"/>
      <c r="J671" s="391"/>
      <c r="K671" s="391"/>
      <c r="L671" s="391"/>
      <c r="M671" s="392"/>
      <c r="N671" s="391"/>
      <c r="O671" s="391"/>
      <c r="P671" s="391"/>
      <c r="Q671" s="391"/>
      <c r="R671" s="392"/>
      <c r="S671" s="391"/>
      <c r="T671" s="391"/>
      <c r="U671" s="391"/>
      <c r="V671" s="391"/>
      <c r="W671" s="392"/>
      <c r="X671" s="391"/>
      <c r="Y671" s="391"/>
      <c r="Z671" s="391"/>
      <c r="AA671" s="391"/>
      <c r="AB671" s="392"/>
      <c r="AC671" s="391"/>
      <c r="AD671" s="391"/>
      <c r="AE671" s="391"/>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row>
    <row r="672" spans="1:58" ht="15.75" customHeight="1" x14ac:dyDescent="0.2">
      <c r="A672" s="189"/>
      <c r="B672" s="189"/>
      <c r="C672" s="55"/>
      <c r="D672" s="391"/>
      <c r="E672" s="391"/>
      <c r="F672" s="391"/>
      <c r="G672" s="391"/>
      <c r="H672" s="392"/>
      <c r="I672" s="391"/>
      <c r="J672" s="391"/>
      <c r="K672" s="391"/>
      <c r="L672" s="391"/>
      <c r="M672" s="392"/>
      <c r="N672" s="391"/>
      <c r="O672" s="391"/>
      <c r="P672" s="391"/>
      <c r="Q672" s="391"/>
      <c r="R672" s="392"/>
      <c r="S672" s="391"/>
      <c r="T672" s="391"/>
      <c r="U672" s="391"/>
      <c r="V672" s="391"/>
      <c r="W672" s="392"/>
      <c r="X672" s="391"/>
      <c r="Y672" s="391"/>
      <c r="Z672" s="391"/>
      <c r="AA672" s="391"/>
      <c r="AB672" s="392"/>
      <c r="AC672" s="391"/>
      <c r="AD672" s="391"/>
      <c r="AE672" s="391"/>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189"/>
      <c r="BE672" s="189"/>
      <c r="BF672" s="189"/>
    </row>
    <row r="673" spans="1:58" ht="15.75" customHeight="1" x14ac:dyDescent="0.2">
      <c r="A673" s="189"/>
      <c r="B673" s="189"/>
      <c r="C673" s="55"/>
      <c r="D673" s="391"/>
      <c r="E673" s="391"/>
      <c r="F673" s="391"/>
      <c r="G673" s="391"/>
      <c r="H673" s="392"/>
      <c r="I673" s="391"/>
      <c r="J673" s="391"/>
      <c r="K673" s="391"/>
      <c r="L673" s="391"/>
      <c r="M673" s="392"/>
      <c r="N673" s="391"/>
      <c r="O673" s="391"/>
      <c r="P673" s="391"/>
      <c r="Q673" s="391"/>
      <c r="R673" s="392"/>
      <c r="S673" s="391"/>
      <c r="T673" s="391"/>
      <c r="U673" s="391"/>
      <c r="V673" s="391"/>
      <c r="W673" s="392"/>
      <c r="X673" s="391"/>
      <c r="Y673" s="391"/>
      <c r="Z673" s="391"/>
      <c r="AA673" s="391"/>
      <c r="AB673" s="392"/>
      <c r="AC673" s="391"/>
      <c r="AD673" s="391"/>
      <c r="AE673" s="391"/>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189"/>
      <c r="BE673" s="189"/>
      <c r="BF673" s="189"/>
    </row>
    <row r="674" spans="1:58" ht="15.75" customHeight="1" x14ac:dyDescent="0.2">
      <c r="A674" s="189"/>
      <c r="B674" s="189"/>
      <c r="C674" s="55"/>
      <c r="D674" s="391"/>
      <c r="E674" s="391"/>
      <c r="F674" s="391"/>
      <c r="G674" s="391"/>
      <c r="H674" s="392"/>
      <c r="I674" s="391"/>
      <c r="J674" s="391"/>
      <c r="K674" s="391"/>
      <c r="L674" s="391"/>
      <c r="M674" s="392"/>
      <c r="N674" s="391"/>
      <c r="O674" s="391"/>
      <c r="P674" s="391"/>
      <c r="Q674" s="391"/>
      <c r="R674" s="392"/>
      <c r="S674" s="391"/>
      <c r="T674" s="391"/>
      <c r="U674" s="391"/>
      <c r="V674" s="391"/>
      <c r="W674" s="392"/>
      <c r="X674" s="391"/>
      <c r="Y674" s="391"/>
      <c r="Z674" s="391"/>
      <c r="AA674" s="391"/>
      <c r="AB674" s="392"/>
      <c r="AC674" s="391"/>
      <c r="AD674" s="391"/>
      <c r="AE674" s="391"/>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189"/>
      <c r="BE674" s="189"/>
      <c r="BF674" s="189"/>
    </row>
    <row r="675" spans="1:58" ht="15.75" customHeight="1" x14ac:dyDescent="0.2">
      <c r="A675" s="189"/>
      <c r="B675" s="189"/>
      <c r="C675" s="55"/>
      <c r="D675" s="391"/>
      <c r="E675" s="391"/>
      <c r="F675" s="391"/>
      <c r="G675" s="391"/>
      <c r="H675" s="392"/>
      <c r="I675" s="391"/>
      <c r="J675" s="391"/>
      <c r="K675" s="391"/>
      <c r="L675" s="391"/>
      <c r="M675" s="392"/>
      <c r="N675" s="391"/>
      <c r="O675" s="391"/>
      <c r="P675" s="391"/>
      <c r="Q675" s="391"/>
      <c r="R675" s="392"/>
      <c r="S675" s="391"/>
      <c r="T675" s="391"/>
      <c r="U675" s="391"/>
      <c r="V675" s="391"/>
      <c r="W675" s="392"/>
      <c r="X675" s="391"/>
      <c r="Y675" s="391"/>
      <c r="Z675" s="391"/>
      <c r="AA675" s="391"/>
      <c r="AB675" s="392"/>
      <c r="AC675" s="391"/>
      <c r="AD675" s="391"/>
      <c r="AE675" s="391"/>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189"/>
      <c r="BE675" s="189"/>
      <c r="BF675" s="189"/>
    </row>
    <row r="676" spans="1:58" ht="15.75" customHeight="1" x14ac:dyDescent="0.2">
      <c r="A676" s="189"/>
      <c r="B676" s="189"/>
      <c r="C676" s="55"/>
      <c r="D676" s="391"/>
      <c r="E676" s="391"/>
      <c r="F676" s="391"/>
      <c r="G676" s="391"/>
      <c r="H676" s="392"/>
      <c r="I676" s="391"/>
      <c r="J676" s="391"/>
      <c r="K676" s="391"/>
      <c r="L676" s="391"/>
      <c r="M676" s="392"/>
      <c r="N676" s="391"/>
      <c r="O676" s="391"/>
      <c r="P676" s="391"/>
      <c r="Q676" s="391"/>
      <c r="R676" s="392"/>
      <c r="S676" s="391"/>
      <c r="T676" s="391"/>
      <c r="U676" s="391"/>
      <c r="V676" s="391"/>
      <c r="W676" s="392"/>
      <c r="X676" s="391"/>
      <c r="Y676" s="391"/>
      <c r="Z676" s="391"/>
      <c r="AA676" s="391"/>
      <c r="AB676" s="392"/>
      <c r="AC676" s="391"/>
      <c r="AD676" s="391"/>
      <c r="AE676" s="391"/>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189"/>
      <c r="BE676" s="189"/>
      <c r="BF676" s="189"/>
    </row>
    <row r="677" spans="1:58" ht="15.75" customHeight="1" x14ac:dyDescent="0.2">
      <c r="A677" s="189"/>
      <c r="B677" s="189"/>
      <c r="C677" s="55"/>
      <c r="D677" s="391"/>
      <c r="E677" s="391"/>
      <c r="F677" s="391"/>
      <c r="G677" s="391"/>
      <c r="H677" s="392"/>
      <c r="I677" s="391"/>
      <c r="J677" s="391"/>
      <c r="K677" s="391"/>
      <c r="L677" s="391"/>
      <c r="M677" s="392"/>
      <c r="N677" s="391"/>
      <c r="O677" s="391"/>
      <c r="P677" s="391"/>
      <c r="Q677" s="391"/>
      <c r="R677" s="392"/>
      <c r="S677" s="391"/>
      <c r="T677" s="391"/>
      <c r="U677" s="391"/>
      <c r="V677" s="391"/>
      <c r="W677" s="392"/>
      <c r="X677" s="391"/>
      <c r="Y677" s="391"/>
      <c r="Z677" s="391"/>
      <c r="AA677" s="391"/>
      <c r="AB677" s="392"/>
      <c r="AC677" s="391"/>
      <c r="AD677" s="391"/>
      <c r="AE677" s="391"/>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189"/>
      <c r="BE677" s="189"/>
      <c r="BF677" s="189"/>
    </row>
    <row r="678" spans="1:58" ht="15.75" customHeight="1" x14ac:dyDescent="0.2">
      <c r="A678" s="189"/>
      <c r="B678" s="189"/>
      <c r="C678" s="55"/>
      <c r="D678" s="391"/>
      <c r="E678" s="391"/>
      <c r="F678" s="391"/>
      <c r="G678" s="391"/>
      <c r="H678" s="392"/>
      <c r="I678" s="391"/>
      <c r="J678" s="391"/>
      <c r="K678" s="391"/>
      <c r="L678" s="391"/>
      <c r="M678" s="392"/>
      <c r="N678" s="391"/>
      <c r="O678" s="391"/>
      <c r="P678" s="391"/>
      <c r="Q678" s="391"/>
      <c r="R678" s="392"/>
      <c r="S678" s="391"/>
      <c r="T678" s="391"/>
      <c r="U678" s="391"/>
      <c r="V678" s="391"/>
      <c r="W678" s="392"/>
      <c r="X678" s="391"/>
      <c r="Y678" s="391"/>
      <c r="Z678" s="391"/>
      <c r="AA678" s="391"/>
      <c r="AB678" s="392"/>
      <c r="AC678" s="391"/>
      <c r="AD678" s="391"/>
      <c r="AE678" s="391"/>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189"/>
      <c r="BE678" s="189"/>
      <c r="BF678" s="189"/>
    </row>
    <row r="679" spans="1:58" ht="15.75" customHeight="1" x14ac:dyDescent="0.2">
      <c r="A679" s="189"/>
      <c r="B679" s="189"/>
      <c r="C679" s="55"/>
      <c r="D679" s="391"/>
      <c r="E679" s="391"/>
      <c r="F679" s="391"/>
      <c r="G679" s="391"/>
      <c r="H679" s="392"/>
      <c r="I679" s="391"/>
      <c r="J679" s="391"/>
      <c r="K679" s="391"/>
      <c r="L679" s="391"/>
      <c r="M679" s="392"/>
      <c r="N679" s="391"/>
      <c r="O679" s="391"/>
      <c r="P679" s="391"/>
      <c r="Q679" s="391"/>
      <c r="R679" s="392"/>
      <c r="S679" s="391"/>
      <c r="T679" s="391"/>
      <c r="U679" s="391"/>
      <c r="V679" s="391"/>
      <c r="W679" s="392"/>
      <c r="X679" s="391"/>
      <c r="Y679" s="391"/>
      <c r="Z679" s="391"/>
      <c r="AA679" s="391"/>
      <c r="AB679" s="392"/>
      <c r="AC679" s="391"/>
      <c r="AD679" s="391"/>
      <c r="AE679" s="391"/>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189"/>
      <c r="BE679" s="189"/>
      <c r="BF679" s="189"/>
    </row>
    <row r="680" spans="1:58" ht="15.75" customHeight="1" x14ac:dyDescent="0.2">
      <c r="A680" s="189"/>
      <c r="B680" s="189"/>
      <c r="C680" s="55"/>
      <c r="D680" s="391"/>
      <c r="E680" s="391"/>
      <c r="F680" s="391"/>
      <c r="G680" s="391"/>
      <c r="H680" s="392"/>
      <c r="I680" s="391"/>
      <c r="J680" s="391"/>
      <c r="K680" s="391"/>
      <c r="L680" s="391"/>
      <c r="M680" s="392"/>
      <c r="N680" s="391"/>
      <c r="O680" s="391"/>
      <c r="P680" s="391"/>
      <c r="Q680" s="391"/>
      <c r="R680" s="392"/>
      <c r="S680" s="391"/>
      <c r="T680" s="391"/>
      <c r="U680" s="391"/>
      <c r="V680" s="391"/>
      <c r="W680" s="392"/>
      <c r="X680" s="391"/>
      <c r="Y680" s="391"/>
      <c r="Z680" s="391"/>
      <c r="AA680" s="391"/>
      <c r="AB680" s="392"/>
      <c r="AC680" s="391"/>
      <c r="AD680" s="391"/>
      <c r="AE680" s="391"/>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189"/>
      <c r="BE680" s="189"/>
      <c r="BF680" s="189"/>
    </row>
    <row r="681" spans="1:58" ht="15.75" customHeight="1" x14ac:dyDescent="0.2">
      <c r="A681" s="189"/>
      <c r="B681" s="189"/>
      <c r="C681" s="55"/>
      <c r="D681" s="391"/>
      <c r="E681" s="391"/>
      <c r="F681" s="391"/>
      <c r="G681" s="391"/>
      <c r="H681" s="392"/>
      <c r="I681" s="391"/>
      <c r="J681" s="391"/>
      <c r="K681" s="391"/>
      <c r="L681" s="391"/>
      <c r="M681" s="392"/>
      <c r="N681" s="391"/>
      <c r="O681" s="391"/>
      <c r="P681" s="391"/>
      <c r="Q681" s="391"/>
      <c r="R681" s="392"/>
      <c r="S681" s="391"/>
      <c r="T681" s="391"/>
      <c r="U681" s="391"/>
      <c r="V681" s="391"/>
      <c r="W681" s="392"/>
      <c r="X681" s="391"/>
      <c r="Y681" s="391"/>
      <c r="Z681" s="391"/>
      <c r="AA681" s="391"/>
      <c r="AB681" s="392"/>
      <c r="AC681" s="391"/>
      <c r="AD681" s="391"/>
      <c r="AE681" s="391"/>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189"/>
      <c r="BE681" s="189"/>
      <c r="BF681" s="189"/>
    </row>
    <row r="682" spans="1:58" ht="15.75" customHeight="1" x14ac:dyDescent="0.2">
      <c r="A682" s="189"/>
      <c r="B682" s="189"/>
      <c r="C682" s="55"/>
      <c r="D682" s="391"/>
      <c r="E682" s="391"/>
      <c r="F682" s="391"/>
      <c r="G682" s="391"/>
      <c r="H682" s="392"/>
      <c r="I682" s="391"/>
      <c r="J682" s="391"/>
      <c r="K682" s="391"/>
      <c r="L682" s="391"/>
      <c r="M682" s="392"/>
      <c r="N682" s="391"/>
      <c r="O682" s="391"/>
      <c r="P682" s="391"/>
      <c r="Q682" s="391"/>
      <c r="R682" s="392"/>
      <c r="S682" s="391"/>
      <c r="T682" s="391"/>
      <c r="U682" s="391"/>
      <c r="V682" s="391"/>
      <c r="W682" s="392"/>
      <c r="X682" s="391"/>
      <c r="Y682" s="391"/>
      <c r="Z682" s="391"/>
      <c r="AA682" s="391"/>
      <c r="AB682" s="392"/>
      <c r="AC682" s="391"/>
      <c r="AD682" s="391"/>
      <c r="AE682" s="391"/>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189"/>
      <c r="BE682" s="189"/>
      <c r="BF682" s="189"/>
    </row>
    <row r="683" spans="1:58" ht="15.75" customHeight="1" x14ac:dyDescent="0.2">
      <c r="A683" s="189"/>
      <c r="B683" s="189"/>
      <c r="C683" s="55"/>
      <c r="D683" s="391"/>
      <c r="E683" s="391"/>
      <c r="F683" s="391"/>
      <c r="G683" s="391"/>
      <c r="H683" s="392"/>
      <c r="I683" s="391"/>
      <c r="J683" s="391"/>
      <c r="K683" s="391"/>
      <c r="L683" s="391"/>
      <c r="M683" s="392"/>
      <c r="N683" s="391"/>
      <c r="O683" s="391"/>
      <c r="P683" s="391"/>
      <c r="Q683" s="391"/>
      <c r="R683" s="392"/>
      <c r="S683" s="391"/>
      <c r="T683" s="391"/>
      <c r="U683" s="391"/>
      <c r="V683" s="391"/>
      <c r="W683" s="392"/>
      <c r="X683" s="391"/>
      <c r="Y683" s="391"/>
      <c r="Z683" s="391"/>
      <c r="AA683" s="391"/>
      <c r="AB683" s="392"/>
      <c r="AC683" s="391"/>
      <c r="AD683" s="391"/>
      <c r="AE683" s="391"/>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189"/>
      <c r="BE683" s="189"/>
      <c r="BF683" s="189"/>
    </row>
    <row r="684" spans="1:58" ht="15.75" customHeight="1" x14ac:dyDescent="0.2">
      <c r="A684" s="189"/>
      <c r="B684" s="189"/>
      <c r="C684" s="55"/>
      <c r="D684" s="391"/>
      <c r="E684" s="391"/>
      <c r="F684" s="391"/>
      <c r="G684" s="391"/>
      <c r="H684" s="392"/>
      <c r="I684" s="391"/>
      <c r="J684" s="391"/>
      <c r="K684" s="391"/>
      <c r="L684" s="391"/>
      <c r="M684" s="392"/>
      <c r="N684" s="391"/>
      <c r="O684" s="391"/>
      <c r="P684" s="391"/>
      <c r="Q684" s="391"/>
      <c r="R684" s="392"/>
      <c r="S684" s="391"/>
      <c r="T684" s="391"/>
      <c r="U684" s="391"/>
      <c r="V684" s="391"/>
      <c r="W684" s="392"/>
      <c r="X684" s="391"/>
      <c r="Y684" s="391"/>
      <c r="Z684" s="391"/>
      <c r="AA684" s="391"/>
      <c r="AB684" s="392"/>
      <c r="AC684" s="391"/>
      <c r="AD684" s="391"/>
      <c r="AE684" s="391"/>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189"/>
      <c r="BE684" s="189"/>
      <c r="BF684" s="189"/>
    </row>
    <row r="685" spans="1:58" ht="15.75" customHeight="1" x14ac:dyDescent="0.2">
      <c r="A685" s="189"/>
      <c r="B685" s="189"/>
      <c r="C685" s="55"/>
      <c r="D685" s="391"/>
      <c r="E685" s="391"/>
      <c r="F685" s="391"/>
      <c r="G685" s="391"/>
      <c r="H685" s="392"/>
      <c r="I685" s="391"/>
      <c r="J685" s="391"/>
      <c r="K685" s="391"/>
      <c r="L685" s="391"/>
      <c r="M685" s="392"/>
      <c r="N685" s="391"/>
      <c r="O685" s="391"/>
      <c r="P685" s="391"/>
      <c r="Q685" s="391"/>
      <c r="R685" s="392"/>
      <c r="S685" s="391"/>
      <c r="T685" s="391"/>
      <c r="U685" s="391"/>
      <c r="V685" s="391"/>
      <c r="W685" s="392"/>
      <c r="X685" s="391"/>
      <c r="Y685" s="391"/>
      <c r="Z685" s="391"/>
      <c r="AA685" s="391"/>
      <c r="AB685" s="392"/>
      <c r="AC685" s="391"/>
      <c r="AD685" s="391"/>
      <c r="AE685" s="391"/>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row>
    <row r="686" spans="1:58" ht="15.75" customHeight="1" x14ac:dyDescent="0.2">
      <c r="A686" s="189"/>
      <c r="B686" s="189"/>
      <c r="C686" s="55"/>
      <c r="D686" s="391"/>
      <c r="E686" s="391"/>
      <c r="F686" s="391"/>
      <c r="G686" s="391"/>
      <c r="H686" s="392"/>
      <c r="I686" s="391"/>
      <c r="J686" s="391"/>
      <c r="K686" s="391"/>
      <c r="L686" s="391"/>
      <c r="M686" s="392"/>
      <c r="N686" s="391"/>
      <c r="O686" s="391"/>
      <c r="P686" s="391"/>
      <c r="Q686" s="391"/>
      <c r="R686" s="392"/>
      <c r="S686" s="391"/>
      <c r="T686" s="391"/>
      <c r="U686" s="391"/>
      <c r="V686" s="391"/>
      <c r="W686" s="392"/>
      <c r="X686" s="391"/>
      <c r="Y686" s="391"/>
      <c r="Z686" s="391"/>
      <c r="AA686" s="391"/>
      <c r="AB686" s="392"/>
      <c r="AC686" s="391"/>
      <c r="AD686" s="391"/>
      <c r="AE686" s="391"/>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189"/>
      <c r="BE686" s="189"/>
      <c r="BF686" s="189"/>
    </row>
    <row r="687" spans="1:58" ht="15.75" customHeight="1" x14ac:dyDescent="0.2">
      <c r="A687" s="189"/>
      <c r="B687" s="189"/>
      <c r="C687" s="55"/>
      <c r="D687" s="391"/>
      <c r="E687" s="391"/>
      <c r="F687" s="391"/>
      <c r="G687" s="391"/>
      <c r="H687" s="392"/>
      <c r="I687" s="391"/>
      <c r="J687" s="391"/>
      <c r="K687" s="391"/>
      <c r="L687" s="391"/>
      <c r="M687" s="392"/>
      <c r="N687" s="391"/>
      <c r="O687" s="391"/>
      <c r="P687" s="391"/>
      <c r="Q687" s="391"/>
      <c r="R687" s="392"/>
      <c r="S687" s="391"/>
      <c r="T687" s="391"/>
      <c r="U687" s="391"/>
      <c r="V687" s="391"/>
      <c r="W687" s="392"/>
      <c r="X687" s="391"/>
      <c r="Y687" s="391"/>
      <c r="Z687" s="391"/>
      <c r="AA687" s="391"/>
      <c r="AB687" s="392"/>
      <c r="AC687" s="391"/>
      <c r="AD687" s="391"/>
      <c r="AE687" s="391"/>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189"/>
      <c r="BE687" s="189"/>
      <c r="BF687" s="189"/>
    </row>
    <row r="688" spans="1:58" ht="15.75" customHeight="1" x14ac:dyDescent="0.2">
      <c r="A688" s="189"/>
      <c r="B688" s="189"/>
      <c r="C688" s="55"/>
      <c r="D688" s="391"/>
      <c r="E688" s="391"/>
      <c r="F688" s="391"/>
      <c r="G688" s="391"/>
      <c r="H688" s="392"/>
      <c r="I688" s="391"/>
      <c r="J688" s="391"/>
      <c r="K688" s="391"/>
      <c r="L688" s="391"/>
      <c r="M688" s="392"/>
      <c r="N688" s="391"/>
      <c r="O688" s="391"/>
      <c r="P688" s="391"/>
      <c r="Q688" s="391"/>
      <c r="R688" s="392"/>
      <c r="S688" s="391"/>
      <c r="T688" s="391"/>
      <c r="U688" s="391"/>
      <c r="V688" s="391"/>
      <c r="W688" s="392"/>
      <c r="X688" s="391"/>
      <c r="Y688" s="391"/>
      <c r="Z688" s="391"/>
      <c r="AA688" s="391"/>
      <c r="AB688" s="392"/>
      <c r="AC688" s="391"/>
      <c r="AD688" s="391"/>
      <c r="AE688" s="391"/>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189"/>
      <c r="BE688" s="189"/>
      <c r="BF688" s="189"/>
    </row>
    <row r="689" spans="1:58" ht="15.75" customHeight="1" x14ac:dyDescent="0.2">
      <c r="A689" s="189"/>
      <c r="B689" s="189"/>
      <c r="C689" s="55"/>
      <c r="D689" s="391"/>
      <c r="E689" s="391"/>
      <c r="F689" s="391"/>
      <c r="G689" s="391"/>
      <c r="H689" s="392"/>
      <c r="I689" s="391"/>
      <c r="J689" s="391"/>
      <c r="K689" s="391"/>
      <c r="L689" s="391"/>
      <c r="M689" s="392"/>
      <c r="N689" s="391"/>
      <c r="O689" s="391"/>
      <c r="P689" s="391"/>
      <c r="Q689" s="391"/>
      <c r="R689" s="392"/>
      <c r="S689" s="391"/>
      <c r="T689" s="391"/>
      <c r="U689" s="391"/>
      <c r="V689" s="391"/>
      <c r="W689" s="392"/>
      <c r="X689" s="391"/>
      <c r="Y689" s="391"/>
      <c r="Z689" s="391"/>
      <c r="AA689" s="391"/>
      <c r="AB689" s="392"/>
      <c r="AC689" s="391"/>
      <c r="AD689" s="391"/>
      <c r="AE689" s="391"/>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row>
    <row r="690" spans="1:58" ht="15.75" customHeight="1" x14ac:dyDescent="0.2">
      <c r="A690" s="189"/>
      <c r="B690" s="189"/>
      <c r="C690" s="55"/>
      <c r="D690" s="391"/>
      <c r="E690" s="391"/>
      <c r="F690" s="391"/>
      <c r="G690" s="391"/>
      <c r="H690" s="392"/>
      <c r="I690" s="391"/>
      <c r="J690" s="391"/>
      <c r="K690" s="391"/>
      <c r="L690" s="391"/>
      <c r="M690" s="392"/>
      <c r="N690" s="391"/>
      <c r="O690" s="391"/>
      <c r="P690" s="391"/>
      <c r="Q690" s="391"/>
      <c r="R690" s="392"/>
      <c r="S690" s="391"/>
      <c r="T690" s="391"/>
      <c r="U690" s="391"/>
      <c r="V690" s="391"/>
      <c r="W690" s="392"/>
      <c r="X690" s="391"/>
      <c r="Y690" s="391"/>
      <c r="Z690" s="391"/>
      <c r="AA690" s="391"/>
      <c r="AB690" s="392"/>
      <c r="AC690" s="391"/>
      <c r="AD690" s="391"/>
      <c r="AE690" s="391"/>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189"/>
      <c r="BE690" s="189"/>
      <c r="BF690" s="189"/>
    </row>
    <row r="691" spans="1:58" ht="15.75" customHeight="1" x14ac:dyDescent="0.2">
      <c r="A691" s="189"/>
      <c r="B691" s="189"/>
      <c r="C691" s="55"/>
      <c r="D691" s="391"/>
      <c r="E691" s="391"/>
      <c r="F691" s="391"/>
      <c r="G691" s="391"/>
      <c r="H691" s="392"/>
      <c r="I691" s="391"/>
      <c r="J691" s="391"/>
      <c r="K691" s="391"/>
      <c r="L691" s="391"/>
      <c r="M691" s="392"/>
      <c r="N691" s="391"/>
      <c r="O691" s="391"/>
      <c r="P691" s="391"/>
      <c r="Q691" s="391"/>
      <c r="R691" s="392"/>
      <c r="S691" s="391"/>
      <c r="T691" s="391"/>
      <c r="U691" s="391"/>
      <c r="V691" s="391"/>
      <c r="W691" s="392"/>
      <c r="X691" s="391"/>
      <c r="Y691" s="391"/>
      <c r="Z691" s="391"/>
      <c r="AA691" s="391"/>
      <c r="AB691" s="392"/>
      <c r="AC691" s="391"/>
      <c r="AD691" s="391"/>
      <c r="AE691" s="391"/>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189"/>
      <c r="BE691" s="189"/>
      <c r="BF691" s="189"/>
    </row>
    <row r="692" spans="1:58" ht="15.75" customHeight="1" x14ac:dyDescent="0.2">
      <c r="A692" s="189"/>
      <c r="B692" s="189"/>
      <c r="C692" s="55"/>
      <c r="D692" s="391"/>
      <c r="E692" s="391"/>
      <c r="F692" s="391"/>
      <c r="G692" s="391"/>
      <c r="H692" s="392"/>
      <c r="I692" s="391"/>
      <c r="J692" s="391"/>
      <c r="K692" s="391"/>
      <c r="L692" s="391"/>
      <c r="M692" s="392"/>
      <c r="N692" s="391"/>
      <c r="O692" s="391"/>
      <c r="P692" s="391"/>
      <c r="Q692" s="391"/>
      <c r="R692" s="392"/>
      <c r="S692" s="391"/>
      <c r="T692" s="391"/>
      <c r="U692" s="391"/>
      <c r="V692" s="391"/>
      <c r="W692" s="392"/>
      <c r="X692" s="391"/>
      <c r="Y692" s="391"/>
      <c r="Z692" s="391"/>
      <c r="AA692" s="391"/>
      <c r="AB692" s="392"/>
      <c r="AC692" s="391"/>
      <c r="AD692" s="391"/>
      <c r="AE692" s="391"/>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189"/>
      <c r="BE692" s="189"/>
      <c r="BF692" s="189"/>
    </row>
    <row r="693" spans="1:58" ht="15.75" customHeight="1" x14ac:dyDescent="0.2">
      <c r="A693" s="189"/>
      <c r="B693" s="189"/>
      <c r="C693" s="55"/>
      <c r="D693" s="391"/>
      <c r="E693" s="391"/>
      <c r="F693" s="391"/>
      <c r="G693" s="391"/>
      <c r="H693" s="392"/>
      <c r="I693" s="391"/>
      <c r="J693" s="391"/>
      <c r="K693" s="391"/>
      <c r="L693" s="391"/>
      <c r="M693" s="392"/>
      <c r="N693" s="391"/>
      <c r="O693" s="391"/>
      <c r="P693" s="391"/>
      <c r="Q693" s="391"/>
      <c r="R693" s="392"/>
      <c r="S693" s="391"/>
      <c r="T693" s="391"/>
      <c r="U693" s="391"/>
      <c r="V693" s="391"/>
      <c r="W693" s="392"/>
      <c r="X693" s="391"/>
      <c r="Y693" s="391"/>
      <c r="Z693" s="391"/>
      <c r="AA693" s="391"/>
      <c r="AB693" s="392"/>
      <c r="AC693" s="391"/>
      <c r="AD693" s="391"/>
      <c r="AE693" s="391"/>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row>
    <row r="694" spans="1:58" ht="15.75" customHeight="1" x14ac:dyDescent="0.2">
      <c r="A694" s="189"/>
      <c r="B694" s="189"/>
      <c r="C694" s="55"/>
      <c r="D694" s="391"/>
      <c r="E694" s="391"/>
      <c r="F694" s="391"/>
      <c r="G694" s="391"/>
      <c r="H694" s="392"/>
      <c r="I694" s="391"/>
      <c r="J694" s="391"/>
      <c r="K694" s="391"/>
      <c r="L694" s="391"/>
      <c r="M694" s="392"/>
      <c r="N694" s="391"/>
      <c r="O694" s="391"/>
      <c r="P694" s="391"/>
      <c r="Q694" s="391"/>
      <c r="R694" s="392"/>
      <c r="S694" s="391"/>
      <c r="T694" s="391"/>
      <c r="U694" s="391"/>
      <c r="V694" s="391"/>
      <c r="W694" s="392"/>
      <c r="X694" s="391"/>
      <c r="Y694" s="391"/>
      <c r="Z694" s="391"/>
      <c r="AA694" s="391"/>
      <c r="AB694" s="392"/>
      <c r="AC694" s="391"/>
      <c r="AD694" s="391"/>
      <c r="AE694" s="391"/>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189"/>
      <c r="BE694" s="189"/>
      <c r="BF694" s="189"/>
    </row>
    <row r="695" spans="1:58" ht="15.75" customHeight="1" x14ac:dyDescent="0.2">
      <c r="A695" s="189"/>
      <c r="B695" s="189"/>
      <c r="C695" s="55"/>
      <c r="D695" s="391"/>
      <c r="E695" s="391"/>
      <c r="F695" s="391"/>
      <c r="G695" s="391"/>
      <c r="H695" s="392"/>
      <c r="I695" s="391"/>
      <c r="J695" s="391"/>
      <c r="K695" s="391"/>
      <c r="L695" s="391"/>
      <c r="M695" s="392"/>
      <c r="N695" s="391"/>
      <c r="O695" s="391"/>
      <c r="P695" s="391"/>
      <c r="Q695" s="391"/>
      <c r="R695" s="392"/>
      <c r="S695" s="391"/>
      <c r="T695" s="391"/>
      <c r="U695" s="391"/>
      <c r="V695" s="391"/>
      <c r="W695" s="392"/>
      <c r="X695" s="391"/>
      <c r="Y695" s="391"/>
      <c r="Z695" s="391"/>
      <c r="AA695" s="391"/>
      <c r="AB695" s="392"/>
      <c r="AC695" s="391"/>
      <c r="AD695" s="391"/>
      <c r="AE695" s="391"/>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189"/>
      <c r="BE695" s="189"/>
      <c r="BF695" s="189"/>
    </row>
    <row r="696" spans="1:58" ht="15.75" customHeight="1" x14ac:dyDescent="0.2">
      <c r="A696" s="189"/>
      <c r="B696" s="189"/>
      <c r="C696" s="55"/>
      <c r="D696" s="391"/>
      <c r="E696" s="391"/>
      <c r="F696" s="391"/>
      <c r="G696" s="391"/>
      <c r="H696" s="392"/>
      <c r="I696" s="391"/>
      <c r="J696" s="391"/>
      <c r="K696" s="391"/>
      <c r="L696" s="391"/>
      <c r="M696" s="392"/>
      <c r="N696" s="391"/>
      <c r="O696" s="391"/>
      <c r="P696" s="391"/>
      <c r="Q696" s="391"/>
      <c r="R696" s="392"/>
      <c r="S696" s="391"/>
      <c r="T696" s="391"/>
      <c r="U696" s="391"/>
      <c r="V696" s="391"/>
      <c r="W696" s="392"/>
      <c r="X696" s="391"/>
      <c r="Y696" s="391"/>
      <c r="Z696" s="391"/>
      <c r="AA696" s="391"/>
      <c r="AB696" s="392"/>
      <c r="AC696" s="391"/>
      <c r="AD696" s="391"/>
      <c r="AE696" s="391"/>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189"/>
      <c r="BE696" s="189"/>
      <c r="BF696" s="189"/>
    </row>
    <row r="697" spans="1:58" ht="15.75" customHeight="1" x14ac:dyDescent="0.2">
      <c r="A697" s="189"/>
      <c r="B697" s="189"/>
      <c r="C697" s="55"/>
      <c r="D697" s="391"/>
      <c r="E697" s="391"/>
      <c r="F697" s="391"/>
      <c r="G697" s="391"/>
      <c r="H697" s="392"/>
      <c r="I697" s="391"/>
      <c r="J697" s="391"/>
      <c r="K697" s="391"/>
      <c r="L697" s="391"/>
      <c r="M697" s="392"/>
      <c r="N697" s="391"/>
      <c r="O697" s="391"/>
      <c r="P697" s="391"/>
      <c r="Q697" s="391"/>
      <c r="R697" s="392"/>
      <c r="S697" s="391"/>
      <c r="T697" s="391"/>
      <c r="U697" s="391"/>
      <c r="V697" s="391"/>
      <c r="W697" s="392"/>
      <c r="X697" s="391"/>
      <c r="Y697" s="391"/>
      <c r="Z697" s="391"/>
      <c r="AA697" s="391"/>
      <c r="AB697" s="392"/>
      <c r="AC697" s="391"/>
      <c r="AD697" s="391"/>
      <c r="AE697" s="391"/>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row>
    <row r="698" spans="1:58" ht="15.75" customHeight="1" x14ac:dyDescent="0.2">
      <c r="A698" s="189"/>
      <c r="B698" s="189"/>
      <c r="C698" s="55"/>
      <c r="D698" s="391"/>
      <c r="E698" s="391"/>
      <c r="F698" s="391"/>
      <c r="G698" s="391"/>
      <c r="H698" s="392"/>
      <c r="I698" s="391"/>
      <c r="J698" s="391"/>
      <c r="K698" s="391"/>
      <c r="L698" s="391"/>
      <c r="M698" s="392"/>
      <c r="N698" s="391"/>
      <c r="O698" s="391"/>
      <c r="P698" s="391"/>
      <c r="Q698" s="391"/>
      <c r="R698" s="392"/>
      <c r="S698" s="391"/>
      <c r="T698" s="391"/>
      <c r="U698" s="391"/>
      <c r="V698" s="391"/>
      <c r="W698" s="392"/>
      <c r="X698" s="391"/>
      <c r="Y698" s="391"/>
      <c r="Z698" s="391"/>
      <c r="AA698" s="391"/>
      <c r="AB698" s="392"/>
      <c r="AC698" s="391"/>
      <c r="AD698" s="391"/>
      <c r="AE698" s="391"/>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row>
    <row r="699" spans="1:58" ht="15.75" customHeight="1" x14ac:dyDescent="0.2">
      <c r="A699" s="189"/>
      <c r="B699" s="189"/>
      <c r="C699" s="55"/>
      <c r="D699" s="391"/>
      <c r="E699" s="391"/>
      <c r="F699" s="391"/>
      <c r="G699" s="391"/>
      <c r="H699" s="392"/>
      <c r="I699" s="391"/>
      <c r="J699" s="391"/>
      <c r="K699" s="391"/>
      <c r="L699" s="391"/>
      <c r="M699" s="392"/>
      <c r="N699" s="391"/>
      <c r="O699" s="391"/>
      <c r="P699" s="391"/>
      <c r="Q699" s="391"/>
      <c r="R699" s="392"/>
      <c r="S699" s="391"/>
      <c r="T699" s="391"/>
      <c r="U699" s="391"/>
      <c r="V699" s="391"/>
      <c r="W699" s="392"/>
      <c r="X699" s="391"/>
      <c r="Y699" s="391"/>
      <c r="Z699" s="391"/>
      <c r="AA699" s="391"/>
      <c r="AB699" s="392"/>
      <c r="AC699" s="391"/>
      <c r="AD699" s="391"/>
      <c r="AE699" s="391"/>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189"/>
      <c r="BE699" s="189"/>
      <c r="BF699" s="189"/>
    </row>
    <row r="700" spans="1:58" ht="15.75" customHeight="1" x14ac:dyDescent="0.2">
      <c r="A700" s="189"/>
      <c r="B700" s="189"/>
      <c r="C700" s="55"/>
      <c r="D700" s="391"/>
      <c r="E700" s="391"/>
      <c r="F700" s="391"/>
      <c r="G700" s="391"/>
      <c r="H700" s="392"/>
      <c r="I700" s="391"/>
      <c r="J700" s="391"/>
      <c r="K700" s="391"/>
      <c r="L700" s="391"/>
      <c r="M700" s="392"/>
      <c r="N700" s="391"/>
      <c r="O700" s="391"/>
      <c r="P700" s="391"/>
      <c r="Q700" s="391"/>
      <c r="R700" s="392"/>
      <c r="S700" s="391"/>
      <c r="T700" s="391"/>
      <c r="U700" s="391"/>
      <c r="V700" s="391"/>
      <c r="W700" s="392"/>
      <c r="X700" s="391"/>
      <c r="Y700" s="391"/>
      <c r="Z700" s="391"/>
      <c r="AA700" s="391"/>
      <c r="AB700" s="392"/>
      <c r="AC700" s="391"/>
      <c r="AD700" s="391"/>
      <c r="AE700" s="391"/>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189"/>
      <c r="BE700" s="189"/>
      <c r="BF700" s="189"/>
    </row>
    <row r="701" spans="1:58" ht="15.75" customHeight="1" x14ac:dyDescent="0.2">
      <c r="A701" s="189"/>
      <c r="B701" s="189"/>
      <c r="C701" s="55"/>
      <c r="D701" s="391"/>
      <c r="E701" s="391"/>
      <c r="F701" s="391"/>
      <c r="G701" s="391"/>
      <c r="H701" s="392"/>
      <c r="I701" s="391"/>
      <c r="J701" s="391"/>
      <c r="K701" s="391"/>
      <c r="L701" s="391"/>
      <c r="M701" s="392"/>
      <c r="N701" s="391"/>
      <c r="O701" s="391"/>
      <c r="P701" s="391"/>
      <c r="Q701" s="391"/>
      <c r="R701" s="392"/>
      <c r="S701" s="391"/>
      <c r="T701" s="391"/>
      <c r="U701" s="391"/>
      <c r="V701" s="391"/>
      <c r="W701" s="392"/>
      <c r="X701" s="391"/>
      <c r="Y701" s="391"/>
      <c r="Z701" s="391"/>
      <c r="AA701" s="391"/>
      <c r="AB701" s="392"/>
      <c r="AC701" s="391"/>
      <c r="AD701" s="391"/>
      <c r="AE701" s="391"/>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189"/>
      <c r="BE701" s="189"/>
      <c r="BF701" s="189"/>
    </row>
    <row r="702" spans="1:58" ht="15.75" customHeight="1" x14ac:dyDescent="0.2">
      <c r="A702" s="189"/>
      <c r="B702" s="189"/>
      <c r="C702" s="55"/>
      <c r="D702" s="391"/>
      <c r="E702" s="391"/>
      <c r="F702" s="391"/>
      <c r="G702" s="391"/>
      <c r="H702" s="392"/>
      <c r="I702" s="391"/>
      <c r="J702" s="391"/>
      <c r="K702" s="391"/>
      <c r="L702" s="391"/>
      <c r="M702" s="392"/>
      <c r="N702" s="391"/>
      <c r="O702" s="391"/>
      <c r="P702" s="391"/>
      <c r="Q702" s="391"/>
      <c r="R702" s="392"/>
      <c r="S702" s="391"/>
      <c r="T702" s="391"/>
      <c r="U702" s="391"/>
      <c r="V702" s="391"/>
      <c r="W702" s="392"/>
      <c r="X702" s="391"/>
      <c r="Y702" s="391"/>
      <c r="Z702" s="391"/>
      <c r="AA702" s="391"/>
      <c r="AB702" s="392"/>
      <c r="AC702" s="391"/>
      <c r="AD702" s="391"/>
      <c r="AE702" s="391"/>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189"/>
      <c r="BE702" s="189"/>
      <c r="BF702" s="189"/>
    </row>
    <row r="703" spans="1:58" ht="15.75" customHeight="1" x14ac:dyDescent="0.2">
      <c r="A703" s="189"/>
      <c r="B703" s="189"/>
      <c r="C703" s="55"/>
      <c r="D703" s="391"/>
      <c r="E703" s="391"/>
      <c r="F703" s="391"/>
      <c r="G703" s="391"/>
      <c r="H703" s="392"/>
      <c r="I703" s="391"/>
      <c r="J703" s="391"/>
      <c r="K703" s="391"/>
      <c r="L703" s="391"/>
      <c r="M703" s="392"/>
      <c r="N703" s="391"/>
      <c r="O703" s="391"/>
      <c r="P703" s="391"/>
      <c r="Q703" s="391"/>
      <c r="R703" s="392"/>
      <c r="S703" s="391"/>
      <c r="T703" s="391"/>
      <c r="U703" s="391"/>
      <c r="V703" s="391"/>
      <c r="W703" s="392"/>
      <c r="X703" s="391"/>
      <c r="Y703" s="391"/>
      <c r="Z703" s="391"/>
      <c r="AA703" s="391"/>
      <c r="AB703" s="392"/>
      <c r="AC703" s="391"/>
      <c r="AD703" s="391"/>
      <c r="AE703" s="391"/>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189"/>
      <c r="BE703" s="189"/>
      <c r="BF703" s="189"/>
    </row>
    <row r="704" spans="1:58" ht="15.75" customHeight="1" x14ac:dyDescent="0.2">
      <c r="A704" s="189"/>
      <c r="B704" s="189"/>
      <c r="C704" s="55"/>
      <c r="D704" s="391"/>
      <c r="E704" s="391"/>
      <c r="F704" s="391"/>
      <c r="G704" s="391"/>
      <c r="H704" s="392"/>
      <c r="I704" s="391"/>
      <c r="J704" s="391"/>
      <c r="K704" s="391"/>
      <c r="L704" s="391"/>
      <c r="M704" s="392"/>
      <c r="N704" s="391"/>
      <c r="O704" s="391"/>
      <c r="P704" s="391"/>
      <c r="Q704" s="391"/>
      <c r="R704" s="392"/>
      <c r="S704" s="391"/>
      <c r="T704" s="391"/>
      <c r="U704" s="391"/>
      <c r="V704" s="391"/>
      <c r="W704" s="392"/>
      <c r="X704" s="391"/>
      <c r="Y704" s="391"/>
      <c r="Z704" s="391"/>
      <c r="AA704" s="391"/>
      <c r="AB704" s="392"/>
      <c r="AC704" s="391"/>
      <c r="AD704" s="391"/>
      <c r="AE704" s="391"/>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189"/>
      <c r="BE704" s="189"/>
      <c r="BF704" s="189"/>
    </row>
    <row r="705" spans="1:58" ht="15.75" customHeight="1" x14ac:dyDescent="0.2">
      <c r="A705" s="189"/>
      <c r="B705" s="189"/>
      <c r="C705" s="55"/>
      <c r="D705" s="391"/>
      <c r="E705" s="391"/>
      <c r="F705" s="391"/>
      <c r="G705" s="391"/>
      <c r="H705" s="392"/>
      <c r="I705" s="391"/>
      <c r="J705" s="391"/>
      <c r="K705" s="391"/>
      <c r="L705" s="391"/>
      <c r="M705" s="392"/>
      <c r="N705" s="391"/>
      <c r="O705" s="391"/>
      <c r="P705" s="391"/>
      <c r="Q705" s="391"/>
      <c r="R705" s="392"/>
      <c r="S705" s="391"/>
      <c r="T705" s="391"/>
      <c r="U705" s="391"/>
      <c r="V705" s="391"/>
      <c r="W705" s="392"/>
      <c r="X705" s="391"/>
      <c r="Y705" s="391"/>
      <c r="Z705" s="391"/>
      <c r="AA705" s="391"/>
      <c r="AB705" s="392"/>
      <c r="AC705" s="391"/>
      <c r="AD705" s="391"/>
      <c r="AE705" s="391"/>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row>
    <row r="706" spans="1:58" ht="15.75" customHeight="1" x14ac:dyDescent="0.2">
      <c r="A706" s="189"/>
      <c r="B706" s="189"/>
      <c r="C706" s="55"/>
      <c r="D706" s="391"/>
      <c r="E706" s="391"/>
      <c r="F706" s="391"/>
      <c r="G706" s="391"/>
      <c r="H706" s="392"/>
      <c r="I706" s="391"/>
      <c r="J706" s="391"/>
      <c r="K706" s="391"/>
      <c r="L706" s="391"/>
      <c r="M706" s="392"/>
      <c r="N706" s="391"/>
      <c r="O706" s="391"/>
      <c r="P706" s="391"/>
      <c r="Q706" s="391"/>
      <c r="R706" s="392"/>
      <c r="S706" s="391"/>
      <c r="T706" s="391"/>
      <c r="U706" s="391"/>
      <c r="V706" s="391"/>
      <c r="W706" s="392"/>
      <c r="X706" s="391"/>
      <c r="Y706" s="391"/>
      <c r="Z706" s="391"/>
      <c r="AA706" s="391"/>
      <c r="AB706" s="392"/>
      <c r="AC706" s="391"/>
      <c r="AD706" s="391"/>
      <c r="AE706" s="391"/>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189"/>
      <c r="BE706" s="189"/>
      <c r="BF706" s="189"/>
    </row>
    <row r="707" spans="1:58" ht="15.75" customHeight="1" x14ac:dyDescent="0.2">
      <c r="A707" s="189"/>
      <c r="B707" s="189"/>
      <c r="C707" s="55"/>
      <c r="D707" s="391"/>
      <c r="E707" s="391"/>
      <c r="F707" s="391"/>
      <c r="G707" s="391"/>
      <c r="H707" s="392"/>
      <c r="I707" s="391"/>
      <c r="J707" s="391"/>
      <c r="K707" s="391"/>
      <c r="L707" s="391"/>
      <c r="M707" s="392"/>
      <c r="N707" s="391"/>
      <c r="O707" s="391"/>
      <c r="P707" s="391"/>
      <c r="Q707" s="391"/>
      <c r="R707" s="392"/>
      <c r="S707" s="391"/>
      <c r="T707" s="391"/>
      <c r="U707" s="391"/>
      <c r="V707" s="391"/>
      <c r="W707" s="392"/>
      <c r="X707" s="391"/>
      <c r="Y707" s="391"/>
      <c r="Z707" s="391"/>
      <c r="AA707" s="391"/>
      <c r="AB707" s="392"/>
      <c r="AC707" s="391"/>
      <c r="AD707" s="391"/>
      <c r="AE707" s="391"/>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189"/>
      <c r="BE707" s="189"/>
      <c r="BF707" s="189"/>
    </row>
    <row r="708" spans="1:58" ht="15.75" customHeight="1" x14ac:dyDescent="0.2">
      <c r="A708" s="189"/>
      <c r="B708" s="189"/>
      <c r="C708" s="55"/>
      <c r="D708" s="391"/>
      <c r="E708" s="391"/>
      <c r="F708" s="391"/>
      <c r="G708" s="391"/>
      <c r="H708" s="392"/>
      <c r="I708" s="391"/>
      <c r="J708" s="391"/>
      <c r="K708" s="391"/>
      <c r="L708" s="391"/>
      <c r="M708" s="392"/>
      <c r="N708" s="391"/>
      <c r="O708" s="391"/>
      <c r="P708" s="391"/>
      <c r="Q708" s="391"/>
      <c r="R708" s="392"/>
      <c r="S708" s="391"/>
      <c r="T708" s="391"/>
      <c r="U708" s="391"/>
      <c r="V708" s="391"/>
      <c r="W708" s="392"/>
      <c r="X708" s="391"/>
      <c r="Y708" s="391"/>
      <c r="Z708" s="391"/>
      <c r="AA708" s="391"/>
      <c r="AB708" s="392"/>
      <c r="AC708" s="391"/>
      <c r="AD708" s="391"/>
      <c r="AE708" s="391"/>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189"/>
      <c r="BE708" s="189"/>
      <c r="BF708" s="189"/>
    </row>
    <row r="709" spans="1:58" ht="15.75" customHeight="1" x14ac:dyDescent="0.2">
      <c r="A709" s="189"/>
      <c r="B709" s="189"/>
      <c r="C709" s="55"/>
      <c r="D709" s="391"/>
      <c r="E709" s="391"/>
      <c r="F709" s="391"/>
      <c r="G709" s="391"/>
      <c r="H709" s="392"/>
      <c r="I709" s="391"/>
      <c r="J709" s="391"/>
      <c r="K709" s="391"/>
      <c r="L709" s="391"/>
      <c r="M709" s="392"/>
      <c r="N709" s="391"/>
      <c r="O709" s="391"/>
      <c r="P709" s="391"/>
      <c r="Q709" s="391"/>
      <c r="R709" s="392"/>
      <c r="S709" s="391"/>
      <c r="T709" s="391"/>
      <c r="U709" s="391"/>
      <c r="V709" s="391"/>
      <c r="W709" s="392"/>
      <c r="X709" s="391"/>
      <c r="Y709" s="391"/>
      <c r="Z709" s="391"/>
      <c r="AA709" s="391"/>
      <c r="AB709" s="392"/>
      <c r="AC709" s="391"/>
      <c r="AD709" s="391"/>
      <c r="AE709" s="391"/>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189"/>
      <c r="BE709" s="189"/>
      <c r="BF709" s="189"/>
    </row>
    <row r="710" spans="1:58" ht="15.75" customHeight="1" x14ac:dyDescent="0.2">
      <c r="A710" s="189"/>
      <c r="B710" s="189"/>
      <c r="C710" s="55"/>
      <c r="D710" s="391"/>
      <c r="E710" s="391"/>
      <c r="F710" s="391"/>
      <c r="G710" s="391"/>
      <c r="H710" s="392"/>
      <c r="I710" s="391"/>
      <c r="J710" s="391"/>
      <c r="K710" s="391"/>
      <c r="L710" s="391"/>
      <c r="M710" s="392"/>
      <c r="N710" s="391"/>
      <c r="O710" s="391"/>
      <c r="P710" s="391"/>
      <c r="Q710" s="391"/>
      <c r="R710" s="392"/>
      <c r="S710" s="391"/>
      <c r="T710" s="391"/>
      <c r="U710" s="391"/>
      <c r="V710" s="391"/>
      <c r="W710" s="392"/>
      <c r="X710" s="391"/>
      <c r="Y710" s="391"/>
      <c r="Z710" s="391"/>
      <c r="AA710" s="391"/>
      <c r="AB710" s="392"/>
      <c r="AC710" s="391"/>
      <c r="AD710" s="391"/>
      <c r="AE710" s="391"/>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189"/>
      <c r="BE710" s="189"/>
      <c r="BF710" s="189"/>
    </row>
    <row r="711" spans="1:58" ht="15.75" customHeight="1" x14ac:dyDescent="0.2">
      <c r="A711" s="189"/>
      <c r="B711" s="189"/>
      <c r="C711" s="55"/>
      <c r="D711" s="391"/>
      <c r="E711" s="391"/>
      <c r="F711" s="391"/>
      <c r="G711" s="391"/>
      <c r="H711" s="392"/>
      <c r="I711" s="391"/>
      <c r="J711" s="391"/>
      <c r="K711" s="391"/>
      <c r="L711" s="391"/>
      <c r="M711" s="392"/>
      <c r="N711" s="391"/>
      <c r="O711" s="391"/>
      <c r="P711" s="391"/>
      <c r="Q711" s="391"/>
      <c r="R711" s="392"/>
      <c r="S711" s="391"/>
      <c r="T711" s="391"/>
      <c r="U711" s="391"/>
      <c r="V711" s="391"/>
      <c r="W711" s="392"/>
      <c r="X711" s="391"/>
      <c r="Y711" s="391"/>
      <c r="Z711" s="391"/>
      <c r="AA711" s="391"/>
      <c r="AB711" s="392"/>
      <c r="AC711" s="391"/>
      <c r="AD711" s="391"/>
      <c r="AE711" s="391"/>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row>
    <row r="712" spans="1:58" ht="15.75" customHeight="1" x14ac:dyDescent="0.2">
      <c r="A712" s="189"/>
      <c r="B712" s="189"/>
      <c r="C712" s="55"/>
      <c r="D712" s="391"/>
      <c r="E712" s="391"/>
      <c r="F712" s="391"/>
      <c r="G712" s="391"/>
      <c r="H712" s="392"/>
      <c r="I712" s="391"/>
      <c r="J712" s="391"/>
      <c r="K712" s="391"/>
      <c r="L712" s="391"/>
      <c r="M712" s="392"/>
      <c r="N712" s="391"/>
      <c r="O712" s="391"/>
      <c r="P712" s="391"/>
      <c r="Q712" s="391"/>
      <c r="R712" s="392"/>
      <c r="S712" s="391"/>
      <c r="T712" s="391"/>
      <c r="U712" s="391"/>
      <c r="V712" s="391"/>
      <c r="W712" s="392"/>
      <c r="X712" s="391"/>
      <c r="Y712" s="391"/>
      <c r="Z712" s="391"/>
      <c r="AA712" s="391"/>
      <c r="AB712" s="392"/>
      <c r="AC712" s="391"/>
      <c r="AD712" s="391"/>
      <c r="AE712" s="391"/>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189"/>
      <c r="BE712" s="189"/>
      <c r="BF712" s="189"/>
    </row>
    <row r="713" spans="1:58" ht="15.75" customHeight="1" x14ac:dyDescent="0.2">
      <c r="A713" s="189"/>
      <c r="B713" s="189"/>
      <c r="C713" s="55"/>
      <c r="D713" s="391"/>
      <c r="E713" s="391"/>
      <c r="F713" s="391"/>
      <c r="G713" s="391"/>
      <c r="H713" s="392"/>
      <c r="I713" s="391"/>
      <c r="J713" s="391"/>
      <c r="K713" s="391"/>
      <c r="L713" s="391"/>
      <c r="M713" s="392"/>
      <c r="N713" s="391"/>
      <c r="O713" s="391"/>
      <c r="P713" s="391"/>
      <c r="Q713" s="391"/>
      <c r="R713" s="392"/>
      <c r="S713" s="391"/>
      <c r="T713" s="391"/>
      <c r="U713" s="391"/>
      <c r="V713" s="391"/>
      <c r="W713" s="392"/>
      <c r="X713" s="391"/>
      <c r="Y713" s="391"/>
      <c r="Z713" s="391"/>
      <c r="AA713" s="391"/>
      <c r="AB713" s="392"/>
      <c r="AC713" s="391"/>
      <c r="AD713" s="391"/>
      <c r="AE713" s="391"/>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189"/>
      <c r="BE713" s="189"/>
      <c r="BF713" s="189"/>
    </row>
    <row r="714" spans="1:58" ht="15.75" customHeight="1" x14ac:dyDescent="0.2">
      <c r="A714" s="189"/>
      <c r="B714" s="189"/>
      <c r="C714" s="55"/>
      <c r="D714" s="391"/>
      <c r="E714" s="391"/>
      <c r="F714" s="391"/>
      <c r="G714" s="391"/>
      <c r="H714" s="392"/>
      <c r="I714" s="391"/>
      <c r="J714" s="391"/>
      <c r="K714" s="391"/>
      <c r="L714" s="391"/>
      <c r="M714" s="392"/>
      <c r="N714" s="391"/>
      <c r="O714" s="391"/>
      <c r="P714" s="391"/>
      <c r="Q714" s="391"/>
      <c r="R714" s="392"/>
      <c r="S714" s="391"/>
      <c r="T714" s="391"/>
      <c r="U714" s="391"/>
      <c r="V714" s="391"/>
      <c r="W714" s="392"/>
      <c r="X714" s="391"/>
      <c r="Y714" s="391"/>
      <c r="Z714" s="391"/>
      <c r="AA714" s="391"/>
      <c r="AB714" s="392"/>
      <c r="AC714" s="391"/>
      <c r="AD714" s="391"/>
      <c r="AE714" s="391"/>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189"/>
      <c r="BE714" s="189"/>
      <c r="BF714" s="189"/>
    </row>
    <row r="715" spans="1:58" ht="15.75" customHeight="1" x14ac:dyDescent="0.2">
      <c r="A715" s="189"/>
      <c r="B715" s="189"/>
      <c r="C715" s="55"/>
      <c r="D715" s="391"/>
      <c r="E715" s="391"/>
      <c r="F715" s="391"/>
      <c r="G715" s="391"/>
      <c r="H715" s="392"/>
      <c r="I715" s="391"/>
      <c r="J715" s="391"/>
      <c r="K715" s="391"/>
      <c r="L715" s="391"/>
      <c r="M715" s="392"/>
      <c r="N715" s="391"/>
      <c r="O715" s="391"/>
      <c r="P715" s="391"/>
      <c r="Q715" s="391"/>
      <c r="R715" s="392"/>
      <c r="S715" s="391"/>
      <c r="T715" s="391"/>
      <c r="U715" s="391"/>
      <c r="V715" s="391"/>
      <c r="W715" s="392"/>
      <c r="X715" s="391"/>
      <c r="Y715" s="391"/>
      <c r="Z715" s="391"/>
      <c r="AA715" s="391"/>
      <c r="AB715" s="392"/>
      <c r="AC715" s="391"/>
      <c r="AD715" s="391"/>
      <c r="AE715" s="391"/>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189"/>
      <c r="BE715" s="189"/>
      <c r="BF715" s="189"/>
    </row>
    <row r="716" spans="1:58" ht="15.75" customHeight="1" x14ac:dyDescent="0.2">
      <c r="A716" s="189"/>
      <c r="B716" s="189"/>
      <c r="C716" s="55"/>
      <c r="D716" s="391"/>
      <c r="E716" s="391"/>
      <c r="F716" s="391"/>
      <c r="G716" s="391"/>
      <c r="H716" s="392"/>
      <c r="I716" s="391"/>
      <c r="J716" s="391"/>
      <c r="K716" s="391"/>
      <c r="L716" s="391"/>
      <c r="M716" s="392"/>
      <c r="N716" s="391"/>
      <c r="O716" s="391"/>
      <c r="P716" s="391"/>
      <c r="Q716" s="391"/>
      <c r="R716" s="392"/>
      <c r="S716" s="391"/>
      <c r="T716" s="391"/>
      <c r="U716" s="391"/>
      <c r="V716" s="391"/>
      <c r="W716" s="392"/>
      <c r="X716" s="391"/>
      <c r="Y716" s="391"/>
      <c r="Z716" s="391"/>
      <c r="AA716" s="391"/>
      <c r="AB716" s="392"/>
      <c r="AC716" s="391"/>
      <c r="AD716" s="391"/>
      <c r="AE716" s="391"/>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189"/>
      <c r="BE716" s="189"/>
      <c r="BF716" s="189"/>
    </row>
    <row r="717" spans="1:58" ht="15.75" customHeight="1" x14ac:dyDescent="0.2">
      <c r="A717" s="189"/>
      <c r="B717" s="189"/>
      <c r="C717" s="55"/>
      <c r="D717" s="391"/>
      <c r="E717" s="391"/>
      <c r="F717" s="391"/>
      <c r="G717" s="391"/>
      <c r="H717" s="392"/>
      <c r="I717" s="391"/>
      <c r="J717" s="391"/>
      <c r="K717" s="391"/>
      <c r="L717" s="391"/>
      <c r="M717" s="392"/>
      <c r="N717" s="391"/>
      <c r="O717" s="391"/>
      <c r="P717" s="391"/>
      <c r="Q717" s="391"/>
      <c r="R717" s="392"/>
      <c r="S717" s="391"/>
      <c r="T717" s="391"/>
      <c r="U717" s="391"/>
      <c r="V717" s="391"/>
      <c r="W717" s="392"/>
      <c r="X717" s="391"/>
      <c r="Y717" s="391"/>
      <c r="Z717" s="391"/>
      <c r="AA717" s="391"/>
      <c r="AB717" s="392"/>
      <c r="AC717" s="391"/>
      <c r="AD717" s="391"/>
      <c r="AE717" s="391"/>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189"/>
      <c r="BE717" s="189"/>
      <c r="BF717" s="189"/>
    </row>
    <row r="718" spans="1:58" ht="15.75" customHeight="1" x14ac:dyDescent="0.2">
      <c r="A718" s="189"/>
      <c r="B718" s="189"/>
      <c r="C718" s="55"/>
      <c r="D718" s="391"/>
      <c r="E718" s="391"/>
      <c r="F718" s="391"/>
      <c r="G718" s="391"/>
      <c r="H718" s="392"/>
      <c r="I718" s="391"/>
      <c r="J718" s="391"/>
      <c r="K718" s="391"/>
      <c r="L718" s="391"/>
      <c r="M718" s="392"/>
      <c r="N718" s="391"/>
      <c r="O718" s="391"/>
      <c r="P718" s="391"/>
      <c r="Q718" s="391"/>
      <c r="R718" s="392"/>
      <c r="S718" s="391"/>
      <c r="T718" s="391"/>
      <c r="U718" s="391"/>
      <c r="V718" s="391"/>
      <c r="W718" s="392"/>
      <c r="X718" s="391"/>
      <c r="Y718" s="391"/>
      <c r="Z718" s="391"/>
      <c r="AA718" s="391"/>
      <c r="AB718" s="392"/>
      <c r="AC718" s="391"/>
      <c r="AD718" s="391"/>
      <c r="AE718" s="391"/>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189"/>
      <c r="BE718" s="189"/>
      <c r="BF718" s="189"/>
    </row>
    <row r="719" spans="1:58" ht="15.75" customHeight="1" x14ac:dyDescent="0.2">
      <c r="A719" s="189"/>
      <c r="B719" s="189"/>
      <c r="C719" s="55"/>
      <c r="D719" s="391"/>
      <c r="E719" s="391"/>
      <c r="F719" s="391"/>
      <c r="G719" s="391"/>
      <c r="H719" s="392"/>
      <c r="I719" s="391"/>
      <c r="J719" s="391"/>
      <c r="K719" s="391"/>
      <c r="L719" s="391"/>
      <c r="M719" s="392"/>
      <c r="N719" s="391"/>
      <c r="O719" s="391"/>
      <c r="P719" s="391"/>
      <c r="Q719" s="391"/>
      <c r="R719" s="392"/>
      <c r="S719" s="391"/>
      <c r="T719" s="391"/>
      <c r="U719" s="391"/>
      <c r="V719" s="391"/>
      <c r="W719" s="392"/>
      <c r="X719" s="391"/>
      <c r="Y719" s="391"/>
      <c r="Z719" s="391"/>
      <c r="AA719" s="391"/>
      <c r="AB719" s="392"/>
      <c r="AC719" s="391"/>
      <c r="AD719" s="391"/>
      <c r="AE719" s="391"/>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189"/>
      <c r="BE719" s="189"/>
      <c r="BF719" s="189"/>
    </row>
    <row r="720" spans="1:58" ht="15.75" customHeight="1" x14ac:dyDescent="0.2">
      <c r="A720" s="189"/>
      <c r="B720" s="189"/>
      <c r="C720" s="55"/>
      <c r="D720" s="391"/>
      <c r="E720" s="391"/>
      <c r="F720" s="391"/>
      <c r="G720" s="391"/>
      <c r="H720" s="392"/>
      <c r="I720" s="391"/>
      <c r="J720" s="391"/>
      <c r="K720" s="391"/>
      <c r="L720" s="391"/>
      <c r="M720" s="392"/>
      <c r="N720" s="391"/>
      <c r="O720" s="391"/>
      <c r="P720" s="391"/>
      <c r="Q720" s="391"/>
      <c r="R720" s="392"/>
      <c r="S720" s="391"/>
      <c r="T720" s="391"/>
      <c r="U720" s="391"/>
      <c r="V720" s="391"/>
      <c r="W720" s="392"/>
      <c r="X720" s="391"/>
      <c r="Y720" s="391"/>
      <c r="Z720" s="391"/>
      <c r="AA720" s="391"/>
      <c r="AB720" s="392"/>
      <c r="AC720" s="391"/>
      <c r="AD720" s="391"/>
      <c r="AE720" s="391"/>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189"/>
      <c r="BE720" s="189"/>
      <c r="BF720" s="189"/>
    </row>
    <row r="721" spans="1:58" ht="15.75" customHeight="1" x14ac:dyDescent="0.2">
      <c r="A721" s="189"/>
      <c r="B721" s="189"/>
      <c r="C721" s="55"/>
      <c r="D721" s="391"/>
      <c r="E721" s="391"/>
      <c r="F721" s="391"/>
      <c r="G721" s="391"/>
      <c r="H721" s="392"/>
      <c r="I721" s="391"/>
      <c r="J721" s="391"/>
      <c r="K721" s="391"/>
      <c r="L721" s="391"/>
      <c r="M721" s="392"/>
      <c r="N721" s="391"/>
      <c r="O721" s="391"/>
      <c r="P721" s="391"/>
      <c r="Q721" s="391"/>
      <c r="R721" s="392"/>
      <c r="S721" s="391"/>
      <c r="T721" s="391"/>
      <c r="U721" s="391"/>
      <c r="V721" s="391"/>
      <c r="W721" s="392"/>
      <c r="X721" s="391"/>
      <c r="Y721" s="391"/>
      <c r="Z721" s="391"/>
      <c r="AA721" s="391"/>
      <c r="AB721" s="392"/>
      <c r="AC721" s="391"/>
      <c r="AD721" s="391"/>
      <c r="AE721" s="391"/>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189"/>
      <c r="BE721" s="189"/>
      <c r="BF721" s="189"/>
    </row>
    <row r="722" spans="1:58" ht="15.75" customHeight="1" x14ac:dyDescent="0.2">
      <c r="A722" s="189"/>
      <c r="B722" s="189"/>
      <c r="C722" s="55"/>
      <c r="D722" s="391"/>
      <c r="E722" s="391"/>
      <c r="F722" s="391"/>
      <c r="G722" s="391"/>
      <c r="H722" s="392"/>
      <c r="I722" s="391"/>
      <c r="J722" s="391"/>
      <c r="K722" s="391"/>
      <c r="L722" s="391"/>
      <c r="M722" s="392"/>
      <c r="N722" s="391"/>
      <c r="O722" s="391"/>
      <c r="P722" s="391"/>
      <c r="Q722" s="391"/>
      <c r="R722" s="392"/>
      <c r="S722" s="391"/>
      <c r="T722" s="391"/>
      <c r="U722" s="391"/>
      <c r="V722" s="391"/>
      <c r="W722" s="392"/>
      <c r="X722" s="391"/>
      <c r="Y722" s="391"/>
      <c r="Z722" s="391"/>
      <c r="AA722" s="391"/>
      <c r="AB722" s="392"/>
      <c r="AC722" s="391"/>
      <c r="AD722" s="391"/>
      <c r="AE722" s="391"/>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189"/>
      <c r="BE722" s="189"/>
      <c r="BF722" s="189"/>
    </row>
    <row r="723" spans="1:58" ht="15.75" customHeight="1" x14ac:dyDescent="0.2">
      <c r="A723" s="189"/>
      <c r="B723" s="189"/>
      <c r="C723" s="55"/>
      <c r="D723" s="391"/>
      <c r="E723" s="391"/>
      <c r="F723" s="391"/>
      <c r="G723" s="391"/>
      <c r="H723" s="392"/>
      <c r="I723" s="391"/>
      <c r="J723" s="391"/>
      <c r="K723" s="391"/>
      <c r="L723" s="391"/>
      <c r="M723" s="392"/>
      <c r="N723" s="391"/>
      <c r="O723" s="391"/>
      <c r="P723" s="391"/>
      <c r="Q723" s="391"/>
      <c r="R723" s="392"/>
      <c r="S723" s="391"/>
      <c r="T723" s="391"/>
      <c r="U723" s="391"/>
      <c r="V723" s="391"/>
      <c r="W723" s="392"/>
      <c r="X723" s="391"/>
      <c r="Y723" s="391"/>
      <c r="Z723" s="391"/>
      <c r="AA723" s="391"/>
      <c r="AB723" s="392"/>
      <c r="AC723" s="391"/>
      <c r="AD723" s="391"/>
      <c r="AE723" s="391"/>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189"/>
      <c r="BE723" s="189"/>
      <c r="BF723" s="189"/>
    </row>
    <row r="724" spans="1:58" ht="15.75" customHeight="1" x14ac:dyDescent="0.2">
      <c r="A724" s="189"/>
      <c r="B724" s="189"/>
      <c r="C724" s="55"/>
      <c r="D724" s="391"/>
      <c r="E724" s="391"/>
      <c r="F724" s="391"/>
      <c r="G724" s="391"/>
      <c r="H724" s="392"/>
      <c r="I724" s="391"/>
      <c r="J724" s="391"/>
      <c r="K724" s="391"/>
      <c r="L724" s="391"/>
      <c r="M724" s="392"/>
      <c r="N724" s="391"/>
      <c r="O724" s="391"/>
      <c r="P724" s="391"/>
      <c r="Q724" s="391"/>
      <c r="R724" s="392"/>
      <c r="S724" s="391"/>
      <c r="T724" s="391"/>
      <c r="U724" s="391"/>
      <c r="V724" s="391"/>
      <c r="W724" s="392"/>
      <c r="X724" s="391"/>
      <c r="Y724" s="391"/>
      <c r="Z724" s="391"/>
      <c r="AA724" s="391"/>
      <c r="AB724" s="392"/>
      <c r="AC724" s="391"/>
      <c r="AD724" s="391"/>
      <c r="AE724" s="391"/>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189"/>
      <c r="BE724" s="189"/>
      <c r="BF724" s="189"/>
    </row>
    <row r="725" spans="1:58" ht="15.75" customHeight="1" x14ac:dyDescent="0.2">
      <c r="A725" s="189"/>
      <c r="B725" s="189"/>
      <c r="C725" s="55"/>
      <c r="D725" s="391"/>
      <c r="E725" s="391"/>
      <c r="F725" s="391"/>
      <c r="G725" s="391"/>
      <c r="H725" s="392"/>
      <c r="I725" s="391"/>
      <c r="J725" s="391"/>
      <c r="K725" s="391"/>
      <c r="L725" s="391"/>
      <c r="M725" s="392"/>
      <c r="N725" s="391"/>
      <c r="O725" s="391"/>
      <c r="P725" s="391"/>
      <c r="Q725" s="391"/>
      <c r="R725" s="392"/>
      <c r="S725" s="391"/>
      <c r="T725" s="391"/>
      <c r="U725" s="391"/>
      <c r="V725" s="391"/>
      <c r="W725" s="392"/>
      <c r="X725" s="391"/>
      <c r="Y725" s="391"/>
      <c r="Z725" s="391"/>
      <c r="AA725" s="391"/>
      <c r="AB725" s="392"/>
      <c r="AC725" s="391"/>
      <c r="AD725" s="391"/>
      <c r="AE725" s="391"/>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189"/>
      <c r="BE725" s="189"/>
      <c r="BF725" s="189"/>
    </row>
    <row r="726" spans="1:58" ht="15.75" customHeight="1" x14ac:dyDescent="0.2">
      <c r="A726" s="189"/>
      <c r="B726" s="189"/>
      <c r="C726" s="55"/>
      <c r="D726" s="391"/>
      <c r="E726" s="391"/>
      <c r="F726" s="391"/>
      <c r="G726" s="391"/>
      <c r="H726" s="392"/>
      <c r="I726" s="391"/>
      <c r="J726" s="391"/>
      <c r="K726" s="391"/>
      <c r="L726" s="391"/>
      <c r="M726" s="392"/>
      <c r="N726" s="391"/>
      <c r="O726" s="391"/>
      <c r="P726" s="391"/>
      <c r="Q726" s="391"/>
      <c r="R726" s="392"/>
      <c r="S726" s="391"/>
      <c r="T726" s="391"/>
      <c r="U726" s="391"/>
      <c r="V726" s="391"/>
      <c r="W726" s="392"/>
      <c r="X726" s="391"/>
      <c r="Y726" s="391"/>
      <c r="Z726" s="391"/>
      <c r="AA726" s="391"/>
      <c r="AB726" s="392"/>
      <c r="AC726" s="391"/>
      <c r="AD726" s="391"/>
      <c r="AE726" s="391"/>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189"/>
      <c r="BE726" s="189"/>
      <c r="BF726" s="189"/>
    </row>
    <row r="727" spans="1:58" ht="15.75" customHeight="1" x14ac:dyDescent="0.2">
      <c r="A727" s="189"/>
      <c r="B727" s="189"/>
      <c r="C727" s="55"/>
      <c r="D727" s="391"/>
      <c r="E727" s="391"/>
      <c r="F727" s="391"/>
      <c r="G727" s="391"/>
      <c r="H727" s="392"/>
      <c r="I727" s="391"/>
      <c r="J727" s="391"/>
      <c r="K727" s="391"/>
      <c r="L727" s="391"/>
      <c r="M727" s="392"/>
      <c r="N727" s="391"/>
      <c r="O727" s="391"/>
      <c r="P727" s="391"/>
      <c r="Q727" s="391"/>
      <c r="R727" s="392"/>
      <c r="S727" s="391"/>
      <c r="T727" s="391"/>
      <c r="U727" s="391"/>
      <c r="V727" s="391"/>
      <c r="W727" s="392"/>
      <c r="X727" s="391"/>
      <c r="Y727" s="391"/>
      <c r="Z727" s="391"/>
      <c r="AA727" s="391"/>
      <c r="AB727" s="392"/>
      <c r="AC727" s="391"/>
      <c r="AD727" s="391"/>
      <c r="AE727" s="391"/>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c r="BD727" s="189"/>
      <c r="BE727" s="189"/>
      <c r="BF727" s="189"/>
    </row>
    <row r="728" spans="1:58" ht="15.75" customHeight="1" x14ac:dyDescent="0.2">
      <c r="A728" s="189"/>
      <c r="B728" s="189"/>
      <c r="C728" s="55"/>
      <c r="D728" s="391"/>
      <c r="E728" s="391"/>
      <c r="F728" s="391"/>
      <c r="G728" s="391"/>
      <c r="H728" s="392"/>
      <c r="I728" s="391"/>
      <c r="J728" s="391"/>
      <c r="K728" s="391"/>
      <c r="L728" s="391"/>
      <c r="M728" s="392"/>
      <c r="N728" s="391"/>
      <c r="O728" s="391"/>
      <c r="P728" s="391"/>
      <c r="Q728" s="391"/>
      <c r="R728" s="392"/>
      <c r="S728" s="391"/>
      <c r="T728" s="391"/>
      <c r="U728" s="391"/>
      <c r="V728" s="391"/>
      <c r="W728" s="392"/>
      <c r="X728" s="391"/>
      <c r="Y728" s="391"/>
      <c r="Z728" s="391"/>
      <c r="AA728" s="391"/>
      <c r="AB728" s="392"/>
      <c r="AC728" s="391"/>
      <c r="AD728" s="391"/>
      <c r="AE728" s="391"/>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c r="BD728" s="189"/>
      <c r="BE728" s="189"/>
      <c r="BF728" s="189"/>
    </row>
    <row r="729" spans="1:58" ht="15.75" customHeight="1" x14ac:dyDescent="0.2">
      <c r="A729" s="189"/>
      <c r="B729" s="189"/>
      <c r="C729" s="55"/>
      <c r="D729" s="391"/>
      <c r="E729" s="391"/>
      <c r="F729" s="391"/>
      <c r="G729" s="391"/>
      <c r="H729" s="392"/>
      <c r="I729" s="391"/>
      <c r="J729" s="391"/>
      <c r="K729" s="391"/>
      <c r="L729" s="391"/>
      <c r="M729" s="392"/>
      <c r="N729" s="391"/>
      <c r="O729" s="391"/>
      <c r="P729" s="391"/>
      <c r="Q729" s="391"/>
      <c r="R729" s="392"/>
      <c r="S729" s="391"/>
      <c r="T729" s="391"/>
      <c r="U729" s="391"/>
      <c r="V729" s="391"/>
      <c r="W729" s="392"/>
      <c r="X729" s="391"/>
      <c r="Y729" s="391"/>
      <c r="Z729" s="391"/>
      <c r="AA729" s="391"/>
      <c r="AB729" s="392"/>
      <c r="AC729" s="391"/>
      <c r="AD729" s="391"/>
      <c r="AE729" s="391"/>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c r="BD729" s="189"/>
      <c r="BE729" s="189"/>
      <c r="BF729" s="189"/>
    </row>
    <row r="730" spans="1:58" ht="15.75" customHeight="1" x14ac:dyDescent="0.2">
      <c r="A730" s="189"/>
      <c r="B730" s="189"/>
      <c r="C730" s="55"/>
      <c r="D730" s="391"/>
      <c r="E730" s="391"/>
      <c r="F730" s="391"/>
      <c r="G730" s="391"/>
      <c r="H730" s="392"/>
      <c r="I730" s="391"/>
      <c r="J730" s="391"/>
      <c r="K730" s="391"/>
      <c r="L730" s="391"/>
      <c r="M730" s="392"/>
      <c r="N730" s="391"/>
      <c r="O730" s="391"/>
      <c r="P730" s="391"/>
      <c r="Q730" s="391"/>
      <c r="R730" s="392"/>
      <c r="S730" s="391"/>
      <c r="T730" s="391"/>
      <c r="U730" s="391"/>
      <c r="V730" s="391"/>
      <c r="W730" s="392"/>
      <c r="X730" s="391"/>
      <c r="Y730" s="391"/>
      <c r="Z730" s="391"/>
      <c r="AA730" s="391"/>
      <c r="AB730" s="392"/>
      <c r="AC730" s="391"/>
      <c r="AD730" s="391"/>
      <c r="AE730" s="391"/>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c r="BD730" s="189"/>
      <c r="BE730" s="189"/>
      <c r="BF730" s="189"/>
    </row>
    <row r="731" spans="1:58" ht="15.75" customHeight="1" x14ac:dyDescent="0.2">
      <c r="A731" s="189"/>
      <c r="B731" s="189"/>
      <c r="C731" s="55"/>
      <c r="D731" s="391"/>
      <c r="E731" s="391"/>
      <c r="F731" s="391"/>
      <c r="G731" s="391"/>
      <c r="H731" s="392"/>
      <c r="I731" s="391"/>
      <c r="J731" s="391"/>
      <c r="K731" s="391"/>
      <c r="L731" s="391"/>
      <c r="M731" s="392"/>
      <c r="N731" s="391"/>
      <c r="O731" s="391"/>
      <c r="P731" s="391"/>
      <c r="Q731" s="391"/>
      <c r="R731" s="392"/>
      <c r="S731" s="391"/>
      <c r="T731" s="391"/>
      <c r="U731" s="391"/>
      <c r="V731" s="391"/>
      <c r="W731" s="392"/>
      <c r="X731" s="391"/>
      <c r="Y731" s="391"/>
      <c r="Z731" s="391"/>
      <c r="AA731" s="391"/>
      <c r="AB731" s="392"/>
      <c r="AC731" s="391"/>
      <c r="AD731" s="391"/>
      <c r="AE731" s="391"/>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c r="BD731" s="189"/>
      <c r="BE731" s="189"/>
      <c r="BF731" s="189"/>
    </row>
    <row r="732" spans="1:58" ht="15.75" customHeight="1" x14ac:dyDescent="0.2">
      <c r="A732" s="189"/>
      <c r="B732" s="189"/>
      <c r="C732" s="55"/>
      <c r="D732" s="391"/>
      <c r="E732" s="391"/>
      <c r="F732" s="391"/>
      <c r="G732" s="391"/>
      <c r="H732" s="392"/>
      <c r="I732" s="391"/>
      <c r="J732" s="391"/>
      <c r="K732" s="391"/>
      <c r="L732" s="391"/>
      <c r="M732" s="392"/>
      <c r="N732" s="391"/>
      <c r="O732" s="391"/>
      <c r="P732" s="391"/>
      <c r="Q732" s="391"/>
      <c r="R732" s="392"/>
      <c r="S732" s="391"/>
      <c r="T732" s="391"/>
      <c r="U732" s="391"/>
      <c r="V732" s="391"/>
      <c r="W732" s="392"/>
      <c r="X732" s="391"/>
      <c r="Y732" s="391"/>
      <c r="Z732" s="391"/>
      <c r="AA732" s="391"/>
      <c r="AB732" s="392"/>
      <c r="AC732" s="391"/>
      <c r="AD732" s="391"/>
      <c r="AE732" s="391"/>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c r="BD732" s="189"/>
      <c r="BE732" s="189"/>
      <c r="BF732" s="189"/>
    </row>
    <row r="733" spans="1:58" ht="15.75" customHeight="1" x14ac:dyDescent="0.2">
      <c r="A733" s="189"/>
      <c r="B733" s="189"/>
      <c r="C733" s="55"/>
      <c r="D733" s="391"/>
      <c r="E733" s="391"/>
      <c r="F733" s="391"/>
      <c r="G733" s="391"/>
      <c r="H733" s="392"/>
      <c r="I733" s="391"/>
      <c r="J733" s="391"/>
      <c r="K733" s="391"/>
      <c r="L733" s="391"/>
      <c r="M733" s="392"/>
      <c r="N733" s="391"/>
      <c r="O733" s="391"/>
      <c r="P733" s="391"/>
      <c r="Q733" s="391"/>
      <c r="R733" s="392"/>
      <c r="S733" s="391"/>
      <c r="T733" s="391"/>
      <c r="U733" s="391"/>
      <c r="V733" s="391"/>
      <c r="W733" s="392"/>
      <c r="X733" s="391"/>
      <c r="Y733" s="391"/>
      <c r="Z733" s="391"/>
      <c r="AA733" s="391"/>
      <c r="AB733" s="392"/>
      <c r="AC733" s="391"/>
      <c r="AD733" s="391"/>
      <c r="AE733" s="391"/>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c r="BD733" s="189"/>
      <c r="BE733" s="189"/>
      <c r="BF733" s="189"/>
    </row>
    <row r="734" spans="1:58" ht="15.75" customHeight="1" x14ac:dyDescent="0.2">
      <c r="A734" s="189"/>
      <c r="B734" s="189"/>
      <c r="C734" s="55"/>
      <c r="D734" s="391"/>
      <c r="E734" s="391"/>
      <c r="F734" s="391"/>
      <c r="G734" s="391"/>
      <c r="H734" s="392"/>
      <c r="I734" s="391"/>
      <c r="J734" s="391"/>
      <c r="K734" s="391"/>
      <c r="L734" s="391"/>
      <c r="M734" s="392"/>
      <c r="N734" s="391"/>
      <c r="O734" s="391"/>
      <c r="P734" s="391"/>
      <c r="Q734" s="391"/>
      <c r="R734" s="392"/>
      <c r="S734" s="391"/>
      <c r="T734" s="391"/>
      <c r="U734" s="391"/>
      <c r="V734" s="391"/>
      <c r="W734" s="392"/>
      <c r="X734" s="391"/>
      <c r="Y734" s="391"/>
      <c r="Z734" s="391"/>
      <c r="AA734" s="391"/>
      <c r="AB734" s="392"/>
      <c r="AC734" s="391"/>
      <c r="AD734" s="391"/>
      <c r="AE734" s="391"/>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c r="BD734" s="189"/>
      <c r="BE734" s="189"/>
      <c r="BF734" s="189"/>
    </row>
    <row r="735" spans="1:58" ht="15.75" customHeight="1" x14ac:dyDescent="0.2">
      <c r="A735" s="189"/>
      <c r="B735" s="189"/>
      <c r="C735" s="55"/>
      <c r="D735" s="391"/>
      <c r="E735" s="391"/>
      <c r="F735" s="391"/>
      <c r="G735" s="391"/>
      <c r="H735" s="392"/>
      <c r="I735" s="391"/>
      <c r="J735" s="391"/>
      <c r="K735" s="391"/>
      <c r="L735" s="391"/>
      <c r="M735" s="392"/>
      <c r="N735" s="391"/>
      <c r="O735" s="391"/>
      <c r="P735" s="391"/>
      <c r="Q735" s="391"/>
      <c r="R735" s="392"/>
      <c r="S735" s="391"/>
      <c r="T735" s="391"/>
      <c r="U735" s="391"/>
      <c r="V735" s="391"/>
      <c r="W735" s="392"/>
      <c r="X735" s="391"/>
      <c r="Y735" s="391"/>
      <c r="Z735" s="391"/>
      <c r="AA735" s="391"/>
      <c r="AB735" s="392"/>
      <c r="AC735" s="391"/>
      <c r="AD735" s="391"/>
      <c r="AE735" s="391"/>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c r="BD735" s="189"/>
      <c r="BE735" s="189"/>
      <c r="BF735" s="189"/>
    </row>
    <row r="736" spans="1:58" ht="15.75" customHeight="1" x14ac:dyDescent="0.2">
      <c r="A736" s="189"/>
      <c r="B736" s="189"/>
      <c r="C736" s="55"/>
      <c r="D736" s="391"/>
      <c r="E736" s="391"/>
      <c r="F736" s="391"/>
      <c r="G736" s="391"/>
      <c r="H736" s="392"/>
      <c r="I736" s="391"/>
      <c r="J736" s="391"/>
      <c r="K736" s="391"/>
      <c r="L736" s="391"/>
      <c r="M736" s="392"/>
      <c r="N736" s="391"/>
      <c r="O736" s="391"/>
      <c r="P736" s="391"/>
      <c r="Q736" s="391"/>
      <c r="R736" s="392"/>
      <c r="S736" s="391"/>
      <c r="T736" s="391"/>
      <c r="U736" s="391"/>
      <c r="V736" s="391"/>
      <c r="W736" s="392"/>
      <c r="X736" s="391"/>
      <c r="Y736" s="391"/>
      <c r="Z736" s="391"/>
      <c r="AA736" s="391"/>
      <c r="AB736" s="392"/>
      <c r="AC736" s="391"/>
      <c r="AD736" s="391"/>
      <c r="AE736" s="391"/>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c r="BD736" s="189"/>
      <c r="BE736" s="189"/>
      <c r="BF736" s="189"/>
    </row>
    <row r="737" spans="1:58" ht="15.75" customHeight="1" x14ac:dyDescent="0.2">
      <c r="A737" s="189"/>
      <c r="B737" s="189"/>
      <c r="C737" s="55"/>
      <c r="D737" s="391"/>
      <c r="E737" s="391"/>
      <c r="F737" s="391"/>
      <c r="G737" s="391"/>
      <c r="H737" s="392"/>
      <c r="I737" s="391"/>
      <c r="J737" s="391"/>
      <c r="K737" s="391"/>
      <c r="L737" s="391"/>
      <c r="M737" s="392"/>
      <c r="N737" s="391"/>
      <c r="O737" s="391"/>
      <c r="P737" s="391"/>
      <c r="Q737" s="391"/>
      <c r="R737" s="392"/>
      <c r="S737" s="391"/>
      <c r="T737" s="391"/>
      <c r="U737" s="391"/>
      <c r="V737" s="391"/>
      <c r="W737" s="392"/>
      <c r="X737" s="391"/>
      <c r="Y737" s="391"/>
      <c r="Z737" s="391"/>
      <c r="AA737" s="391"/>
      <c r="AB737" s="392"/>
      <c r="AC737" s="391"/>
      <c r="AD737" s="391"/>
      <c r="AE737" s="391"/>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c r="BD737" s="189"/>
      <c r="BE737" s="189"/>
      <c r="BF737" s="189"/>
    </row>
    <row r="738" spans="1:58" ht="15.75" customHeight="1" x14ac:dyDescent="0.2">
      <c r="A738" s="189"/>
      <c r="B738" s="189"/>
      <c r="C738" s="55"/>
      <c r="D738" s="391"/>
      <c r="E738" s="391"/>
      <c r="F738" s="391"/>
      <c r="G738" s="391"/>
      <c r="H738" s="392"/>
      <c r="I738" s="391"/>
      <c r="J738" s="391"/>
      <c r="K738" s="391"/>
      <c r="L738" s="391"/>
      <c r="M738" s="392"/>
      <c r="N738" s="391"/>
      <c r="O738" s="391"/>
      <c r="P738" s="391"/>
      <c r="Q738" s="391"/>
      <c r="R738" s="392"/>
      <c r="S738" s="391"/>
      <c r="T738" s="391"/>
      <c r="U738" s="391"/>
      <c r="V738" s="391"/>
      <c r="W738" s="392"/>
      <c r="X738" s="391"/>
      <c r="Y738" s="391"/>
      <c r="Z738" s="391"/>
      <c r="AA738" s="391"/>
      <c r="AB738" s="392"/>
      <c r="AC738" s="391"/>
      <c r="AD738" s="391"/>
      <c r="AE738" s="391"/>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c r="BD738" s="189"/>
      <c r="BE738" s="189"/>
      <c r="BF738" s="189"/>
    </row>
    <row r="739" spans="1:58" ht="15.75" customHeight="1" x14ac:dyDescent="0.2">
      <c r="A739" s="189"/>
      <c r="B739" s="189"/>
      <c r="C739" s="55"/>
      <c r="D739" s="391"/>
      <c r="E739" s="391"/>
      <c r="F739" s="391"/>
      <c r="G739" s="391"/>
      <c r="H739" s="392"/>
      <c r="I739" s="391"/>
      <c r="J739" s="391"/>
      <c r="K739" s="391"/>
      <c r="L739" s="391"/>
      <c r="M739" s="392"/>
      <c r="N739" s="391"/>
      <c r="O739" s="391"/>
      <c r="P739" s="391"/>
      <c r="Q739" s="391"/>
      <c r="R739" s="392"/>
      <c r="S739" s="391"/>
      <c r="T739" s="391"/>
      <c r="U739" s="391"/>
      <c r="V739" s="391"/>
      <c r="W739" s="392"/>
      <c r="X739" s="391"/>
      <c r="Y739" s="391"/>
      <c r="Z739" s="391"/>
      <c r="AA739" s="391"/>
      <c r="AB739" s="392"/>
      <c r="AC739" s="391"/>
      <c r="AD739" s="391"/>
      <c r="AE739" s="391"/>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c r="BD739" s="189"/>
      <c r="BE739" s="189"/>
      <c r="BF739" s="189"/>
    </row>
    <row r="740" spans="1:58" ht="15.75" customHeight="1" x14ac:dyDescent="0.2">
      <c r="A740" s="189"/>
      <c r="B740" s="189"/>
      <c r="C740" s="55"/>
      <c r="D740" s="391"/>
      <c r="E740" s="391"/>
      <c r="F740" s="391"/>
      <c r="G740" s="391"/>
      <c r="H740" s="392"/>
      <c r="I740" s="391"/>
      <c r="J740" s="391"/>
      <c r="K740" s="391"/>
      <c r="L740" s="391"/>
      <c r="M740" s="392"/>
      <c r="N740" s="391"/>
      <c r="O740" s="391"/>
      <c r="P740" s="391"/>
      <c r="Q740" s="391"/>
      <c r="R740" s="392"/>
      <c r="S740" s="391"/>
      <c r="T740" s="391"/>
      <c r="U740" s="391"/>
      <c r="V740" s="391"/>
      <c r="W740" s="392"/>
      <c r="X740" s="391"/>
      <c r="Y740" s="391"/>
      <c r="Z740" s="391"/>
      <c r="AA740" s="391"/>
      <c r="AB740" s="392"/>
      <c r="AC740" s="391"/>
      <c r="AD740" s="391"/>
      <c r="AE740" s="391"/>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c r="BD740" s="189"/>
      <c r="BE740" s="189"/>
      <c r="BF740" s="189"/>
    </row>
    <row r="741" spans="1:58" ht="15.75" customHeight="1" x14ac:dyDescent="0.2">
      <c r="A741" s="189"/>
      <c r="B741" s="189"/>
      <c r="C741" s="55"/>
      <c r="D741" s="391"/>
      <c r="E741" s="391"/>
      <c r="F741" s="391"/>
      <c r="G741" s="391"/>
      <c r="H741" s="392"/>
      <c r="I741" s="391"/>
      <c r="J741" s="391"/>
      <c r="K741" s="391"/>
      <c r="L741" s="391"/>
      <c r="M741" s="392"/>
      <c r="N741" s="391"/>
      <c r="O741" s="391"/>
      <c r="P741" s="391"/>
      <c r="Q741" s="391"/>
      <c r="R741" s="392"/>
      <c r="S741" s="391"/>
      <c r="T741" s="391"/>
      <c r="U741" s="391"/>
      <c r="V741" s="391"/>
      <c r="W741" s="392"/>
      <c r="X741" s="391"/>
      <c r="Y741" s="391"/>
      <c r="Z741" s="391"/>
      <c r="AA741" s="391"/>
      <c r="AB741" s="392"/>
      <c r="AC741" s="391"/>
      <c r="AD741" s="391"/>
      <c r="AE741" s="391"/>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c r="BD741" s="189"/>
      <c r="BE741" s="189"/>
      <c r="BF741" s="189"/>
    </row>
    <row r="742" spans="1:58" ht="15.75" customHeight="1" x14ac:dyDescent="0.2">
      <c r="A742" s="189"/>
      <c r="B742" s="189"/>
      <c r="C742" s="55"/>
      <c r="D742" s="391"/>
      <c r="E742" s="391"/>
      <c r="F742" s="391"/>
      <c r="G742" s="391"/>
      <c r="H742" s="392"/>
      <c r="I742" s="391"/>
      <c r="J742" s="391"/>
      <c r="K742" s="391"/>
      <c r="L742" s="391"/>
      <c r="M742" s="392"/>
      <c r="N742" s="391"/>
      <c r="O742" s="391"/>
      <c r="P742" s="391"/>
      <c r="Q742" s="391"/>
      <c r="R742" s="392"/>
      <c r="S742" s="391"/>
      <c r="T742" s="391"/>
      <c r="U742" s="391"/>
      <c r="V742" s="391"/>
      <c r="W742" s="392"/>
      <c r="X742" s="391"/>
      <c r="Y742" s="391"/>
      <c r="Z742" s="391"/>
      <c r="AA742" s="391"/>
      <c r="AB742" s="392"/>
      <c r="AC742" s="391"/>
      <c r="AD742" s="391"/>
      <c r="AE742" s="391"/>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c r="BD742" s="189"/>
      <c r="BE742" s="189"/>
      <c r="BF742" s="189"/>
    </row>
    <row r="743" spans="1:58" ht="15.75" customHeight="1" x14ac:dyDescent="0.2">
      <c r="A743" s="189"/>
      <c r="B743" s="189"/>
      <c r="C743" s="55"/>
      <c r="D743" s="391"/>
      <c r="E743" s="391"/>
      <c r="F743" s="391"/>
      <c r="G743" s="391"/>
      <c r="H743" s="392"/>
      <c r="I743" s="391"/>
      <c r="J743" s="391"/>
      <c r="K743" s="391"/>
      <c r="L743" s="391"/>
      <c r="M743" s="392"/>
      <c r="N743" s="391"/>
      <c r="O743" s="391"/>
      <c r="P743" s="391"/>
      <c r="Q743" s="391"/>
      <c r="R743" s="392"/>
      <c r="S743" s="391"/>
      <c r="T743" s="391"/>
      <c r="U743" s="391"/>
      <c r="V743" s="391"/>
      <c r="W743" s="392"/>
      <c r="X743" s="391"/>
      <c r="Y743" s="391"/>
      <c r="Z743" s="391"/>
      <c r="AA743" s="391"/>
      <c r="AB743" s="392"/>
      <c r="AC743" s="391"/>
      <c r="AD743" s="391"/>
      <c r="AE743" s="391"/>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c r="BD743" s="189"/>
      <c r="BE743" s="189"/>
      <c r="BF743" s="189"/>
    </row>
  </sheetData>
  <customSheetViews>
    <customSheetView guid="{2B0C102D-EAAD-407D-BA59-06DE98E7FBBB}" filter="1" showAutoFilter="1">
      <pageMargins left="0.511811024" right="0.511811024" top="0.78740157499999996" bottom="0.78740157499999996" header="0.31496062000000002" footer="0.31496062000000002"/>
      <autoFilter ref="A1:AA22" xr:uid="{4E2A97EB-894C-4923-AC10-436E96797482}"/>
    </customSheetView>
    <customSheetView guid="{A5103CAC-9054-4618-A0D3-E5439BB7DDD4}" filter="1" showAutoFilter="1">
      <pageMargins left="0.511811024" right="0.511811024" top="0.78740157499999996" bottom="0.78740157499999996" header="0.31496062000000002" footer="0.31496062000000002"/>
      <autoFilter ref="A1:AA22" xr:uid="{DED15D9D-8E81-45CB-8D31-207F72E58AD8}"/>
    </customSheetView>
  </customSheetViews>
  <mergeCells count="1">
    <mergeCell ref="D2:R2"/>
  </mergeCells>
  <pageMargins left="0.78740157499999996" right="0.78740157499999996" top="0.984251969" bottom="0.98425196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Cover</vt:lpstr>
      <vt:lpstr>General Assumptions</vt:lpstr>
      <vt:lpstr>BU Assumptions</vt:lpstr>
      <vt:lpstr>Operational Data</vt:lpstr>
      <vt:lpstr>Financials - IFRS</vt:lpstr>
      <vt:lpstr>Financials - IFRS (ex-Indirect </vt:lpstr>
      <vt:lpstr>Financials - OSV JV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SETENTA VALERIO</dc:creator>
  <cp:lastModifiedBy>PEDRO SETENTA VALERIO</cp:lastModifiedBy>
  <dcterms:created xsi:type="dcterms:W3CDTF">2023-12-08T14:03:21Z</dcterms:created>
  <dcterms:modified xsi:type="dcterms:W3CDTF">2023-12-08T14:03:21Z</dcterms:modified>
</cp:coreProperties>
</file>