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" sheetId="1" r:id="rId4"/>
    <sheet state="visible" name="Income Statement, KPIs" sheetId="2" r:id="rId5"/>
    <sheet state="visible" name="Cash Flow" sheetId="3" r:id="rId6"/>
    <sheet state="visible" name="Revenue_NEW CLASSIFICATION" sheetId="4" r:id="rId7"/>
    <sheet state="visible" name="Revenue_up to 2022" sheetId="5" r:id="rId8"/>
  </sheets>
  <definedNames/>
  <calcPr/>
  <extLst>
    <ext uri="GoogleSheetsCustomDataVersion2">
      <go:sheetsCustomData xmlns:go="http://customooxmlschemas.google.com/" r:id="rId9" roundtripDataChecksum="/JoV9mySMnTXMCgjAq8EFEzlDsi06M4DgNKN85t6SvE="/>
    </ext>
  </extLst>
</workbook>
</file>

<file path=xl/sharedStrings.xml><?xml version="1.0" encoding="utf-8"?>
<sst xmlns="http://schemas.openxmlformats.org/spreadsheetml/2006/main" count="365" uniqueCount="218">
  <si>
    <t xml:space="preserve">CI&amp;T </t>
  </si>
  <si>
    <t>(In thousands of Brazilian reais)</t>
  </si>
  <si>
    <t>December 31, 2019</t>
  </si>
  <si>
    <t>December 31, 2020</t>
  </si>
  <si>
    <t>September 30, 2021</t>
  </si>
  <si>
    <t>December 31, 2021</t>
  </si>
  <si>
    <t>March 31, 2022</t>
  </si>
  <si>
    <t>June 30, 2022</t>
  </si>
  <si>
    <t>September 30, 2022</t>
  </si>
  <si>
    <t>December 31, 2022</t>
  </si>
  <si>
    <t>Assets</t>
  </si>
  <si>
    <t>Cash and cash equivalents</t>
  </si>
  <si>
    <t>Financial investments</t>
  </si>
  <si>
    <t>Accounts receivable and contract assets</t>
  </si>
  <si>
    <t>Recoverable taxes</t>
  </si>
  <si>
    <t>Tax assets</t>
  </si>
  <si>
    <t>Non derivatives - hedge accounting</t>
  </si>
  <si>
    <t>Derivatives</t>
  </si>
  <si>
    <t>Restricted cash</t>
  </si>
  <si>
    <t>Other assets</t>
  </si>
  <si>
    <t>Total current assets</t>
  </si>
  <si>
    <t>Deferred tax assets</t>
  </si>
  <si>
    <t>Judicial deposits</t>
  </si>
  <si>
    <t>Property, plant and equipment</t>
  </si>
  <si>
    <t>Intangible assets and goodwill</t>
  </si>
  <si>
    <t>Right-of-use assets</t>
  </si>
  <si>
    <t>Total non-current assets</t>
  </si>
  <si>
    <t>Total assets</t>
  </si>
  <si>
    <t>Liabilities and equity</t>
  </si>
  <si>
    <t>Suppliers and other payables</t>
  </si>
  <si>
    <t>Loans and borrowings</t>
  </si>
  <si>
    <t>Lease liabilities</t>
  </si>
  <si>
    <t>Salaries and welfare charges</t>
  </si>
  <si>
    <t>Accounts payable for business acquired</t>
  </si>
  <si>
    <t>Non-derivatives - hedge accounting</t>
  </si>
  <si>
    <t>Current tax liabilities</t>
  </si>
  <si>
    <t>Dividends and interest on equity payable</t>
  </si>
  <si>
    <t>Contract liabilities</t>
  </si>
  <si>
    <t>Indemnity</t>
  </si>
  <si>
    <t>Other liabilities</t>
  </si>
  <si>
    <t>Total current liabilities</t>
  </si>
  <si>
    <t>Deferred tax liabilities</t>
  </si>
  <si>
    <t>Provisions</t>
  </si>
  <si>
    <t>-</t>
  </si>
  <si>
    <t>Total non-current liabilities</t>
  </si>
  <si>
    <t>Equity</t>
  </si>
  <si>
    <t>Share capital</t>
  </si>
  <si>
    <t>Share premium</t>
  </si>
  <si>
    <t>Treasury share reserve</t>
  </si>
  <si>
    <t>Capital reserves</t>
  </si>
  <si>
    <t>Retained earnings reserves</t>
  </si>
  <si>
    <t>Other comprehensive gain (loss)</t>
  </si>
  <si>
    <t>Total equity</t>
  </si>
  <si>
    <t>Total equity and liabilities</t>
  </si>
  <si>
    <t>1H2020</t>
  </si>
  <si>
    <t>3Q2020</t>
  </si>
  <si>
    <t>9M2020</t>
  </si>
  <si>
    <t>4Q2020</t>
  </si>
  <si>
    <t>1Q21</t>
  </si>
  <si>
    <t>2Q21</t>
  </si>
  <si>
    <t>6M2021</t>
  </si>
  <si>
    <t>3Q2021</t>
  </si>
  <si>
    <t>9M2021</t>
  </si>
  <si>
    <t>4Q2021</t>
  </si>
  <si>
    <t>1Q22</t>
  </si>
  <si>
    <t>2Q22</t>
  </si>
  <si>
    <t>6M22</t>
  </si>
  <si>
    <t>3Q22</t>
  </si>
  <si>
    <t>9M22</t>
  </si>
  <si>
    <t>4Q22</t>
  </si>
  <si>
    <t>1Q23</t>
  </si>
  <si>
    <t>2Q23</t>
  </si>
  <si>
    <t>6M23</t>
  </si>
  <si>
    <t>3Q23</t>
  </si>
  <si>
    <t>9M23</t>
  </si>
  <si>
    <t>4Q23</t>
  </si>
  <si>
    <t>1Q24</t>
  </si>
  <si>
    <t>2Q24</t>
  </si>
  <si>
    <t>6M24</t>
  </si>
  <si>
    <t>3Q24</t>
  </si>
  <si>
    <t>9M24</t>
  </si>
  <si>
    <t>4Q24</t>
  </si>
  <si>
    <t>Net Revenue</t>
  </si>
  <si>
    <t xml:space="preserve">  YoY growth</t>
  </si>
  <si>
    <t xml:space="preserve">  QoQ growth</t>
  </si>
  <si>
    <t>Costs of services provided</t>
  </si>
  <si>
    <t>Gross Profit</t>
  </si>
  <si>
    <t xml:space="preserve">Selling, general, administrative and other expenses </t>
  </si>
  <si>
    <t xml:space="preserve">   Selling expenses</t>
  </si>
  <si>
    <t xml:space="preserve">   General and Administrative expenses</t>
  </si>
  <si>
    <t xml:space="preserve">   Other </t>
  </si>
  <si>
    <t>Impairment loss on trade receivables and contract assets</t>
  </si>
  <si>
    <t>Operating profit before financial income</t>
  </si>
  <si>
    <t xml:space="preserve">   Finance income</t>
  </si>
  <si>
    <t xml:space="preserve">   Finance costs</t>
  </si>
  <si>
    <t>Net finance costs</t>
  </si>
  <si>
    <t>Profit before income tax</t>
  </si>
  <si>
    <t xml:space="preserve">Income tax expense </t>
  </si>
  <si>
    <t>Net profit for the period</t>
  </si>
  <si>
    <t>&gt;&gt; Non IFRS Measures</t>
  </si>
  <si>
    <t>Reconciliation of Adjusted Profit</t>
  </si>
  <si>
    <t xml:space="preserve">Gross Profit </t>
  </si>
  <si>
    <t>Adjustments</t>
  </si>
  <si>
    <t xml:space="preserve"> Depreciation and amortization (cost of services provided)</t>
  </si>
  <si>
    <t xml:space="preserve"> Stock-based compensation</t>
  </si>
  <si>
    <t xml:space="preserve">Adjusted Gross Profit </t>
  </si>
  <si>
    <t>Adjusted Gross Profit Margin</t>
  </si>
  <si>
    <t>37.1%</t>
  </si>
  <si>
    <t>37.5%</t>
  </si>
  <si>
    <t>Reconciliation of Adjusted EBITDA</t>
  </si>
  <si>
    <t>Net profit (loss) for the period</t>
  </si>
  <si>
    <t xml:space="preserve"> Net finance costs</t>
  </si>
  <si>
    <t xml:space="preserve"> Income tax expense </t>
  </si>
  <si>
    <t xml:space="preserve"> Depreciation and amortization</t>
  </si>
  <si>
    <t xml:space="preserve"> Share-based compensation</t>
  </si>
  <si>
    <t xml:space="preserve"> Consulting expenses</t>
  </si>
  <si>
    <t xml:space="preserve"> Government grants</t>
  </si>
  <si>
    <t xml:space="preserve"> Impairment</t>
  </si>
  <si>
    <t xml:space="preserve"> Acquisition-related expenses </t>
  </si>
  <si>
    <t xml:space="preserve"> Business restructuring</t>
  </si>
  <si>
    <t xml:space="preserve"> Others</t>
  </si>
  <si>
    <t>Adjusted EBITDA</t>
  </si>
  <si>
    <t>Adjusted EBITDA Margin</t>
  </si>
  <si>
    <t xml:space="preserve">Reconciliation of Adjusted Net Profit </t>
  </si>
  <si>
    <t xml:space="preserve"> Tax effect on non-IFRS adjustments (2)</t>
  </si>
  <si>
    <t>Adjusted Net Profit for the period</t>
  </si>
  <si>
    <t>Adjusted Net Profit Margin for the period</t>
  </si>
  <si>
    <t>&gt;&gt; KPIs</t>
  </si>
  <si>
    <t xml:space="preserve"> Headcount</t>
  </si>
  <si>
    <t>Notes:</t>
  </si>
  <si>
    <t>(1) As of 1Q24, we are adding back stock-based compensation expenses to the Adjusted Net Profit calculation. Thus, comparison with previously reported numbers will differ. We are adjusting those numbers starting from 1Q23 and onwards.</t>
  </si>
  <si>
    <t>(2) As of 4Q23, we are contemplating the tax effects on non-IFRS adjustments as part of the Adjusted Net Profit calculation. Thus, comparison with previously reported numbers will differ. We are adjusting those numbers starting from 1Q23 and onwards.</t>
  </si>
  <si>
    <t>December 31, 2024*</t>
  </si>
  <si>
    <t>Cash flow from operating activities</t>
  </si>
  <si>
    <t>Profit for the period</t>
  </si>
  <si>
    <t>Adjustments for:</t>
  </si>
  <si>
    <t>Depreciation and amortization</t>
  </si>
  <si>
    <t>Gain/loss on the sale of property, plant and equipment and intangible assets</t>
  </si>
  <si>
    <t>Interest, monetary variation and exchange rate changes</t>
  </si>
  <si>
    <t>Unrealized loss (gain) on financial instruments</t>
  </si>
  <si>
    <t>Income tax expenses</t>
  </si>
  <si>
    <t>(Reversal of) impairment losses on trade receivables and contract assets</t>
  </si>
  <si>
    <t>Write-off of intangible assets</t>
  </si>
  <si>
    <t>(Reversal of) provision for tax and labor risks</t>
  </si>
  <si>
    <t>Provision for indemnity</t>
  </si>
  <si>
    <t>Share-based plan</t>
  </si>
  <si>
    <t>Present/fair value/price adjustment - accounts payable for business combination</t>
  </si>
  <si>
    <t>Restructuring expenses</t>
  </si>
  <si>
    <t>Others</t>
  </si>
  <si>
    <t>Variation in operating assets and liabilities</t>
  </si>
  <si>
    <t>Tax liabilities</t>
  </si>
  <si>
    <t>Other taxes payable</t>
  </si>
  <si>
    <t>Other receivables and payables, net</t>
  </si>
  <si>
    <t>Cash generated from operating activities</t>
  </si>
  <si>
    <t>Income tax paid</t>
  </si>
  <si>
    <t>Interest paid on loans and borrowings</t>
  </si>
  <si>
    <t>Interest paid on lease</t>
  </si>
  <si>
    <t>Income tax refund</t>
  </si>
  <si>
    <t>Net cash from operating activities</t>
  </si>
  <si>
    <t>Cash flows from investment activities:</t>
  </si>
  <si>
    <t>Acquisition of property and equipment and intangible assets</t>
  </si>
  <si>
    <t>Acquisition of subsidiary net of cash acquired</t>
  </si>
  <si>
    <t>Redemption (Contribution in) of financial investments</t>
  </si>
  <si>
    <t>Cash outflow on hedge accounting settlement</t>
  </si>
  <si>
    <t>Hedge accounting realization</t>
  </si>
  <si>
    <t>Hedge accounting - ineffective portion inflow</t>
  </si>
  <si>
    <t>Escrow deposit (acquisition of Somo)</t>
  </si>
  <si>
    <t>Net cash (used in) investment activities</t>
  </si>
  <si>
    <t>Cash flow from financing activities:</t>
  </si>
  <si>
    <t>Share-based plan contributions</t>
  </si>
  <si>
    <t>Issuance of common shares at initial public offering</t>
  </si>
  <si>
    <t>Transaction cost of offering</t>
  </si>
  <si>
    <t>Dividends paid</t>
  </si>
  <si>
    <t>Interest on equity, paid</t>
  </si>
  <si>
    <t>Payment of lease liabilities</t>
  </si>
  <si>
    <t>Proceeds from loans and borrowings</t>
  </si>
  <si>
    <t>Payment of loans and borrowings</t>
  </si>
  <si>
    <t>Payment of installment related to acquisition of business - Dextra</t>
  </si>
  <si>
    <t>Payment of investment obligations</t>
  </si>
  <si>
    <t>Exercised share-based compensation</t>
  </si>
  <si>
    <t>Proceeds from settlement of derivatives</t>
  </si>
  <si>
    <t>Repurchase of treasury shares</t>
  </si>
  <si>
    <t>Net cash from financing activities</t>
  </si>
  <si>
    <t>Net increase (decrease) in cash and cash equivalents</t>
  </si>
  <si>
    <t xml:space="preserve">Cash and cash equivalents </t>
  </si>
  <si>
    <t>Exchange variation effect on cash and cash equivalents</t>
  </si>
  <si>
    <t>Cash reduction due to spin-off effect</t>
  </si>
  <si>
    <t>*From 2024 some lines in "cash generated from operating activities" have been aggregated</t>
  </si>
  <si>
    <t>Revenue - New Industry Classification</t>
  </si>
  <si>
    <t>&gt;&gt; Revenues by industry vertical</t>
  </si>
  <si>
    <t>Financial Services</t>
  </si>
  <si>
    <t>Consumer Goods</t>
  </si>
  <si>
    <t>Retail and Industrial Goods</t>
  </si>
  <si>
    <t>Technology and Telecommunications</t>
  </si>
  <si>
    <t>Life Sciences</t>
  </si>
  <si>
    <t>Total</t>
  </si>
  <si>
    <t>&gt;&gt; Revenues by geographic region</t>
  </si>
  <si>
    <t>North America</t>
  </si>
  <si>
    <t>Europe</t>
  </si>
  <si>
    <t>Latam</t>
  </si>
  <si>
    <t>APAC</t>
  </si>
  <si>
    <t>&gt;&gt; Top Clients</t>
  </si>
  <si>
    <t>Top Client</t>
  </si>
  <si>
    <t>Top Ten Clients</t>
  </si>
  <si>
    <t xml:space="preserve">Revenue </t>
  </si>
  <si>
    <t>3Q20</t>
  </si>
  <si>
    <t>9M20</t>
  </si>
  <si>
    <t>4Q20</t>
  </si>
  <si>
    <t>1H2021</t>
  </si>
  <si>
    <t>3Q21</t>
  </si>
  <si>
    <t>9M21</t>
  </si>
  <si>
    <t>4Q21</t>
  </si>
  <si>
    <t>Food and Beverage</t>
  </si>
  <si>
    <t>Technology, Media and Telecom</t>
  </si>
  <si>
    <t>Pharmaceuticals and Cosmetics</t>
  </si>
  <si>
    <t>Retail and Manufacturing</t>
  </si>
  <si>
    <t>Education and Services</t>
  </si>
  <si>
    <t>Logistic and Transportation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</si>
</sst>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mmmm\ d\,\ yyyy"/>
    <numFmt numFmtId="165" formatCode="_(* #,##0_);_(* \(#,##0\);_(* \-_);_(@_)"/>
    <numFmt numFmtId="166" formatCode="_(* #,##0_);_(* \(#,##0\);_(* &quot;-&quot;??_);_(@_)"/>
    <numFmt numFmtId="167" formatCode="0.000"/>
    <numFmt numFmtId="168" formatCode="#,##0;(#,##0)"/>
    <numFmt numFmtId="169" formatCode="0.0%"/>
    <numFmt numFmtId="170" formatCode="#,##0;\(#,##0\)"/>
    <numFmt numFmtId="171" formatCode="_(* #,##0.00_);_(* \(#,##0.00\);_(* &quot;-&quot;??_);_(@_)"/>
    <numFmt numFmtId="172" formatCode="mmmm d, yyyy"/>
    <numFmt numFmtId="173" formatCode="_-* #,##0_-;\-* #,##0_-;_-* &quot;-&quot;??_-;_-@"/>
  </numFmts>
  <fonts count="15">
    <font>
      <sz val="10.0"/>
      <color rgb="FF000000"/>
      <name val="Arial"/>
      <scheme val="minor"/>
    </font>
    <font>
      <b/>
      <sz val="10.0"/>
      <color rgb="FFFFFFFF"/>
      <name val="Arial"/>
    </font>
    <font>
      <b/>
      <i/>
      <sz val="10.0"/>
      <color rgb="FFFFFFFF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0.0"/>
      <color theme="1"/>
      <name val="Arial"/>
    </font>
    <font>
      <color theme="1"/>
      <name val="Arial"/>
      <scheme val="minor"/>
    </font>
    <font>
      <color rgb="FF000000"/>
      <name val="&quot;Aptos Narrow&quot;"/>
    </font>
    <font>
      <b/>
      <color theme="1"/>
      <name val="Arial"/>
      <scheme val="minor"/>
    </font>
    <font>
      <b/>
      <sz val="10.0"/>
      <color theme="1"/>
      <name val="Arial"/>
    </font>
    <font>
      <color theme="1"/>
      <name val="Arial"/>
    </font>
    <font>
      <i/>
      <sz val="10.0"/>
      <color rgb="FFFFFFFF"/>
      <name val="Arial"/>
    </font>
    <font>
      <i/>
      <sz val="10.0"/>
      <color rgb="FF000000"/>
      <name val="Arial"/>
    </font>
    <font>
      <b/>
      <i/>
      <sz val="10.0"/>
      <color theme="1"/>
      <name val="Arial"/>
    </font>
    <font>
      <sz val="7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A5A50"/>
        <bgColor rgb="FFFA5A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0" fillId="2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3" numFmtId="3" xfId="0" applyAlignment="1" applyFont="1" applyNumberFormat="1">
      <alignment vertical="center"/>
    </xf>
    <xf borderId="0" fillId="0" fontId="5" numFmtId="0" xfId="0" applyAlignment="1" applyFont="1">
      <alignment horizontal="left" shrinkToFit="0" vertical="center" wrapText="1"/>
    </xf>
    <xf borderId="0" fillId="0" fontId="3" numFmtId="165" xfId="0" applyAlignment="1" applyFont="1" applyNumberFormat="1">
      <alignment vertical="center"/>
    </xf>
    <xf borderId="0" fillId="0" fontId="4" numFmtId="0" xfId="0" applyAlignment="1" applyFont="1">
      <alignment horizontal="left" shrinkToFit="0" vertical="center" wrapText="1"/>
    </xf>
    <xf borderId="0" fillId="0" fontId="4" numFmtId="3" xfId="0" applyAlignment="1" applyFont="1" applyNumberFormat="1">
      <alignment horizontal="right" shrinkToFit="0" vertical="center" wrapText="1"/>
    </xf>
    <xf borderId="0" fillId="0" fontId="4" numFmtId="3" xfId="0" applyAlignment="1" applyFont="1" applyNumberFormat="1">
      <alignment vertical="center"/>
    </xf>
    <xf borderId="0" fillId="0" fontId="4" numFmtId="3" xfId="0" applyAlignment="1" applyFont="1" applyNumberFormat="1">
      <alignment readingOrder="0" vertical="center"/>
    </xf>
    <xf borderId="0" fillId="0" fontId="6" numFmtId="3" xfId="0" applyAlignment="1" applyFont="1" applyNumberFormat="1">
      <alignment readingOrder="0"/>
    </xf>
    <xf borderId="0" fillId="3" fontId="5" numFmtId="41" xfId="0" applyAlignment="1" applyFill="1" applyFont="1" applyNumberFormat="1">
      <alignment horizontal="right" shrinkToFit="0" vertical="center" wrapText="1"/>
    </xf>
    <xf borderId="0" fillId="0" fontId="5" numFmtId="41" xfId="0" applyAlignment="1" applyFont="1" applyNumberFormat="1">
      <alignment horizontal="right" shrinkToFit="0" vertical="center" wrapText="1"/>
    </xf>
    <xf borderId="0" fillId="0" fontId="7" numFmtId="0" xfId="0" applyAlignment="1" applyFont="1">
      <alignment readingOrder="0" shrinkToFit="0" vertical="bottom" wrapText="0"/>
    </xf>
    <xf borderId="0" fillId="0" fontId="8" numFmtId="0" xfId="0" applyFont="1"/>
    <xf borderId="2" fillId="0" fontId="5" numFmtId="0" xfId="0" applyAlignment="1" applyBorder="1" applyFont="1">
      <alignment horizontal="left" shrinkToFit="0" vertical="center" wrapText="1"/>
    </xf>
    <xf borderId="2" fillId="0" fontId="4" numFmtId="3" xfId="0" applyAlignment="1" applyBorder="1" applyFont="1" applyNumberFormat="1">
      <alignment vertical="center"/>
    </xf>
    <xf borderId="0" fillId="0" fontId="3" numFmtId="166" xfId="0" applyAlignment="1" applyFont="1" applyNumberFormat="1">
      <alignment vertical="center"/>
    </xf>
    <xf borderId="0" fillId="0" fontId="4" numFmtId="166" xfId="0" applyAlignment="1" applyFont="1" applyNumberFormat="1">
      <alignment vertical="center"/>
    </xf>
    <xf borderId="0" fillId="0" fontId="8" numFmtId="3" xfId="0" applyAlignment="1" applyFont="1" applyNumberFormat="1">
      <alignment readingOrder="0"/>
    </xf>
    <xf borderId="2" fillId="0" fontId="4" numFmtId="0" xfId="0" applyAlignment="1" applyBorder="1" applyFont="1">
      <alignment horizontal="left" shrinkToFit="0" vertical="center" wrapText="1"/>
    </xf>
    <xf borderId="2" fillId="0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right" readingOrder="0" shrinkToFit="0" vertical="center" wrapText="1"/>
    </xf>
    <xf borderId="3" fillId="3" fontId="3" numFmtId="166" xfId="0" applyAlignment="1" applyBorder="1" applyFont="1" applyNumberFormat="1">
      <alignment vertical="center"/>
    </xf>
    <xf borderId="4" fillId="0" fontId="3" numFmtId="166" xfId="0" applyAlignment="1" applyBorder="1" applyFont="1" applyNumberFormat="1">
      <alignment vertical="center"/>
    </xf>
    <xf borderId="5" fillId="0" fontId="3" numFmtId="0" xfId="0" applyAlignment="1" applyBorder="1" applyFont="1">
      <alignment horizontal="left" shrinkToFit="0" vertical="center" wrapText="1"/>
    </xf>
    <xf borderId="5" fillId="0" fontId="3" numFmtId="166" xfId="0" applyAlignment="1" applyBorder="1" applyFont="1" applyNumberFormat="1">
      <alignment vertical="center"/>
    </xf>
    <xf borderId="1" fillId="3" fontId="3" numFmtId="0" xfId="0" applyAlignment="1" applyBorder="1" applyFont="1">
      <alignment vertical="center"/>
    </xf>
    <xf borderId="1" fillId="3" fontId="3" numFmtId="167" xfId="0" applyAlignment="1" applyBorder="1" applyFont="1" applyNumberFormat="1">
      <alignment vertical="center"/>
    </xf>
    <xf borderId="1" fillId="3" fontId="4" numFmtId="3" xfId="0" applyAlignment="1" applyBorder="1" applyFont="1" applyNumberFormat="1">
      <alignment vertical="center"/>
    </xf>
    <xf borderId="0" fillId="0" fontId="5" numFmtId="41" xfId="0" applyAlignment="1" applyFont="1" applyNumberFormat="1">
      <alignment horizontal="righ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3" fontId="3" numFmtId="166" xfId="0" applyAlignment="1" applyBorder="1" applyFont="1" applyNumberFormat="1">
      <alignment vertical="center"/>
    </xf>
    <xf borderId="1" fillId="3" fontId="4" numFmtId="0" xfId="0" applyAlignment="1" applyBorder="1" applyFont="1">
      <alignment vertical="center"/>
    </xf>
    <xf borderId="0" fillId="0" fontId="4" numFmtId="166" xfId="0" applyAlignment="1" applyFont="1" applyNumberFormat="1">
      <alignment horizontal="right" shrinkToFit="0" vertical="center" wrapText="1"/>
    </xf>
    <xf borderId="4" fillId="0" fontId="3" numFmtId="0" xfId="0" applyAlignment="1" applyBorder="1" applyFont="1">
      <alignment vertical="center"/>
    </xf>
    <xf borderId="0" fillId="0" fontId="4" numFmtId="0" xfId="0" applyAlignment="1" applyFont="1">
      <alignment readingOrder="0" vertical="center"/>
    </xf>
    <xf borderId="0" fillId="0" fontId="4" numFmtId="166" xfId="0" applyAlignment="1" applyFont="1" applyNumberFormat="1">
      <alignment horizontal="right" readingOrder="0" shrinkToFit="0" vertical="center" wrapText="1"/>
    </xf>
    <xf borderId="4" fillId="0" fontId="9" numFmtId="166" xfId="0" applyAlignment="1" applyBorder="1" applyFont="1" applyNumberFormat="1">
      <alignment vertical="center"/>
    </xf>
    <xf borderId="0" fillId="0" fontId="10" numFmtId="0" xfId="0" applyAlignment="1" applyFont="1">
      <alignment vertical="center"/>
    </xf>
    <xf borderId="1" fillId="2" fontId="2" numFmtId="0" xfId="0" applyAlignment="1" applyBorder="1" applyFont="1">
      <alignment horizontal="right" vertical="center"/>
    </xf>
    <xf borderId="0" fillId="2" fontId="2" numFmtId="0" xfId="0" applyAlignment="1" applyFont="1">
      <alignment horizontal="right" vertical="center"/>
    </xf>
    <xf borderId="0" fillId="2" fontId="11" numFmtId="0" xfId="0" applyAlignment="1" applyFont="1">
      <alignment horizontal="right" vertical="center"/>
    </xf>
    <xf borderId="0" fillId="0" fontId="4" numFmtId="0" xfId="0" applyAlignment="1" applyFont="1">
      <alignment horizontal="right" vertical="center"/>
    </xf>
    <xf borderId="0" fillId="0" fontId="4" numFmtId="0" xfId="0" applyAlignment="1" applyFont="1">
      <alignment horizontal="right" readingOrder="0" vertical="center"/>
    </xf>
    <xf borderId="1" fillId="4" fontId="3" numFmtId="0" xfId="0" applyAlignment="1" applyBorder="1" applyFill="1" applyFont="1">
      <alignment horizontal="center" shrinkToFit="0" vertical="center" wrapText="1"/>
    </xf>
    <xf borderId="0" fillId="4" fontId="3" numFmtId="0" xfId="0" applyAlignment="1" applyFont="1">
      <alignment horizontal="center" shrinkToFit="0" vertical="center" wrapText="1"/>
    </xf>
    <xf borderId="1" fillId="4" fontId="3" numFmtId="0" xfId="0" applyAlignment="1" applyBorder="1" applyFont="1">
      <alignment horizontal="center" readingOrder="0" shrinkToFit="0" vertical="center" wrapText="1"/>
    </xf>
    <xf borderId="0" fillId="4" fontId="3" numFmtId="0" xfId="0" applyAlignment="1" applyFont="1">
      <alignment horizontal="center" readingOrder="0" shrinkToFit="0" vertical="center" wrapText="1"/>
    </xf>
    <xf borderId="0" fillId="4" fontId="4" numFmtId="0" xfId="0" applyAlignment="1" applyFont="1">
      <alignment horizontal="center" readingOrder="0" shrinkToFit="0" vertical="center" wrapText="1"/>
    </xf>
    <xf borderId="1" fillId="4" fontId="4" numFmtId="0" xfId="0" applyAlignment="1" applyBorder="1" applyFont="1">
      <alignment vertical="center"/>
    </xf>
    <xf borderId="1" fillId="4" fontId="4" numFmtId="0" xfId="0" applyAlignment="1" applyBorder="1" applyFont="1">
      <alignment horizontal="right" vertical="center"/>
    </xf>
    <xf borderId="1" fillId="4" fontId="3" numFmtId="168" xfId="0" applyAlignment="1" applyBorder="1" applyFont="1" applyNumberFormat="1">
      <alignment vertical="center"/>
    </xf>
    <xf borderId="1" fillId="4" fontId="3" numFmtId="168" xfId="0" applyAlignment="1" applyBorder="1" applyFont="1" applyNumberFormat="1">
      <alignment horizontal="right" vertical="center"/>
    </xf>
    <xf borderId="0" fillId="0" fontId="3" numFmtId="168" xfId="0" applyAlignment="1" applyFont="1" applyNumberFormat="1">
      <alignment horizontal="right" vertical="center"/>
    </xf>
    <xf borderId="0" fillId="0" fontId="3" numFmtId="168" xfId="0" applyAlignment="1" applyFont="1" applyNumberFormat="1">
      <alignment horizontal="right" readingOrder="0" vertical="center"/>
    </xf>
    <xf borderId="0" fillId="0" fontId="4" numFmtId="168" xfId="0" applyAlignment="1" applyFont="1" applyNumberFormat="1">
      <alignment horizontal="right" readingOrder="0" vertical="center"/>
    </xf>
    <xf borderId="0" fillId="0" fontId="12" numFmtId="0" xfId="0" applyAlignment="1" applyFont="1">
      <alignment vertical="center"/>
    </xf>
    <xf borderId="1" fillId="4" fontId="12" numFmtId="168" xfId="0" applyAlignment="1" applyBorder="1" applyFont="1" applyNumberFormat="1">
      <alignment vertical="center"/>
    </xf>
    <xf borderId="0" fillId="4" fontId="12" numFmtId="169" xfId="0" applyAlignment="1" applyFont="1" applyNumberFormat="1">
      <alignment horizontal="right" vertical="center"/>
    </xf>
    <xf borderId="0" fillId="0" fontId="12" numFmtId="169" xfId="0" applyAlignment="1" applyFont="1" applyNumberFormat="1">
      <alignment horizontal="right" vertical="center"/>
    </xf>
    <xf borderId="1" fillId="4" fontId="12" numFmtId="168" xfId="0" applyAlignment="1" applyBorder="1" applyFont="1" applyNumberFormat="1">
      <alignment horizontal="right" vertical="center"/>
    </xf>
    <xf borderId="0" fillId="4" fontId="12" numFmtId="168" xfId="0" applyAlignment="1" applyFont="1" applyNumberFormat="1">
      <alignment horizontal="right" vertical="center"/>
    </xf>
    <xf borderId="0" fillId="0" fontId="12" numFmtId="168" xfId="0" applyAlignment="1" applyFont="1" applyNumberFormat="1">
      <alignment horizontal="right" vertical="center"/>
    </xf>
    <xf borderId="1" fillId="4" fontId="4" numFmtId="168" xfId="0" applyAlignment="1" applyBorder="1" applyFont="1" applyNumberFormat="1">
      <alignment vertical="center"/>
    </xf>
    <xf borderId="1" fillId="4" fontId="4" numFmtId="168" xfId="0" applyAlignment="1" applyBorder="1" applyFont="1" applyNumberFormat="1">
      <alignment horizontal="right" vertical="center"/>
    </xf>
    <xf borderId="0" fillId="0" fontId="4" numFmtId="168" xfId="0" applyAlignment="1" applyFont="1" applyNumberFormat="1">
      <alignment horizontal="right" vertical="center"/>
    </xf>
    <xf borderId="0" fillId="0" fontId="3" numFmtId="168" xfId="0" applyAlignment="1" applyFont="1" applyNumberFormat="1">
      <alignment vertical="center"/>
    </xf>
    <xf borderId="0" fillId="0" fontId="4" numFmtId="168" xfId="0" applyAlignment="1" applyFont="1" applyNumberFormat="1">
      <alignment vertical="center"/>
    </xf>
    <xf borderId="0" fillId="0" fontId="12" numFmtId="0" xfId="0" applyAlignment="1" applyFont="1">
      <alignment horizontal="left" readingOrder="0" vertical="center"/>
    </xf>
    <xf borderId="1" fillId="3" fontId="12" numFmtId="168" xfId="0" applyAlignment="1" applyBorder="1" applyFont="1" applyNumberFormat="1">
      <alignment horizontal="right" vertical="center"/>
    </xf>
    <xf borderId="0" fillId="0" fontId="12" numFmtId="168" xfId="0" applyAlignment="1" applyFont="1" applyNumberFormat="1">
      <alignment vertical="center"/>
    </xf>
    <xf borderId="0" fillId="0" fontId="12" numFmtId="168" xfId="0" applyAlignment="1" applyFont="1" applyNumberFormat="1">
      <alignment readingOrder="0" vertical="center"/>
    </xf>
    <xf borderId="0" fillId="0" fontId="12" numFmtId="168" xfId="0" applyAlignment="1" applyFont="1" applyNumberFormat="1">
      <alignment horizontal="right" readingOrder="0" vertical="center"/>
    </xf>
    <xf borderId="0" fillId="0" fontId="12" numFmtId="0" xfId="0" applyAlignment="1" applyFont="1">
      <alignment horizontal="left" vertical="center"/>
    </xf>
    <xf borderId="1" fillId="3" fontId="4" numFmtId="168" xfId="0" applyAlignment="1" applyBorder="1" applyFont="1" applyNumberFormat="1">
      <alignment horizontal="right" vertical="center"/>
    </xf>
    <xf borderId="1" fillId="3" fontId="3" numFmtId="168" xfId="0" applyAlignment="1" applyBorder="1" applyFont="1" applyNumberFormat="1">
      <alignment vertical="center"/>
    </xf>
    <xf borderId="1" fillId="3" fontId="4" numFmtId="168" xfId="0" applyAlignment="1" applyBorder="1" applyFont="1" applyNumberFormat="1">
      <alignment vertical="center"/>
    </xf>
    <xf borderId="2" fillId="0" fontId="4" numFmtId="0" xfId="0" applyAlignment="1" applyBorder="1" applyFont="1">
      <alignment vertical="center"/>
    </xf>
    <xf borderId="6" fillId="4" fontId="4" numFmtId="4" xfId="0" applyAlignment="1" applyBorder="1" applyFont="1" applyNumberFormat="1">
      <alignment vertical="center"/>
    </xf>
    <xf borderId="1" fillId="4" fontId="4" numFmtId="166" xfId="0" applyAlignment="1" applyBorder="1" applyFont="1" applyNumberFormat="1">
      <alignment horizontal="right" shrinkToFit="0" vertical="center" wrapText="1"/>
    </xf>
    <xf borderId="1" fillId="4" fontId="4" numFmtId="166" xfId="0" applyAlignment="1" applyBorder="1" applyFont="1" applyNumberFormat="1">
      <alignment vertical="center"/>
    </xf>
    <xf borderId="1" fillId="4" fontId="4" numFmtId="166" xfId="0" applyAlignment="1" applyBorder="1" applyFont="1" applyNumberFormat="1">
      <alignment horizontal="right" vertical="center"/>
    </xf>
    <xf borderId="1" fillId="3" fontId="12" numFmtId="0" xfId="0" applyAlignment="1" applyBorder="1" applyFont="1">
      <alignment vertical="center"/>
    </xf>
    <xf borderId="1" fillId="4" fontId="3" numFmtId="0" xfId="0" applyAlignment="1" applyBorder="1" applyFont="1">
      <alignment horizontal="right" shrinkToFit="0" vertical="center" wrapText="1"/>
    </xf>
    <xf borderId="0" fillId="0" fontId="3" numFmtId="0" xfId="0" applyAlignment="1" applyFont="1">
      <alignment horizontal="right" vertical="center"/>
    </xf>
    <xf borderId="1" fillId="3" fontId="4" numFmtId="0" xfId="0" applyAlignment="1" applyBorder="1" applyFont="1">
      <alignment horizontal="left" vertical="center"/>
    </xf>
    <xf borderId="1" fillId="4" fontId="4" numFmtId="3" xfId="0" applyAlignment="1" applyBorder="1" applyFont="1" applyNumberFormat="1">
      <alignment horizontal="right" shrinkToFit="0" vertical="center" wrapText="1"/>
    </xf>
    <xf borderId="0" fillId="0" fontId="4" numFmtId="3" xfId="0" applyAlignment="1" applyFont="1" applyNumberFormat="1">
      <alignment horizontal="right" vertical="center"/>
    </xf>
    <xf borderId="0" fillId="0" fontId="4" numFmtId="3" xfId="0" applyAlignment="1" applyFont="1" applyNumberFormat="1">
      <alignment horizontal="right" readingOrder="0" vertical="center"/>
    </xf>
    <xf borderId="0" fillId="3" fontId="4" numFmtId="3" xfId="0" applyAlignment="1" applyFont="1" applyNumberFormat="1">
      <alignment horizontal="right" readingOrder="0" vertical="center"/>
    </xf>
    <xf borderId="1" fillId="4" fontId="4" numFmtId="0" xfId="0" applyAlignment="1" applyBorder="1" applyFont="1">
      <alignment horizontal="right" shrinkToFit="0" vertical="center" wrapText="1"/>
    </xf>
    <xf borderId="1" fillId="4" fontId="4" numFmtId="3" xfId="0" applyAlignment="1" applyBorder="1" applyFont="1" applyNumberFormat="1">
      <alignment horizontal="right" vertical="center"/>
    </xf>
    <xf borderId="1" fillId="4" fontId="4" numFmtId="170" xfId="0" applyAlignment="1" applyBorder="1" applyFont="1" applyNumberFormat="1">
      <alignment horizontal="right" vertical="center"/>
    </xf>
    <xf borderId="1" fillId="4" fontId="3" numFmtId="166" xfId="0" applyAlignment="1" applyBorder="1" applyFont="1" applyNumberFormat="1">
      <alignment horizontal="right" shrinkToFit="0" vertical="center" wrapText="1"/>
    </xf>
    <xf borderId="0" fillId="0" fontId="3" numFmtId="166" xfId="0" applyAlignment="1" applyFont="1" applyNumberFormat="1">
      <alignment horizontal="right" shrinkToFit="0" vertical="center" wrapText="1"/>
    </xf>
    <xf borderId="1" fillId="3" fontId="3" numFmtId="0" xfId="0" applyAlignment="1" applyBorder="1" applyFont="1">
      <alignment shrinkToFit="0" vertical="center" wrapText="1"/>
    </xf>
    <xf borderId="1" fillId="4" fontId="3" numFmtId="169" xfId="0" applyAlignment="1" applyBorder="1" applyFont="1" applyNumberFormat="1">
      <alignment horizontal="right" shrinkToFit="0" vertical="center" wrapText="1"/>
    </xf>
    <xf borderId="1" fillId="4" fontId="3" numFmtId="0" xfId="0" applyAlignment="1" applyBorder="1" applyFont="1">
      <alignment horizontal="right" vertical="center"/>
    </xf>
    <xf borderId="0" fillId="0" fontId="3" numFmtId="169" xfId="0" applyAlignment="1" applyFont="1" applyNumberFormat="1">
      <alignment horizontal="right" shrinkToFit="0" vertical="center" wrapText="1"/>
    </xf>
    <xf borderId="1" fillId="3" fontId="4" numFmtId="0" xfId="0" applyAlignment="1" applyBorder="1" applyFont="1">
      <alignment shrinkToFit="0" vertical="center" wrapText="1"/>
    </xf>
    <xf borderId="1" fillId="4" fontId="3" numFmtId="167" xfId="0" applyAlignment="1" applyBorder="1" applyFont="1" applyNumberFormat="1">
      <alignment vertical="center"/>
    </xf>
    <xf borderId="1" fillId="4" fontId="3" numFmtId="167" xfId="0" applyAlignment="1" applyBorder="1" applyFont="1" applyNumberFormat="1">
      <alignment horizontal="right" vertical="center"/>
    </xf>
    <xf borderId="1" fillId="3" fontId="4" numFmtId="0" xfId="0" applyAlignment="1" applyBorder="1" applyFont="1">
      <alignment horizontal="left" shrinkToFit="0" vertical="center" wrapText="1"/>
    </xf>
    <xf borderId="1" fillId="3" fontId="4" numFmtId="166" xfId="0" applyAlignment="1" applyBorder="1" applyFont="1" applyNumberFormat="1">
      <alignment horizontal="right" shrinkToFit="0" vertical="center" wrapText="1"/>
    </xf>
    <xf borderId="1" fillId="3" fontId="4" numFmtId="1" xfId="0" applyAlignment="1" applyBorder="1" applyFont="1" applyNumberFormat="1">
      <alignment horizontal="right" shrinkToFit="0" vertical="center" wrapText="1"/>
    </xf>
    <xf borderId="1" fillId="3" fontId="4" numFmtId="1" xfId="0" applyAlignment="1" applyBorder="1" applyFont="1" applyNumberFormat="1">
      <alignment vertical="center"/>
    </xf>
    <xf borderId="1" fillId="3" fontId="4" numFmtId="3" xfId="0" applyAlignment="1" applyBorder="1" applyFont="1" applyNumberFormat="1">
      <alignment horizontal="right" shrinkToFit="0" vertical="center" wrapText="1"/>
    </xf>
    <xf borderId="1" fillId="3" fontId="4" numFmtId="170" xfId="0" applyAlignment="1" applyBorder="1" applyFont="1" applyNumberFormat="1">
      <alignment horizontal="right" shrinkToFit="0" vertical="center" wrapText="1"/>
    </xf>
    <xf borderId="1" fillId="3" fontId="4" numFmtId="166" xfId="0" applyAlignment="1" applyBorder="1" applyFont="1" applyNumberFormat="1">
      <alignment vertical="center"/>
    </xf>
    <xf borderId="0" fillId="0" fontId="6" numFmtId="0" xfId="0" applyAlignment="1" applyFont="1">
      <alignment readingOrder="0"/>
    </xf>
    <xf borderId="0" fillId="3" fontId="4" numFmtId="166" xfId="0" applyAlignment="1" applyFont="1" applyNumberFormat="1">
      <alignment horizontal="right" readingOrder="0" shrinkToFit="0" vertical="center" wrapText="1"/>
    </xf>
    <xf borderId="1" fillId="3" fontId="4" numFmtId="171" xfId="0" applyAlignment="1" applyBorder="1" applyFont="1" applyNumberFormat="1">
      <alignment horizontal="right" shrinkToFit="0" vertical="center" wrapText="1"/>
    </xf>
    <xf borderId="0" fillId="0" fontId="4" numFmtId="171" xfId="0" applyAlignment="1" applyFont="1" applyNumberFormat="1">
      <alignment horizontal="right" shrinkToFit="0" vertical="center" wrapText="1"/>
    </xf>
    <xf borderId="1" fillId="3" fontId="4" numFmtId="166" xfId="0" applyAlignment="1" applyBorder="1" applyFont="1" applyNumberFormat="1">
      <alignment horizontal="center" shrinkToFit="0" vertical="center" wrapText="1"/>
    </xf>
    <xf borderId="0" fillId="0" fontId="4" numFmtId="166" xfId="0" applyAlignment="1" applyFont="1" applyNumberFormat="1">
      <alignment horizontal="center" shrinkToFit="0" vertical="center" wrapText="1"/>
    </xf>
    <xf borderId="0" fillId="3" fontId="4" numFmtId="166" xfId="0" applyAlignment="1" applyFont="1" applyNumberFormat="1">
      <alignment horizontal="right" shrinkToFit="0" vertical="center" wrapText="1"/>
    </xf>
    <xf borderId="1" fillId="3" fontId="3" numFmtId="166" xfId="0" applyAlignment="1" applyBorder="1" applyFont="1" applyNumberFormat="1">
      <alignment horizontal="right" shrinkToFit="0" vertical="center" wrapText="1"/>
    </xf>
    <xf borderId="1" fillId="3" fontId="9" numFmtId="166" xfId="0" applyAlignment="1" applyBorder="1" applyFont="1" applyNumberFormat="1">
      <alignment horizontal="right" shrinkToFit="0" vertical="center" wrapText="1"/>
    </xf>
    <xf borderId="0" fillId="0" fontId="9" numFmtId="166" xfId="0" applyAlignment="1" applyFont="1" applyNumberFormat="1">
      <alignment horizontal="right" shrinkToFit="0" vertical="center" wrapText="1"/>
    </xf>
    <xf borderId="0" fillId="3" fontId="9" numFmtId="166" xfId="0" applyAlignment="1" applyFont="1" applyNumberFormat="1">
      <alignment horizontal="right" shrinkToFit="0" vertical="center" wrapText="1"/>
    </xf>
    <xf borderId="1" fillId="3" fontId="3" numFmtId="169" xfId="0" applyAlignment="1" applyBorder="1" applyFont="1" applyNumberFormat="1">
      <alignment horizontal="right" shrinkToFit="0" vertical="center" wrapText="1"/>
    </xf>
    <xf borderId="1" fillId="3" fontId="9" numFmtId="169" xfId="0" applyAlignment="1" applyBorder="1" applyFont="1" applyNumberFormat="1">
      <alignment horizontal="right" shrinkToFit="0" vertical="center" wrapText="1"/>
    </xf>
    <xf borderId="0" fillId="0" fontId="9" numFmtId="169" xfId="0" applyAlignment="1" applyFont="1" applyNumberFormat="1">
      <alignment horizontal="right" shrinkToFit="0" vertical="center" wrapText="1"/>
    </xf>
    <xf borderId="1" fillId="3" fontId="4" numFmtId="169" xfId="0" applyAlignment="1" applyBorder="1" applyFont="1" applyNumberFormat="1">
      <alignment horizontal="right" shrinkToFit="0" vertical="center" wrapText="1"/>
    </xf>
    <xf borderId="0" fillId="0" fontId="4" numFmtId="169" xfId="0" applyAlignment="1" applyFont="1" applyNumberFormat="1">
      <alignment horizontal="right" shrinkToFit="0" vertical="center" wrapText="1"/>
    </xf>
    <xf borderId="1" fillId="3" fontId="3" numFmtId="167" xfId="0" applyAlignment="1" applyBorder="1" applyFont="1" applyNumberFormat="1">
      <alignment horizontal="right" shrinkToFit="0" vertical="center" wrapText="1"/>
    </xf>
    <xf borderId="1" fillId="3" fontId="3" numFmtId="167" xfId="0" applyAlignment="1" applyBorder="1" applyFont="1" applyNumberFormat="1">
      <alignment horizontal="right" vertical="center"/>
    </xf>
    <xf borderId="0" fillId="0" fontId="3" numFmtId="167" xfId="0" applyAlignment="1" applyFont="1" applyNumberFormat="1">
      <alignment horizontal="right" vertical="center"/>
    </xf>
    <xf borderId="1" fillId="3" fontId="4" numFmtId="167" xfId="0" applyAlignment="1" applyBorder="1" applyFont="1" applyNumberFormat="1">
      <alignment horizontal="right" shrinkToFit="0" vertical="center" wrapText="1"/>
    </xf>
    <xf borderId="1" fillId="3" fontId="4" numFmtId="167" xfId="0" applyAlignment="1" applyBorder="1" applyFont="1" applyNumberFormat="1">
      <alignment vertical="center"/>
    </xf>
    <xf borderId="1" fillId="3" fontId="4" numFmtId="167" xfId="0" applyAlignment="1" applyBorder="1" applyFont="1" applyNumberFormat="1">
      <alignment horizontal="right" vertical="center"/>
    </xf>
    <xf borderId="0" fillId="0" fontId="4" numFmtId="167" xfId="0" applyAlignment="1" applyFont="1" applyNumberFormat="1">
      <alignment horizontal="right" vertical="center"/>
    </xf>
    <xf borderId="0" fillId="0" fontId="4" numFmtId="166" xfId="0" applyAlignment="1" applyFont="1" applyNumberFormat="1">
      <alignment horizontal="right" vertical="center"/>
    </xf>
    <xf borderId="1" fillId="3" fontId="4" numFmtId="165" xfId="0" applyAlignment="1" applyBorder="1" applyFont="1" applyNumberFormat="1">
      <alignment vertical="center"/>
    </xf>
    <xf borderId="1" fillId="3" fontId="3" numFmtId="165" xfId="0" applyAlignment="1" applyBorder="1" applyFont="1" applyNumberFormat="1">
      <alignment vertical="center"/>
    </xf>
    <xf borderId="0" fillId="3" fontId="3" numFmtId="165" xfId="0" applyAlignment="1" applyFont="1" applyNumberFormat="1">
      <alignment vertical="center"/>
    </xf>
    <xf borderId="6" fillId="4" fontId="4" numFmtId="10" xfId="0" applyAlignment="1" applyBorder="1" applyFont="1" applyNumberFormat="1">
      <alignment vertical="center"/>
    </xf>
    <xf borderId="6" fillId="4" fontId="4" numFmtId="0" xfId="0" applyAlignment="1" applyBorder="1" applyFont="1">
      <alignment vertical="center"/>
    </xf>
    <xf quotePrefix="1" borderId="0" fillId="0" fontId="4" numFmtId="0" xfId="0" applyAlignment="1" applyFont="1">
      <alignment vertical="center"/>
    </xf>
    <xf borderId="0" fillId="0" fontId="5" numFmtId="0" xfId="0" applyFont="1"/>
    <xf borderId="0" fillId="0" fontId="5" numFmtId="0" xfId="0" applyAlignment="1" applyFont="1">
      <alignment vertical="center"/>
    </xf>
    <xf borderId="0" fillId="3" fontId="9" numFmtId="172" xfId="0" applyAlignment="1" applyFont="1" applyNumberFormat="1">
      <alignment horizontal="right" shrinkToFit="0" vertical="center" wrapText="1"/>
    </xf>
    <xf borderId="0" fillId="3" fontId="9" numFmtId="172" xfId="0" applyAlignment="1" applyFont="1" applyNumberFormat="1">
      <alignment horizontal="center" shrinkToFit="0" vertical="center" wrapText="1"/>
    </xf>
    <xf borderId="0" fillId="3" fontId="9" numFmtId="0" xfId="0" applyAlignment="1" applyFont="1">
      <alignment horizontal="right" readingOrder="0" shrinkToFit="0" vertical="center" wrapText="1"/>
    </xf>
    <xf borderId="0" fillId="3" fontId="9" numFmtId="3" xfId="0" applyAlignment="1" applyFont="1" applyNumberFormat="1">
      <alignment shrinkToFit="0" vertical="center" wrapText="1"/>
    </xf>
    <xf borderId="1" fillId="4" fontId="3" numFmtId="3" xfId="0" applyAlignment="1" applyBorder="1" applyFont="1" applyNumberFormat="1">
      <alignment vertical="center"/>
    </xf>
    <xf borderId="0" fillId="3" fontId="5" numFmtId="3" xfId="0" applyAlignment="1" applyFont="1" applyNumberFormat="1">
      <alignment vertical="center"/>
    </xf>
    <xf borderId="0" fillId="0" fontId="3" numFmtId="3" xfId="0" applyAlignment="1" applyFont="1" applyNumberFormat="1">
      <alignment horizontal="right" vertical="center"/>
    </xf>
    <xf borderId="0" fillId="0" fontId="5" numFmtId="0" xfId="0" applyAlignment="1" applyFont="1">
      <alignment readingOrder="0" vertical="center"/>
    </xf>
    <xf borderId="0" fillId="0" fontId="4" numFmtId="165" xfId="0" applyAlignment="1" applyFont="1" applyNumberFormat="1">
      <alignment vertical="center"/>
    </xf>
    <xf borderId="0" fillId="3" fontId="13" numFmtId="3" xfId="0" applyAlignment="1" applyFont="1" applyNumberFormat="1">
      <alignment shrinkToFit="0" vertical="center" wrapText="1"/>
    </xf>
    <xf borderId="0" fillId="3" fontId="5" numFmtId="41" xfId="0" applyAlignment="1" applyFont="1" applyNumberFormat="1">
      <alignment vertical="center"/>
    </xf>
    <xf borderId="0" fillId="0" fontId="5" numFmtId="41" xfId="0" applyAlignment="1" applyFont="1" applyNumberFormat="1">
      <alignment vertical="center"/>
    </xf>
    <xf borderId="0" fillId="3" fontId="5" numFmtId="3" xfId="0" applyAlignment="1" applyFont="1" applyNumberFormat="1">
      <alignment shrinkToFit="0" vertical="center" wrapText="1"/>
    </xf>
    <xf borderId="0" fillId="3" fontId="5" numFmtId="0" xfId="0" applyAlignment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3" fontId="5" numFmtId="0" xfId="0" applyAlignment="1" applyFont="1">
      <alignment shrinkToFit="0" vertical="center" wrapText="0"/>
    </xf>
    <xf borderId="0" fillId="3" fontId="5" numFmtId="3" xfId="0" applyAlignment="1" applyFont="1" applyNumberFormat="1">
      <alignment readingOrder="0" shrinkToFit="0" vertical="center" wrapText="1"/>
    </xf>
    <xf borderId="0" fillId="3" fontId="5" numFmtId="0" xfId="0" applyAlignment="1" applyFont="1">
      <alignment readingOrder="0" shrinkToFit="0" vertical="center" wrapText="1"/>
    </xf>
    <xf borderId="1" fillId="0" fontId="4" numFmtId="166" xfId="0" applyAlignment="1" applyBorder="1" applyFont="1" applyNumberFormat="1">
      <alignment horizontal="right" shrinkToFit="0" vertical="center" wrapText="1"/>
    </xf>
    <xf borderId="2" fillId="3" fontId="9" numFmtId="0" xfId="0" applyAlignment="1" applyBorder="1" applyFont="1">
      <alignment shrinkToFit="0" vertical="center" wrapText="1"/>
    </xf>
    <xf borderId="2" fillId="3" fontId="9" numFmtId="41" xfId="0" applyAlignment="1" applyBorder="1" applyFont="1" applyNumberFormat="1">
      <alignment horizontal="right" shrinkToFit="0" vertical="center" wrapText="1"/>
    </xf>
    <xf borderId="2" fillId="0" fontId="9" numFmtId="41" xfId="0" applyAlignment="1" applyBorder="1" applyFont="1" applyNumberFormat="1">
      <alignment horizontal="right" shrinkToFit="0" vertical="center" wrapText="1"/>
    </xf>
    <xf borderId="2" fillId="3" fontId="9" numFmtId="0" xfId="0" applyAlignment="1" applyBorder="1" applyFont="1">
      <alignment readingOrder="0" shrinkToFit="0" vertical="center" wrapText="1"/>
    </xf>
    <xf borderId="0" fillId="3" fontId="9" numFmtId="0" xfId="0" applyAlignment="1" applyFont="1">
      <alignment shrinkToFit="0" vertical="center" wrapText="1"/>
    </xf>
    <xf borderId="0" fillId="0" fontId="6" numFmtId="168" xfId="0" applyAlignment="1" applyFont="1" applyNumberFormat="1">
      <alignment readingOrder="0"/>
    </xf>
    <xf borderId="0" fillId="3" fontId="9" numFmtId="41" xfId="0" applyAlignment="1" applyFont="1" applyNumberFormat="1">
      <alignment horizontal="right" shrinkToFit="0" vertical="center" wrapText="1"/>
    </xf>
    <xf borderId="0" fillId="0" fontId="9" numFmtId="41" xfId="0" applyAlignment="1" applyFont="1" applyNumberFormat="1">
      <alignment horizontal="right" shrinkToFit="0" vertical="center" wrapText="1"/>
    </xf>
    <xf borderId="0" fillId="3" fontId="5" numFmtId="0" xfId="0" applyAlignment="1" applyFont="1">
      <alignment vertical="center"/>
    </xf>
    <xf borderId="2" fillId="3" fontId="5" numFmtId="3" xfId="0" applyAlignment="1" applyBorder="1" applyFont="1" applyNumberFormat="1">
      <alignment shrinkToFit="0" vertical="center" wrapText="1"/>
    </xf>
    <xf borderId="2" fillId="3" fontId="5" numFmtId="41" xfId="0" applyAlignment="1" applyBorder="1" applyFont="1" applyNumberFormat="1">
      <alignment horizontal="right" shrinkToFit="0" vertical="center" wrapText="1"/>
    </xf>
    <xf borderId="2" fillId="0" fontId="5" numFmtId="41" xfId="0" applyAlignment="1" applyBorder="1" applyFont="1" applyNumberFormat="1">
      <alignment horizontal="right" shrinkToFit="0" vertical="center" wrapText="1"/>
    </xf>
    <xf borderId="2" fillId="3" fontId="9" numFmtId="3" xfId="0" applyAlignment="1" applyBorder="1" applyFont="1" applyNumberFormat="1">
      <alignment shrinkToFit="0" vertical="center" wrapText="1"/>
    </xf>
    <xf borderId="0" fillId="0" fontId="14" numFmtId="0" xfId="0" applyAlignment="1" applyFont="1">
      <alignment readingOrder="0"/>
    </xf>
    <xf borderId="1" fillId="2" fontId="2" numFmtId="169" xfId="0" applyAlignment="1" applyBorder="1" applyFont="1" applyNumberFormat="1">
      <alignment vertical="center"/>
    </xf>
    <xf borderId="0" fillId="2" fontId="2" numFmtId="169" xfId="0" applyAlignment="1" applyFont="1" applyNumberFormat="1">
      <alignment vertical="center"/>
    </xf>
    <xf borderId="0" fillId="0" fontId="4" numFmtId="169" xfId="0" applyAlignment="1" applyFont="1" applyNumberFormat="1">
      <alignment vertical="center"/>
    </xf>
    <xf borderId="0" fillId="0" fontId="4" numFmtId="3" xfId="0" applyAlignment="1" applyFont="1" applyNumberForma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173" xfId="0" applyAlignment="1" applyFont="1" applyNumberFormat="1">
      <alignment shrinkToFit="0" vertical="center" wrapText="1"/>
    </xf>
    <xf borderId="0" fillId="0" fontId="4" numFmtId="169" xfId="0" applyAlignment="1" applyFont="1" applyNumberFormat="1">
      <alignment shrinkToFit="0" vertical="center" wrapText="1"/>
    </xf>
    <xf borderId="0" fillId="3" fontId="5" numFmtId="3" xfId="0" applyAlignment="1" applyFont="1" applyNumberFormat="1">
      <alignment horizontal="right" vertical="center"/>
    </xf>
    <xf borderId="0" fillId="3" fontId="5" numFmtId="169" xfId="0" applyAlignment="1" applyFont="1" applyNumberFormat="1">
      <alignment horizontal="right" vertical="center"/>
    </xf>
    <xf borderId="1" fillId="3" fontId="5" numFmtId="3" xfId="0" applyAlignment="1" applyBorder="1" applyFont="1" applyNumberFormat="1">
      <alignment horizontal="right" vertical="center"/>
    </xf>
    <xf borderId="0" fillId="0" fontId="4" numFmtId="3" xfId="0" applyAlignment="1" applyFont="1" applyNumberFormat="1">
      <alignment readingOrder="0" shrinkToFit="0" vertical="center" wrapText="1"/>
    </xf>
    <xf borderId="0" fillId="3" fontId="10" numFmtId="0" xfId="0" applyAlignment="1" applyFont="1">
      <alignment vertical="center"/>
    </xf>
    <xf borderId="2" fillId="0" fontId="10" numFmtId="0" xfId="0" applyAlignment="1" applyBorder="1" applyFont="1">
      <alignment vertical="center"/>
    </xf>
    <xf borderId="7" fillId="3" fontId="3" numFmtId="0" xfId="0" applyAlignment="1" applyBorder="1" applyFont="1">
      <alignment shrinkToFit="0" vertical="center" wrapText="1"/>
    </xf>
    <xf borderId="5" fillId="0" fontId="3" numFmtId="173" xfId="0" applyAlignment="1" applyBorder="1" applyFont="1" applyNumberFormat="1">
      <alignment shrinkToFit="0" vertical="center" wrapText="1"/>
    </xf>
    <xf borderId="5" fillId="0" fontId="3" numFmtId="169" xfId="0" applyAlignment="1" applyBorder="1" applyFont="1" applyNumberFormat="1">
      <alignment shrinkToFit="0" vertical="center" wrapText="1"/>
    </xf>
    <xf borderId="0" fillId="0" fontId="4" numFmtId="0" xfId="0" applyAlignment="1" applyFont="1">
      <alignment horizontal="left" readingOrder="0" vertical="center"/>
    </xf>
    <xf borderId="0" fillId="0" fontId="10" numFmtId="3" xfId="0" applyAlignment="1" applyFont="1" applyNumberFormat="1">
      <alignment horizontal="right" vertical="center"/>
    </xf>
    <xf borderId="0" fillId="0" fontId="10" numFmtId="169" xfId="0" applyAlignment="1" applyFont="1" applyNumberFormat="1">
      <alignment horizontal="right" vertical="center"/>
    </xf>
    <xf borderId="0" fillId="0" fontId="10" numFmtId="3" xfId="0" applyAlignment="1" applyFont="1" applyNumberFormat="1">
      <alignment horizontal="right" readingOrder="0" vertical="center"/>
    </xf>
    <xf borderId="1" fillId="3" fontId="4" numFmtId="0" xfId="0" applyAlignment="1" applyBorder="1" applyFont="1">
      <alignment readingOrder="0" shrinkToFit="0" vertical="center" wrapText="1"/>
    </xf>
    <xf borderId="6" fillId="3" fontId="5" numFmtId="3" xfId="0" applyAlignment="1" applyBorder="1" applyFont="1" applyNumberFormat="1">
      <alignment horizontal="right" vertical="center"/>
    </xf>
    <xf borderId="5" fillId="0" fontId="3" numFmtId="0" xfId="0" applyAlignment="1" applyBorder="1" applyFont="1">
      <alignment vertical="center"/>
    </xf>
    <xf borderId="5" fillId="0" fontId="3" numFmtId="3" xfId="0" applyAlignment="1" applyBorder="1" applyFont="1" applyNumberFormat="1">
      <alignment vertical="center"/>
    </xf>
    <xf borderId="5" fillId="0" fontId="3" numFmtId="169" xfId="0" applyAlignment="1" applyBorder="1" applyFont="1" applyNumberFormat="1">
      <alignment vertical="center"/>
    </xf>
    <xf borderId="5" fillId="3" fontId="3" numFmtId="3" xfId="0" applyAlignment="1" applyBorder="1" applyFont="1" applyNumberFormat="1">
      <alignment vertical="center"/>
    </xf>
    <xf borderId="1" fillId="3" fontId="4" numFmtId="173" xfId="0" applyAlignment="1" applyBorder="1" applyFont="1" applyNumberFormat="1">
      <alignment horizontal="right" shrinkToFit="0" vertical="center" wrapText="1"/>
    </xf>
    <xf borderId="1" fillId="3" fontId="4" numFmtId="169" xfId="0" applyAlignment="1" applyBorder="1" applyFont="1" applyNumberFormat="1">
      <alignment shrinkToFit="0" vertical="center" wrapText="1"/>
    </xf>
    <xf borderId="0" fillId="3" fontId="4" numFmtId="3" xfId="0" applyAlignment="1" applyFont="1" applyNumberFormat="1">
      <alignment shrinkToFit="0" vertical="center" wrapText="1"/>
    </xf>
    <xf borderId="0" fillId="3" fontId="4" numFmtId="169" xfId="0" applyAlignment="1" applyFont="1" applyNumberFormat="1">
      <alignment shrinkToFit="0" vertical="center" wrapText="1"/>
    </xf>
    <xf borderId="1" fillId="2" fontId="5" numFmtId="0" xfId="0" applyAlignment="1" applyBorder="1" applyFont="1">
      <alignment vertical="center"/>
    </xf>
    <xf borderId="1" fillId="2" fontId="5" numFmtId="169" xfId="0" applyAlignment="1" applyBorder="1" applyFont="1" applyNumberFormat="1">
      <alignment vertical="center"/>
    </xf>
    <xf borderId="0" fillId="0" fontId="5" numFmtId="169" xfId="0" applyAlignment="1" applyFont="1" applyNumberFormat="1">
      <alignment vertical="center"/>
    </xf>
    <xf borderId="0" fillId="0" fontId="9" numFmtId="0" xfId="0" applyAlignment="1" applyFont="1">
      <alignment horizontal="center" shrinkToFit="0" vertical="center" wrapText="1"/>
    </xf>
    <xf borderId="0" fillId="0" fontId="4" numFmtId="173" xfId="0" applyAlignment="1" applyFont="1" applyNumberFormat="1">
      <alignment horizontal="right" shrinkToFit="0" vertical="center" wrapText="1"/>
    </xf>
    <xf borderId="0" fillId="0" fontId="5" numFmtId="173" xfId="0" applyAlignment="1" applyFont="1" applyNumberFormat="1">
      <alignment horizontal="right" shrinkToFit="0" vertical="center" wrapText="1"/>
    </xf>
    <xf borderId="0" fillId="0" fontId="5" numFmtId="169" xfId="0" applyAlignment="1" applyFont="1" applyNumberFormat="1">
      <alignment horizontal="right" shrinkToFit="0" vertical="center" wrapText="1"/>
    </xf>
    <xf borderId="2" fillId="0" fontId="5" numFmtId="173" xfId="0" applyAlignment="1" applyBorder="1" applyFont="1" applyNumberFormat="1">
      <alignment horizontal="right" shrinkToFit="0" vertical="center" wrapText="1"/>
    </xf>
    <xf borderId="5" fillId="0" fontId="3" numFmtId="173" xfId="0" applyAlignment="1" applyBorder="1" applyFont="1" applyNumberFormat="1">
      <alignment horizontal="right" shrinkToFit="0" vertical="center" wrapText="1"/>
    </xf>
    <xf borderId="5" fillId="0" fontId="3" numFmtId="169" xfId="0" applyAlignment="1" applyBorder="1" applyFont="1" applyNumberFormat="1">
      <alignment horizontal="right" shrinkToFit="0" vertical="center" wrapText="1"/>
    </xf>
    <xf borderId="2" fillId="0" fontId="9" numFmtId="173" xfId="0" applyAlignment="1" applyBorder="1" applyFont="1" applyNumberFormat="1">
      <alignment horizontal="right" shrinkToFit="0" vertical="center" wrapText="1"/>
    </xf>
    <xf borderId="0" fillId="0" fontId="3" numFmtId="169" xfId="0" applyAlignment="1" applyFont="1" applyNumberFormat="1">
      <alignment vertical="center"/>
    </xf>
    <xf borderId="0" fillId="0" fontId="5" numFmtId="3" xfId="0" applyAlignment="1" applyFont="1" applyNumberFormat="1">
      <alignment horizontal="right" vertical="center"/>
    </xf>
    <xf borderId="1" fillId="4" fontId="4" numFmtId="3" xfId="0" applyAlignment="1" applyBorder="1" applyFont="1" applyNumberFormat="1">
      <alignment vertical="center"/>
    </xf>
    <xf borderId="1" fillId="4" fontId="4" numFmtId="169" xfId="0" applyAlignment="1" applyBorder="1" applyFont="1" applyNumberFormat="1">
      <alignment vertical="center"/>
    </xf>
    <xf borderId="2" fillId="0" fontId="5" numFmtId="3" xfId="0" applyAlignment="1" applyBorder="1" applyFont="1" applyNumberFormat="1">
      <alignment horizontal="right" vertical="center"/>
    </xf>
    <xf borderId="7" fillId="3" fontId="3" numFmtId="3" xfId="0" applyAlignment="1" applyBorder="1" applyFont="1" applyNumberFormat="1">
      <alignment vertical="center"/>
    </xf>
    <xf borderId="1" fillId="3" fontId="4" numFmtId="173" xfId="0" applyAlignment="1" applyBorder="1" applyFont="1" applyNumberFormat="1">
      <alignment shrinkToFit="0" vertical="center" wrapText="1"/>
    </xf>
    <xf borderId="1" fillId="3" fontId="5" numFmtId="173" xfId="0" applyAlignment="1" applyBorder="1" applyFont="1" applyNumberFormat="1">
      <alignment horizontal="right" shrinkToFit="0" vertical="center" wrapText="1"/>
    </xf>
    <xf borderId="1" fillId="3" fontId="4" numFmtId="3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0"/>
  <cols>
    <col customWidth="1" min="1" max="1" width="3.38"/>
    <col customWidth="1" min="2" max="2" width="39.38"/>
    <col customWidth="1" min="3" max="10" width="16.75"/>
    <col customWidth="1" min="11" max="12" width="14.75"/>
    <col customWidth="1" min="13" max="18" width="16.5"/>
  </cols>
  <sheetData>
    <row r="1" ht="12.0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ht="12.0" customHeight="1">
      <c r="A2" s="4" t="s">
        <v>1</v>
      </c>
      <c r="B2" s="5"/>
      <c r="C2" s="5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12.0" customHeight="1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</row>
    <row r="4">
      <c r="A4" s="5"/>
      <c r="B4" s="5"/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>
        <v>45016.0</v>
      </c>
      <c r="L4" s="7">
        <v>45107.0</v>
      </c>
      <c r="M4" s="7">
        <v>45199.0</v>
      </c>
      <c r="N4" s="7">
        <v>45291.0</v>
      </c>
      <c r="O4" s="7">
        <v>45382.0</v>
      </c>
      <c r="P4" s="7">
        <v>45473.0</v>
      </c>
      <c r="Q4" s="7">
        <v>45565.0</v>
      </c>
      <c r="R4" s="7">
        <v>45657.0</v>
      </c>
    </row>
    <row r="5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12.0" customHeight="1">
      <c r="A6" s="5"/>
      <c r="B6" s="8" t="s">
        <v>10</v>
      </c>
      <c r="C6" s="9"/>
      <c r="D6" s="9"/>
      <c r="E6" s="9"/>
      <c r="F6" s="9"/>
      <c r="G6" s="9"/>
      <c r="H6" s="9"/>
      <c r="I6" s="9"/>
      <c r="J6" s="9"/>
      <c r="K6" s="5"/>
      <c r="L6" s="5"/>
      <c r="M6" s="5"/>
      <c r="N6" s="5"/>
      <c r="O6" s="5"/>
      <c r="P6" s="5"/>
      <c r="Q6" s="5"/>
      <c r="R6" s="5"/>
    </row>
    <row r="7" ht="5.25" customHeight="1">
      <c r="A7" s="5"/>
      <c r="B7" s="10"/>
      <c r="C7" s="11"/>
      <c r="D7" s="11"/>
      <c r="E7" s="11"/>
      <c r="F7" s="11"/>
      <c r="G7" s="11"/>
      <c r="H7" s="11"/>
      <c r="I7" s="11"/>
      <c r="J7" s="11"/>
      <c r="K7" s="5"/>
      <c r="L7" s="5"/>
      <c r="M7" s="5"/>
      <c r="N7" s="5"/>
      <c r="O7" s="5"/>
      <c r="P7" s="5"/>
      <c r="Q7" s="5"/>
      <c r="R7" s="5"/>
    </row>
    <row r="8" ht="12.0" customHeight="1">
      <c r="A8" s="5"/>
      <c r="B8" s="12" t="s">
        <v>11</v>
      </c>
      <c r="C8" s="13">
        <v>79500.0</v>
      </c>
      <c r="D8" s="13">
        <v>162827.0</v>
      </c>
      <c r="E8" s="13">
        <v>113417.0</v>
      </c>
      <c r="F8" s="13">
        <v>135727.0</v>
      </c>
      <c r="G8" s="13">
        <v>131827.0</v>
      </c>
      <c r="H8" s="13">
        <v>104190.0</v>
      </c>
      <c r="I8" s="13">
        <v>151850.0</v>
      </c>
      <c r="J8" s="13">
        <v>185727.0</v>
      </c>
      <c r="K8" s="14">
        <v>251550.0</v>
      </c>
      <c r="L8" s="14">
        <v>149232.0</v>
      </c>
      <c r="M8" s="14">
        <v>194295.0</v>
      </c>
      <c r="N8" s="14">
        <v>211638.0</v>
      </c>
      <c r="O8" s="14">
        <v>360296.0</v>
      </c>
      <c r="P8" s="14">
        <v>264770.0</v>
      </c>
      <c r="Q8" s="14">
        <v>383369.0</v>
      </c>
      <c r="R8" s="15">
        <v>350581.0</v>
      </c>
      <c r="T8" s="16"/>
    </row>
    <row r="9" ht="12.0" customHeight="1">
      <c r="A9" s="5"/>
      <c r="B9" s="12" t="s">
        <v>12</v>
      </c>
      <c r="C9" s="17">
        <v>0.0</v>
      </c>
      <c r="D9" s="17">
        <v>0.0</v>
      </c>
      <c r="E9" s="17">
        <v>0.0</v>
      </c>
      <c r="F9" s="13">
        <v>798786.0</v>
      </c>
      <c r="G9" s="13">
        <v>405602.0</v>
      </c>
      <c r="H9" s="13">
        <v>253304.0</v>
      </c>
      <c r="I9" s="13">
        <v>181857.0</v>
      </c>
      <c r="J9" s="13">
        <v>96299.0</v>
      </c>
      <c r="K9" s="14">
        <v>93884.0</v>
      </c>
      <c r="L9" s="14">
        <v>35811.0</v>
      </c>
      <c r="M9" s="14">
        <v>39192.0</v>
      </c>
      <c r="N9" s="14">
        <v>3164.0</v>
      </c>
      <c r="O9" s="18">
        <v>0.0</v>
      </c>
      <c r="P9" s="18">
        <v>0.0</v>
      </c>
      <c r="Q9" s="18">
        <v>0.0</v>
      </c>
      <c r="R9" s="18">
        <v>0.0</v>
      </c>
    </row>
    <row r="10" ht="12.0" customHeight="1">
      <c r="A10" s="5"/>
      <c r="B10" s="19" t="s">
        <v>13</v>
      </c>
      <c r="C10" s="13">
        <v>164677.0</v>
      </c>
      <c r="D10" s="13">
        <v>246881.0</v>
      </c>
      <c r="E10" s="13">
        <v>466003.0</v>
      </c>
      <c r="F10" s="13">
        <v>474907.0</v>
      </c>
      <c r="G10" s="13">
        <v>523356.0</v>
      </c>
      <c r="H10" s="13">
        <v>648423.0</v>
      </c>
      <c r="I10" s="13">
        <v>691958.0</v>
      </c>
      <c r="J10" s="13">
        <v>718921.0</v>
      </c>
      <c r="K10" s="13">
        <v>677914.0</v>
      </c>
      <c r="L10" s="13">
        <v>686122.0</v>
      </c>
      <c r="M10" s="13">
        <v>662014.0</v>
      </c>
      <c r="N10" s="13">
        <v>619571.0</v>
      </c>
      <c r="O10" s="13">
        <v>563014.0</v>
      </c>
      <c r="P10" s="13">
        <v>711519.0</v>
      </c>
      <c r="Q10" s="13">
        <v>697710.0</v>
      </c>
      <c r="R10" s="13">
        <v>718069.0</v>
      </c>
      <c r="T10" s="16"/>
    </row>
    <row r="11" ht="12.0" customHeight="1">
      <c r="A11" s="5"/>
      <c r="B11" s="12" t="s">
        <v>14</v>
      </c>
      <c r="C11" s="13">
        <v>1886.0</v>
      </c>
      <c r="D11" s="13">
        <v>1016.0</v>
      </c>
      <c r="E11" s="13">
        <v>7933.0</v>
      </c>
      <c r="F11" s="13">
        <v>7785.0</v>
      </c>
      <c r="G11" s="13">
        <v>10532.0</v>
      </c>
      <c r="H11" s="13">
        <v>17196.0</v>
      </c>
      <c r="I11" s="13">
        <v>6667.0</v>
      </c>
      <c r="J11" s="13">
        <v>17922.0</v>
      </c>
      <c r="K11" s="14">
        <f>15051+11682</f>
        <v>26733</v>
      </c>
      <c r="L11" s="14">
        <f>22401+13061 </f>
        <v>35462</v>
      </c>
      <c r="M11" s="14">
        <f>19739+14440</f>
        <v>34179</v>
      </c>
      <c r="N11" s="14">
        <v>23588.0</v>
      </c>
      <c r="O11" s="14">
        <v>38400.0</v>
      </c>
      <c r="P11" s="14">
        <v>37504.0</v>
      </c>
      <c r="Q11" s="14">
        <v>41983.0</v>
      </c>
      <c r="R11" s="15">
        <v>46503.0</v>
      </c>
      <c r="T11" s="16"/>
    </row>
    <row r="12" ht="12.0" customHeight="1">
      <c r="A12" s="5"/>
      <c r="B12" s="12" t="s">
        <v>15</v>
      </c>
      <c r="C12" s="13">
        <v>520.0</v>
      </c>
      <c r="D12" s="13">
        <v>2117.0</v>
      </c>
      <c r="E12" s="13">
        <v>2651.0</v>
      </c>
      <c r="F12" s="13">
        <v>2810.0</v>
      </c>
      <c r="G12" s="13">
        <v>6245.0</v>
      </c>
      <c r="H12" s="13">
        <v>1016.0</v>
      </c>
      <c r="I12" s="13">
        <v>1089.0</v>
      </c>
      <c r="J12" s="13">
        <v>2959.0</v>
      </c>
      <c r="K12" s="14">
        <v>1256.0</v>
      </c>
      <c r="L12" s="14">
        <v>8267.0</v>
      </c>
      <c r="M12" s="14">
        <v>6319.0</v>
      </c>
      <c r="N12" s="14">
        <v>17483.0</v>
      </c>
      <c r="O12" s="14">
        <v>4255.0</v>
      </c>
      <c r="P12" s="14">
        <v>2718.0</v>
      </c>
      <c r="Q12" s="18">
        <v>0.0</v>
      </c>
      <c r="R12" s="18">
        <v>0.0</v>
      </c>
    </row>
    <row r="13" ht="12.0" customHeight="1">
      <c r="A13" s="5"/>
      <c r="B13" s="12" t="s">
        <v>16</v>
      </c>
      <c r="C13" s="17">
        <v>0.0</v>
      </c>
      <c r="D13" s="17">
        <v>0.0</v>
      </c>
      <c r="E13" s="17">
        <v>0.0</v>
      </c>
      <c r="F13" s="17">
        <v>0.0</v>
      </c>
      <c r="G13" s="17">
        <v>0.0</v>
      </c>
      <c r="H13" s="17">
        <v>0.0</v>
      </c>
      <c r="I13" s="13">
        <v>13028.0</v>
      </c>
      <c r="J13" s="17">
        <v>0.0</v>
      </c>
      <c r="K13" s="17">
        <v>0.0</v>
      </c>
      <c r="L13" s="17">
        <f>29090*0</f>
        <v>0</v>
      </c>
      <c r="M13" s="17">
        <f>26525*0</f>
        <v>0</v>
      </c>
      <c r="N13" s="18">
        <v>0.0</v>
      </c>
      <c r="O13" s="18">
        <v>0.0</v>
      </c>
      <c r="P13" s="18">
        <v>0.0</v>
      </c>
      <c r="Q13" s="18">
        <v>0.0</v>
      </c>
      <c r="R13" s="18">
        <v>0.0</v>
      </c>
    </row>
    <row r="14" ht="12.0" customHeight="1">
      <c r="A14" s="5"/>
      <c r="B14" s="12" t="s">
        <v>17</v>
      </c>
      <c r="C14" s="13">
        <v>2983.0</v>
      </c>
      <c r="D14" s="13">
        <v>8837.0</v>
      </c>
      <c r="E14" s="13">
        <v>2842.0</v>
      </c>
      <c r="F14" s="13">
        <v>896.0</v>
      </c>
      <c r="G14" s="13">
        <v>5230.0</v>
      </c>
      <c r="H14" s="13">
        <v>7736.0</v>
      </c>
      <c r="I14" s="13">
        <v>11775.0</v>
      </c>
      <c r="J14" s="13">
        <v>11194.0</v>
      </c>
      <c r="K14" s="14">
        <v>9240.0</v>
      </c>
      <c r="L14" s="14">
        <v>15024.0</v>
      </c>
      <c r="M14" s="14">
        <v>11017.0</v>
      </c>
      <c r="N14" s="14">
        <v>9620.0</v>
      </c>
      <c r="O14" s="14">
        <v>7135.0</v>
      </c>
      <c r="P14" s="14">
        <v>6843.0</v>
      </c>
      <c r="Q14" s="14">
        <v>4349.0</v>
      </c>
      <c r="R14" s="15">
        <v>4476.0</v>
      </c>
      <c r="T14" s="16"/>
      <c r="U14" s="20"/>
    </row>
    <row r="15" ht="12.0" customHeight="1">
      <c r="A15" s="5"/>
      <c r="B15" s="12" t="s">
        <v>18</v>
      </c>
      <c r="C15" s="17">
        <v>0.0</v>
      </c>
      <c r="D15" s="17">
        <v>0.0</v>
      </c>
      <c r="E15" s="17">
        <v>0.0</v>
      </c>
      <c r="F15" s="17">
        <v>0.0</v>
      </c>
      <c r="G15" s="17">
        <v>0.0</v>
      </c>
      <c r="H15" s="17">
        <v>0.0</v>
      </c>
      <c r="I15" s="17">
        <v>0.0</v>
      </c>
      <c r="J15" s="17">
        <v>0.0</v>
      </c>
      <c r="K15" s="17">
        <v>0.0</v>
      </c>
      <c r="L15" s="17">
        <v>0.0</v>
      </c>
      <c r="M15" s="17">
        <v>0.0</v>
      </c>
      <c r="N15" s="18">
        <v>0.0</v>
      </c>
      <c r="O15" s="18">
        <v>0.0</v>
      </c>
      <c r="P15" s="14">
        <v>23329.0</v>
      </c>
      <c r="Q15" s="14">
        <v>24489.0</v>
      </c>
      <c r="R15" s="15">
        <v>26293.0</v>
      </c>
      <c r="T15" s="16"/>
    </row>
    <row r="16" ht="12.0" customHeight="1">
      <c r="A16" s="5"/>
      <c r="B16" s="12" t="s">
        <v>19</v>
      </c>
      <c r="C16" s="13">
        <v>5674.0</v>
      </c>
      <c r="D16" s="13">
        <v>12874.0</v>
      </c>
      <c r="E16" s="13">
        <v>27696.0</v>
      </c>
      <c r="F16" s="13">
        <v>29994.0</v>
      </c>
      <c r="G16" s="13">
        <v>36234.0</v>
      </c>
      <c r="H16" s="13">
        <v>46187.0</v>
      </c>
      <c r="I16" s="13">
        <v>33173.0</v>
      </c>
      <c r="J16" s="13">
        <v>38269.0</v>
      </c>
      <c r="K16" s="14">
        <v>31856.0</v>
      </c>
      <c r="L16" s="14">
        <v>30315.0</v>
      </c>
      <c r="M16" s="14">
        <v>38259.0</v>
      </c>
      <c r="N16" s="14">
        <v>27072.0</v>
      </c>
      <c r="O16" s="14">
        <v>28991.0</v>
      </c>
      <c r="P16" s="14">
        <v>35112.0</v>
      </c>
      <c r="Q16" s="14">
        <v>31162.0</v>
      </c>
      <c r="R16" s="15">
        <v>41396.0</v>
      </c>
      <c r="T16" s="16"/>
    </row>
    <row r="17" ht="7.5" customHeight="1">
      <c r="A17" s="5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T17" s="16"/>
    </row>
    <row r="18" ht="12.0" customHeight="1">
      <c r="A18" s="5"/>
      <c r="B18" s="8" t="s">
        <v>20</v>
      </c>
      <c r="C18" s="23">
        <f t="shared" ref="C18:R18" si="1">SUM(C8:C16)</f>
        <v>255240</v>
      </c>
      <c r="D18" s="23">
        <f t="shared" si="1"/>
        <v>434552</v>
      </c>
      <c r="E18" s="23">
        <f t="shared" si="1"/>
        <v>620542</v>
      </c>
      <c r="F18" s="23">
        <f t="shared" si="1"/>
        <v>1450905</v>
      </c>
      <c r="G18" s="23">
        <f t="shared" si="1"/>
        <v>1119026</v>
      </c>
      <c r="H18" s="23">
        <f t="shared" si="1"/>
        <v>1078052</v>
      </c>
      <c r="I18" s="23">
        <f t="shared" si="1"/>
        <v>1091397</v>
      </c>
      <c r="J18" s="23">
        <f t="shared" si="1"/>
        <v>1071291</v>
      </c>
      <c r="K18" s="23">
        <f t="shared" si="1"/>
        <v>1092433</v>
      </c>
      <c r="L18" s="23">
        <f t="shared" si="1"/>
        <v>960233</v>
      </c>
      <c r="M18" s="23">
        <f t="shared" si="1"/>
        <v>985275</v>
      </c>
      <c r="N18" s="23">
        <f t="shared" si="1"/>
        <v>912136</v>
      </c>
      <c r="O18" s="23">
        <f t="shared" si="1"/>
        <v>1002091</v>
      </c>
      <c r="P18" s="23">
        <f t="shared" si="1"/>
        <v>1081795</v>
      </c>
      <c r="Q18" s="23">
        <f t="shared" si="1"/>
        <v>1183062</v>
      </c>
      <c r="R18" s="23">
        <f t="shared" si="1"/>
        <v>1187318</v>
      </c>
    </row>
    <row r="19" ht="9.0" customHeight="1">
      <c r="A19" s="5"/>
      <c r="B19" s="10"/>
      <c r="C19" s="24"/>
      <c r="D19" s="24"/>
      <c r="E19" s="24"/>
      <c r="F19" s="24"/>
      <c r="G19" s="24"/>
      <c r="H19" s="24"/>
      <c r="I19" s="24"/>
      <c r="J19" s="24"/>
      <c r="K19" s="5"/>
      <c r="L19" s="5"/>
      <c r="M19" s="5"/>
      <c r="N19" s="5"/>
      <c r="O19" s="5"/>
      <c r="P19" s="5"/>
      <c r="Q19" s="5"/>
      <c r="R19" s="5"/>
      <c r="T19" s="25"/>
    </row>
    <row r="20" ht="12.0" customHeight="1">
      <c r="A20" s="5"/>
      <c r="B20" s="12" t="s">
        <v>14</v>
      </c>
      <c r="C20" s="13">
        <v>3099.0</v>
      </c>
      <c r="D20" s="13">
        <v>3099.0</v>
      </c>
      <c r="E20" s="13">
        <v>3086.0</v>
      </c>
      <c r="F20" s="13">
        <v>3046.0</v>
      </c>
      <c r="G20" s="13">
        <v>3587.0</v>
      </c>
      <c r="H20" s="13">
        <v>3587.0</v>
      </c>
      <c r="I20" s="13">
        <v>3591.0</v>
      </c>
      <c r="J20" s="13">
        <v>3624.0</v>
      </c>
      <c r="K20" s="14">
        <v>3644.0</v>
      </c>
      <c r="L20" s="14">
        <v>3676.0</v>
      </c>
      <c r="M20" s="14">
        <v>3703.0</v>
      </c>
      <c r="N20" s="14">
        <v>959.0</v>
      </c>
      <c r="O20" s="14">
        <v>742.0</v>
      </c>
      <c r="P20" s="14">
        <v>711.0</v>
      </c>
      <c r="Q20" s="14">
        <v>440.0</v>
      </c>
      <c r="R20" s="15">
        <v>37629.0</v>
      </c>
      <c r="T20" s="16"/>
    </row>
    <row r="21" ht="12.0" customHeight="1">
      <c r="A21" s="5"/>
      <c r="B21" s="12" t="s">
        <v>21</v>
      </c>
      <c r="C21" s="13">
        <v>24977.0</v>
      </c>
      <c r="D21" s="13">
        <v>15152.0</v>
      </c>
      <c r="E21" s="13">
        <v>25985.0</v>
      </c>
      <c r="F21" s="13">
        <v>31989.0</v>
      </c>
      <c r="G21" s="13">
        <v>27110.0</v>
      </c>
      <c r="H21" s="13">
        <v>22954.0</v>
      </c>
      <c r="I21" s="13">
        <v>34285.0</v>
      </c>
      <c r="J21" s="13">
        <v>15571.0</v>
      </c>
      <c r="K21" s="14">
        <f>37848-21265</f>
        <v>16583</v>
      </c>
      <c r="L21" s="14">
        <f>28187-12770</f>
        <v>15417</v>
      </c>
      <c r="M21" s="14">
        <f>29633-13747</f>
        <v>15886</v>
      </c>
      <c r="N21" s="14">
        <v>18284.0</v>
      </c>
      <c r="O21" s="14">
        <v>19407.0</v>
      </c>
      <c r="P21" s="14">
        <v>25620.0</v>
      </c>
      <c r="Q21" s="14">
        <v>21284.0</v>
      </c>
      <c r="R21" s="15">
        <v>8833.0</v>
      </c>
      <c r="T21" s="16"/>
    </row>
    <row r="22" ht="12.0" customHeight="1">
      <c r="A22" s="5"/>
      <c r="B22" s="12" t="s">
        <v>22</v>
      </c>
      <c r="C22" s="13">
        <v>3083.0</v>
      </c>
      <c r="D22" s="13">
        <v>3083.0</v>
      </c>
      <c r="E22" s="13">
        <v>3075.0</v>
      </c>
      <c r="F22" s="13">
        <v>3079.0</v>
      </c>
      <c r="G22" s="13">
        <v>6101.0</v>
      </c>
      <c r="H22" s="13">
        <v>9337.0</v>
      </c>
      <c r="I22" s="13">
        <v>9468.0</v>
      </c>
      <c r="J22" s="13">
        <v>9819.0</v>
      </c>
      <c r="K22" s="14">
        <v>9710.0</v>
      </c>
      <c r="L22" s="14">
        <v>9995.0</v>
      </c>
      <c r="M22" s="14">
        <v>9995.0</v>
      </c>
      <c r="N22" s="14">
        <v>7280.0</v>
      </c>
      <c r="O22" s="14">
        <v>7471.0</v>
      </c>
      <c r="P22" s="14">
        <v>7471.0</v>
      </c>
      <c r="Q22" s="14">
        <v>8069.0</v>
      </c>
      <c r="R22" s="15">
        <v>8148.0</v>
      </c>
      <c r="T22" s="16"/>
    </row>
    <row r="23" ht="12.0" customHeight="1">
      <c r="A23" s="5"/>
      <c r="B23" s="12" t="s">
        <v>18</v>
      </c>
      <c r="C23" s="17">
        <v>0.0</v>
      </c>
      <c r="D23" s="17">
        <v>0.0</v>
      </c>
      <c r="E23" s="17">
        <v>0.0</v>
      </c>
      <c r="F23" s="17">
        <v>0.0</v>
      </c>
      <c r="G23" s="13">
        <v>19938.0</v>
      </c>
      <c r="H23" s="13">
        <v>33975.0</v>
      </c>
      <c r="I23" s="13">
        <v>32877.0</v>
      </c>
      <c r="J23" s="13">
        <v>31552.0</v>
      </c>
      <c r="K23" s="14">
        <v>30459.0</v>
      </c>
      <c r="L23" s="14">
        <v>30842.0</v>
      </c>
      <c r="M23" s="14">
        <v>31013.0</v>
      </c>
      <c r="N23" s="14">
        <v>29061.0</v>
      </c>
      <c r="O23" s="14">
        <v>29779.0</v>
      </c>
      <c r="P23" s="14">
        <v>9040.0</v>
      </c>
      <c r="Q23" s="14">
        <v>9040.0</v>
      </c>
      <c r="R23" s="15">
        <v>6190.0</v>
      </c>
      <c r="T23" s="16"/>
    </row>
    <row r="24" ht="12.0" customHeight="1">
      <c r="A24" s="5"/>
      <c r="B24" s="12" t="s">
        <v>19</v>
      </c>
      <c r="C24" s="13">
        <v>677.0</v>
      </c>
      <c r="D24" s="13">
        <v>2494.0</v>
      </c>
      <c r="E24" s="13">
        <v>2303.0</v>
      </c>
      <c r="F24" s="13">
        <v>2974.0</v>
      </c>
      <c r="G24" s="13">
        <v>2509.0</v>
      </c>
      <c r="H24" s="13">
        <v>3950.0</v>
      </c>
      <c r="I24" s="13">
        <v>3925.0</v>
      </c>
      <c r="J24" s="13">
        <v>3654.0</v>
      </c>
      <c r="K24" s="14">
        <v>3637.0</v>
      </c>
      <c r="L24" s="14">
        <v>1844.0</v>
      </c>
      <c r="M24" s="14">
        <v>2202.0</v>
      </c>
      <c r="N24" s="14">
        <v>1027.0</v>
      </c>
      <c r="O24" s="14">
        <v>1168.0</v>
      </c>
      <c r="P24" s="14">
        <v>1087.0</v>
      </c>
      <c r="Q24" s="14">
        <v>6412.0</v>
      </c>
      <c r="R24" s="15">
        <v>9915.0</v>
      </c>
      <c r="T24" s="16"/>
    </row>
    <row r="25" ht="12.0" customHeight="1">
      <c r="A25" s="5"/>
      <c r="B25" s="12" t="s">
        <v>23</v>
      </c>
      <c r="C25" s="13">
        <v>27928.0</v>
      </c>
      <c r="D25" s="13">
        <v>38771.0</v>
      </c>
      <c r="E25" s="13">
        <v>55720.0</v>
      </c>
      <c r="F25" s="13">
        <v>57721.0</v>
      </c>
      <c r="G25" s="13">
        <v>59381.0</v>
      </c>
      <c r="H25" s="13">
        <v>60962.0</v>
      </c>
      <c r="I25" s="13">
        <v>60376.0</v>
      </c>
      <c r="J25" s="13">
        <v>55266.0</v>
      </c>
      <c r="K25" s="14">
        <v>52032.0</v>
      </c>
      <c r="L25" s="14">
        <v>46373.0</v>
      </c>
      <c r="M25" s="14">
        <v>41674.0</v>
      </c>
      <c r="N25" s="14">
        <v>38584.0</v>
      </c>
      <c r="O25" s="14">
        <v>34926.0</v>
      </c>
      <c r="P25" s="14">
        <v>35855.0</v>
      </c>
      <c r="Q25" s="14">
        <v>35460.0</v>
      </c>
      <c r="R25" s="15">
        <v>36508.0</v>
      </c>
      <c r="T25" s="16"/>
    </row>
    <row r="26" ht="12.0" customHeight="1">
      <c r="A26" s="5"/>
      <c r="B26" s="12" t="s">
        <v>24</v>
      </c>
      <c r="C26" s="13">
        <v>18545.0</v>
      </c>
      <c r="D26" s="13">
        <v>18166.0</v>
      </c>
      <c r="E26" s="13">
        <v>745766.0</v>
      </c>
      <c r="F26" s="13">
        <v>738803.0</v>
      </c>
      <c r="G26" s="13">
        <v>1050008.0</v>
      </c>
      <c r="H26" s="13">
        <v>1078187.0</v>
      </c>
      <c r="I26" s="13">
        <v>1123626.0</v>
      </c>
      <c r="J26" s="13">
        <v>1755994.0</v>
      </c>
      <c r="K26" s="14">
        <f>1719226+5096</f>
        <v>1724322</v>
      </c>
      <c r="L26" s="14">
        <v>1673996.0</v>
      </c>
      <c r="M26" s="14">
        <v>1690801.0</v>
      </c>
      <c r="N26" s="14">
        <v>1669865.0</v>
      </c>
      <c r="O26" s="14">
        <v>1691283.0</v>
      </c>
      <c r="P26" s="14">
        <v>1792657.0</v>
      </c>
      <c r="Q26" s="14">
        <v>1787220.0</v>
      </c>
      <c r="R26" s="15">
        <v>1914995.0</v>
      </c>
      <c r="T26" s="16"/>
    </row>
    <row r="27" ht="12.0" customHeight="1">
      <c r="A27" s="5"/>
      <c r="B27" s="26" t="s">
        <v>25</v>
      </c>
      <c r="C27" s="27">
        <v>73898.0</v>
      </c>
      <c r="D27" s="27">
        <v>69765.0</v>
      </c>
      <c r="E27" s="27">
        <v>75138.0</v>
      </c>
      <c r="F27" s="27">
        <v>73827.0</v>
      </c>
      <c r="G27" s="13">
        <v>74204.0</v>
      </c>
      <c r="H27" s="13">
        <v>73998.0</v>
      </c>
      <c r="I27" s="13">
        <v>70366.0</v>
      </c>
      <c r="J27" s="13">
        <v>56187.0</v>
      </c>
      <c r="K27" s="13">
        <v>50402.0</v>
      </c>
      <c r="L27" s="13">
        <v>46816.0</v>
      </c>
      <c r="M27" s="13">
        <v>43236.0</v>
      </c>
      <c r="N27" s="13">
        <v>39695.0</v>
      </c>
      <c r="O27" s="13">
        <v>35936.0</v>
      </c>
      <c r="P27" s="13">
        <v>51911.0</v>
      </c>
      <c r="Q27" s="13">
        <v>48948.0</v>
      </c>
      <c r="R27" s="28">
        <v>49876.0</v>
      </c>
      <c r="T27" s="16"/>
    </row>
    <row r="28" ht="12.0" customHeight="1">
      <c r="A28" s="5"/>
      <c r="B28" s="8" t="s">
        <v>26</v>
      </c>
      <c r="C28" s="29">
        <f t="shared" ref="C28:R28" si="2">SUM(C20:C27)</f>
        <v>152207</v>
      </c>
      <c r="D28" s="29">
        <f t="shared" si="2"/>
        <v>150530</v>
      </c>
      <c r="E28" s="29">
        <f t="shared" si="2"/>
        <v>911073</v>
      </c>
      <c r="F28" s="29">
        <f t="shared" si="2"/>
        <v>911439</v>
      </c>
      <c r="G28" s="29">
        <f t="shared" si="2"/>
        <v>1242838</v>
      </c>
      <c r="H28" s="29">
        <f t="shared" si="2"/>
        <v>1286950</v>
      </c>
      <c r="I28" s="29">
        <f t="shared" si="2"/>
        <v>1338514</v>
      </c>
      <c r="J28" s="29">
        <f t="shared" si="2"/>
        <v>1931667</v>
      </c>
      <c r="K28" s="29">
        <f t="shared" si="2"/>
        <v>1890789</v>
      </c>
      <c r="L28" s="29">
        <f t="shared" si="2"/>
        <v>1828959</v>
      </c>
      <c r="M28" s="29">
        <f t="shared" si="2"/>
        <v>1838510</v>
      </c>
      <c r="N28" s="30">
        <f t="shared" si="2"/>
        <v>1804755</v>
      </c>
      <c r="O28" s="30">
        <f t="shared" si="2"/>
        <v>1820712</v>
      </c>
      <c r="P28" s="30">
        <f t="shared" si="2"/>
        <v>1924352</v>
      </c>
      <c r="Q28" s="30">
        <f t="shared" si="2"/>
        <v>1916873</v>
      </c>
      <c r="R28" s="30">
        <f t="shared" si="2"/>
        <v>2072094</v>
      </c>
    </row>
    <row r="29" ht="12.0" customHeight="1">
      <c r="A29" s="5"/>
      <c r="B29" s="31" t="s">
        <v>27</v>
      </c>
      <c r="C29" s="32">
        <f t="shared" ref="C29:R29" si="3">C18+C28</f>
        <v>407447</v>
      </c>
      <c r="D29" s="32">
        <f t="shared" si="3"/>
        <v>585082</v>
      </c>
      <c r="E29" s="32">
        <f t="shared" si="3"/>
        <v>1531615</v>
      </c>
      <c r="F29" s="32">
        <f t="shared" si="3"/>
        <v>2362344</v>
      </c>
      <c r="G29" s="32">
        <f t="shared" si="3"/>
        <v>2361864</v>
      </c>
      <c r="H29" s="32">
        <f t="shared" si="3"/>
        <v>2365002</v>
      </c>
      <c r="I29" s="32">
        <f t="shared" si="3"/>
        <v>2429911</v>
      </c>
      <c r="J29" s="32">
        <f t="shared" si="3"/>
        <v>3002958</v>
      </c>
      <c r="K29" s="32">
        <f t="shared" si="3"/>
        <v>2983222</v>
      </c>
      <c r="L29" s="32">
        <f t="shared" si="3"/>
        <v>2789192</v>
      </c>
      <c r="M29" s="32">
        <f t="shared" si="3"/>
        <v>2823785</v>
      </c>
      <c r="N29" s="32">
        <f t="shared" si="3"/>
        <v>2716891</v>
      </c>
      <c r="O29" s="32">
        <f t="shared" si="3"/>
        <v>2822803</v>
      </c>
      <c r="P29" s="32">
        <f t="shared" si="3"/>
        <v>3006147</v>
      </c>
      <c r="Q29" s="32">
        <f t="shared" si="3"/>
        <v>3099935</v>
      </c>
      <c r="R29" s="32">
        <f t="shared" si="3"/>
        <v>3259412</v>
      </c>
    </row>
    <row r="30" ht="12.0" customHeight="1">
      <c r="A30" s="5"/>
      <c r="B30" s="33"/>
      <c r="C30" s="34"/>
      <c r="D30" s="34"/>
      <c r="E30" s="34"/>
      <c r="F30" s="34"/>
      <c r="G30" s="34"/>
      <c r="H30" s="34"/>
      <c r="I30" s="34"/>
      <c r="J30" s="34"/>
      <c r="K30" s="5"/>
      <c r="L30" s="5"/>
      <c r="M30" s="5"/>
      <c r="N30" s="5"/>
      <c r="O30" s="5"/>
      <c r="P30" s="5"/>
      <c r="Q30" s="5"/>
      <c r="R30" s="5"/>
    </row>
    <row r="31" ht="12.0" customHeight="1">
      <c r="A31" s="5"/>
      <c r="B31" s="4" t="s">
        <v>28</v>
      </c>
      <c r="C31" s="35"/>
      <c r="D31" s="35"/>
      <c r="E31" s="35"/>
      <c r="F31" s="35"/>
      <c r="G31" s="35"/>
      <c r="H31" s="35"/>
      <c r="I31" s="35"/>
      <c r="J31" s="35"/>
      <c r="K31" s="5"/>
      <c r="L31" s="5"/>
      <c r="M31" s="5"/>
      <c r="N31" s="5"/>
      <c r="O31" s="5"/>
      <c r="P31" s="5"/>
      <c r="Q31" s="5"/>
      <c r="R31" s="5"/>
    </row>
    <row r="32" ht="12.0" customHeight="1">
      <c r="A32" s="5"/>
      <c r="B32" s="12" t="s">
        <v>29</v>
      </c>
      <c r="C32" s="13">
        <v>8631.0</v>
      </c>
      <c r="D32" s="13">
        <v>15312.0</v>
      </c>
      <c r="E32" s="13">
        <v>25053.0</v>
      </c>
      <c r="F32" s="13">
        <v>33566.0</v>
      </c>
      <c r="G32" s="13">
        <v>23672.0</v>
      </c>
      <c r="H32" s="13">
        <v>24655.0</v>
      </c>
      <c r="I32" s="13">
        <v>26512.0</v>
      </c>
      <c r="J32" s="13">
        <v>33376.0</v>
      </c>
      <c r="K32" s="14">
        <v>21542.0</v>
      </c>
      <c r="L32" s="14">
        <v>19244.0</v>
      </c>
      <c r="M32" s="14">
        <v>16958.0</v>
      </c>
      <c r="N32" s="14">
        <v>21690.0</v>
      </c>
      <c r="O32" s="14">
        <v>20196.0</v>
      </c>
      <c r="P32" s="14">
        <v>19057.0</v>
      </c>
      <c r="Q32" s="14">
        <v>18154.0</v>
      </c>
      <c r="R32" s="15">
        <v>29738.0</v>
      </c>
      <c r="S32" s="20"/>
    </row>
    <row r="33" ht="12.0" customHeight="1">
      <c r="A33" s="5"/>
      <c r="B33" s="12" t="s">
        <v>30</v>
      </c>
      <c r="C33" s="13">
        <v>23166.0</v>
      </c>
      <c r="D33" s="13">
        <v>75377.0</v>
      </c>
      <c r="E33" s="13">
        <v>138694.0</v>
      </c>
      <c r="F33" s="13">
        <v>164403.0</v>
      </c>
      <c r="G33" s="13">
        <v>168547.0</v>
      </c>
      <c r="H33" s="13">
        <v>183465.0</v>
      </c>
      <c r="I33" s="13">
        <v>252629.0</v>
      </c>
      <c r="J33" s="13">
        <v>236030.0</v>
      </c>
      <c r="K33" s="14">
        <f>233583+1645</f>
        <v>235228</v>
      </c>
      <c r="L33" s="14">
        <f>200285+366</f>
        <v>200651</v>
      </c>
      <c r="M33" s="14">
        <f>224579+3745</f>
        <v>228324</v>
      </c>
      <c r="N33" s="14">
        <v>112719.0</v>
      </c>
      <c r="O33" s="14">
        <v>133680.0</v>
      </c>
      <c r="P33" s="14">
        <v>162783.0</v>
      </c>
      <c r="Q33" s="14">
        <v>250360.0</v>
      </c>
      <c r="R33" s="15">
        <v>286226.0</v>
      </c>
    </row>
    <row r="34" ht="12.0" customHeight="1">
      <c r="A34" s="5"/>
      <c r="B34" s="12" t="s">
        <v>31</v>
      </c>
      <c r="C34" s="13">
        <v>14021.0</v>
      </c>
      <c r="D34" s="13">
        <v>14569.0</v>
      </c>
      <c r="E34" s="13">
        <v>20952.0</v>
      </c>
      <c r="F34" s="13">
        <v>21214.0</v>
      </c>
      <c r="G34" s="13">
        <v>25998.0</v>
      </c>
      <c r="H34" s="13">
        <v>27548.0</v>
      </c>
      <c r="I34" s="13">
        <v>29199.0</v>
      </c>
      <c r="J34" s="13">
        <v>21539.0</v>
      </c>
      <c r="K34" s="14">
        <v>19922.0</v>
      </c>
      <c r="L34" s="14">
        <v>19945.0</v>
      </c>
      <c r="M34" s="14">
        <v>18921.0</v>
      </c>
      <c r="N34" s="14">
        <v>17862.0</v>
      </c>
      <c r="O34" s="14">
        <v>15708.0</v>
      </c>
      <c r="P34" s="14">
        <v>19445.0</v>
      </c>
      <c r="Q34" s="14">
        <v>21270.0</v>
      </c>
      <c r="R34" s="15">
        <v>23946.0</v>
      </c>
    </row>
    <row r="35" ht="12.0" customHeight="1">
      <c r="A35" s="5"/>
      <c r="B35" s="12" t="s">
        <v>32</v>
      </c>
      <c r="C35" s="13">
        <v>87908.0</v>
      </c>
      <c r="D35" s="13">
        <v>141794.0</v>
      </c>
      <c r="E35" s="13">
        <v>214063.0</v>
      </c>
      <c r="F35" s="13">
        <v>234173.0</v>
      </c>
      <c r="G35" s="13">
        <v>253299.0</v>
      </c>
      <c r="H35" s="13">
        <v>214367.0</v>
      </c>
      <c r="I35" s="13">
        <v>256028.0</v>
      </c>
      <c r="J35" s="13">
        <v>260156.0</v>
      </c>
      <c r="K35" s="14">
        <v>251801.0</v>
      </c>
      <c r="L35" s="14">
        <v>198639.0</v>
      </c>
      <c r="M35" s="14">
        <v>216606.0</v>
      </c>
      <c r="N35" s="14">
        <v>196396.0</v>
      </c>
      <c r="O35" s="14">
        <v>210748.0</v>
      </c>
      <c r="P35" s="14">
        <v>206518.0</v>
      </c>
      <c r="Q35" s="14">
        <v>254427.0</v>
      </c>
      <c r="R35" s="15">
        <v>275866.0</v>
      </c>
    </row>
    <row r="36" ht="12.0" customHeight="1">
      <c r="A36" s="5"/>
      <c r="B36" s="12" t="s">
        <v>33</v>
      </c>
      <c r="C36" s="17">
        <v>0.0</v>
      </c>
      <c r="D36" s="17">
        <v>0.0</v>
      </c>
      <c r="E36" s="13">
        <v>97701.0</v>
      </c>
      <c r="F36" s="13">
        <v>48923.0</v>
      </c>
      <c r="G36" s="13">
        <v>109555.0</v>
      </c>
      <c r="H36" s="13">
        <v>113559.0</v>
      </c>
      <c r="I36" s="13">
        <v>63947.0</v>
      </c>
      <c r="J36" s="13">
        <v>76746.0</v>
      </c>
      <c r="K36" s="14">
        <f>72005+5096</f>
        <v>77101</v>
      </c>
      <c r="L36" s="14">
        <v>40583.0</v>
      </c>
      <c r="M36" s="14">
        <v>41301.0</v>
      </c>
      <c r="N36" s="14">
        <v>13365.0</v>
      </c>
      <c r="O36" s="14">
        <v>110180.0</v>
      </c>
      <c r="P36" s="14">
        <v>122645.0</v>
      </c>
      <c r="Q36" s="14">
        <v>125505.0</v>
      </c>
      <c r="R36" s="15">
        <v>40381.0</v>
      </c>
    </row>
    <row r="37" ht="12.0" customHeight="1">
      <c r="A37" s="5"/>
      <c r="B37" s="12" t="s">
        <v>34</v>
      </c>
      <c r="C37" s="17">
        <v>0.0</v>
      </c>
      <c r="D37" s="17">
        <v>0.0</v>
      </c>
      <c r="E37" s="17">
        <v>0.0</v>
      </c>
      <c r="F37" s="17">
        <v>0.0</v>
      </c>
      <c r="G37" s="17">
        <v>0.0</v>
      </c>
      <c r="H37" s="13">
        <v>49330.0</v>
      </c>
      <c r="I37" s="13">
        <v>50315.0</v>
      </c>
      <c r="J37" s="17">
        <v>0.0</v>
      </c>
      <c r="K37" s="17">
        <f>40052*0</f>
        <v>0</v>
      </c>
      <c r="L37" s="17">
        <f>31288*0</f>
        <v>0</v>
      </c>
      <c r="M37" s="17">
        <f>34721*0</f>
        <v>0</v>
      </c>
      <c r="N37" s="18">
        <v>0.0</v>
      </c>
      <c r="O37" s="18">
        <v>0.0</v>
      </c>
      <c r="P37" s="18">
        <v>0.0</v>
      </c>
      <c r="Q37" s="18">
        <v>0.0</v>
      </c>
      <c r="R37" s="36">
        <v>0.0</v>
      </c>
    </row>
    <row r="38" ht="12.0" customHeight="1">
      <c r="A38" s="5"/>
      <c r="B38" s="12" t="s">
        <v>17</v>
      </c>
      <c r="C38" s="13">
        <v>2050.0</v>
      </c>
      <c r="D38" s="13">
        <v>5392.0</v>
      </c>
      <c r="E38" s="13">
        <v>3295.0</v>
      </c>
      <c r="F38" s="13">
        <v>535.0</v>
      </c>
      <c r="G38" s="13">
        <v>35724.0</v>
      </c>
      <c r="H38" s="13">
        <v>7033.0</v>
      </c>
      <c r="I38" s="13">
        <v>6095.0</v>
      </c>
      <c r="J38" s="13">
        <v>4109.0</v>
      </c>
      <c r="K38" s="5">
        <v>450.0</v>
      </c>
      <c r="L38" s="17">
        <v>0.0</v>
      </c>
      <c r="M38" s="17">
        <v>0.0</v>
      </c>
      <c r="N38" s="18">
        <v>0.0</v>
      </c>
      <c r="O38" s="18">
        <v>0.0</v>
      </c>
      <c r="P38" s="18">
        <v>8290.0</v>
      </c>
      <c r="Q38" s="18">
        <v>7184.0</v>
      </c>
      <c r="R38" s="36">
        <v>14673.0</v>
      </c>
    </row>
    <row r="39" ht="12.0" customHeight="1">
      <c r="A39" s="5"/>
      <c r="B39" s="37" t="s">
        <v>35</v>
      </c>
      <c r="C39" s="13">
        <v>8616.0</v>
      </c>
      <c r="D39" s="13">
        <v>9357.0</v>
      </c>
      <c r="E39" s="13">
        <v>19545.0</v>
      </c>
      <c r="F39" s="13">
        <v>18768.0</v>
      </c>
      <c r="G39" s="13">
        <v>8531.0</v>
      </c>
      <c r="H39" s="13">
        <v>20092.0</v>
      </c>
      <c r="I39" s="13">
        <v>17552.0</v>
      </c>
      <c r="J39" s="13">
        <v>18272.0</v>
      </c>
      <c r="K39" s="13">
        <v>21286.0</v>
      </c>
      <c r="L39" s="13">
        <v>22133.0</v>
      </c>
      <c r="M39" s="13">
        <v>21676.0</v>
      </c>
      <c r="N39" s="13">
        <v>17877.0</v>
      </c>
      <c r="O39" s="13">
        <v>16038.0</v>
      </c>
      <c r="P39" s="13">
        <v>18009.0</v>
      </c>
      <c r="Q39" s="13">
        <v>24959.0</v>
      </c>
      <c r="R39" s="13">
        <v>36435.0</v>
      </c>
    </row>
    <row r="40" ht="12.0" customHeight="1">
      <c r="A40" s="5"/>
      <c r="B40" s="12" t="s">
        <v>36</v>
      </c>
      <c r="C40" s="13">
        <v>14714.0</v>
      </c>
      <c r="D40" s="13">
        <v>30677.0</v>
      </c>
      <c r="E40" s="13">
        <v>4044.0</v>
      </c>
      <c r="F40" s="17">
        <v>0.0</v>
      </c>
      <c r="G40" s="17">
        <v>0.0</v>
      </c>
      <c r="H40" s="17">
        <v>0.0</v>
      </c>
      <c r="I40" s="17">
        <v>0.0</v>
      </c>
      <c r="J40" s="17">
        <v>0.0</v>
      </c>
      <c r="K40" s="17">
        <v>0.0</v>
      </c>
      <c r="L40" s="17">
        <v>0.0</v>
      </c>
      <c r="M40" s="17">
        <v>0.0</v>
      </c>
      <c r="N40" s="18">
        <v>0.0</v>
      </c>
      <c r="O40" s="18">
        <v>0.0</v>
      </c>
      <c r="P40" s="18">
        <v>0.0</v>
      </c>
      <c r="Q40" s="18">
        <v>0.0</v>
      </c>
      <c r="R40" s="18">
        <v>0.0</v>
      </c>
    </row>
    <row r="41" ht="12.0" customHeight="1">
      <c r="A41" s="5"/>
      <c r="B41" s="12" t="s">
        <v>37</v>
      </c>
      <c r="C41" s="13">
        <v>16162.0</v>
      </c>
      <c r="D41" s="13">
        <v>9987.0</v>
      </c>
      <c r="E41" s="13">
        <v>3014.0</v>
      </c>
      <c r="F41" s="13">
        <v>13722.0</v>
      </c>
      <c r="G41" s="13">
        <v>11143.0</v>
      </c>
      <c r="H41" s="13">
        <v>11771.0</v>
      </c>
      <c r="I41" s="13">
        <v>11760.0</v>
      </c>
      <c r="J41" s="13">
        <v>32136.0</v>
      </c>
      <c r="K41" s="14">
        <v>20491.0</v>
      </c>
      <c r="L41" s="14">
        <v>12981.0</v>
      </c>
      <c r="M41" s="14">
        <v>12954.0</v>
      </c>
      <c r="N41" s="14">
        <v>48079.0</v>
      </c>
      <c r="O41" s="18">
        <v>29632.0</v>
      </c>
      <c r="P41" s="18">
        <v>25459.0</v>
      </c>
      <c r="Q41" s="18">
        <v>29186.0</v>
      </c>
      <c r="R41" s="36">
        <v>41896.0</v>
      </c>
    </row>
    <row r="42" ht="12.0" customHeight="1">
      <c r="A42" s="5"/>
      <c r="B42" s="12" t="s">
        <v>38</v>
      </c>
      <c r="C42" s="13">
        <v>44000.0</v>
      </c>
      <c r="D42" s="13">
        <v>628.0</v>
      </c>
      <c r="E42" s="17">
        <v>0.0</v>
      </c>
      <c r="F42" s="17">
        <v>0.0</v>
      </c>
      <c r="G42" s="17">
        <v>0.0</v>
      </c>
      <c r="H42" s="17">
        <v>0.0</v>
      </c>
      <c r="I42" s="17">
        <v>0.0</v>
      </c>
      <c r="J42" s="17">
        <v>0.0</v>
      </c>
      <c r="K42" s="17">
        <v>0.0</v>
      </c>
      <c r="L42" s="17">
        <v>0.0</v>
      </c>
      <c r="M42" s="17">
        <v>0.0</v>
      </c>
      <c r="N42" s="18">
        <v>0.0</v>
      </c>
      <c r="O42" s="18">
        <v>0.0</v>
      </c>
      <c r="P42" s="18">
        <v>0.0</v>
      </c>
      <c r="Q42" s="18">
        <v>0.0</v>
      </c>
      <c r="R42" s="36">
        <v>0.0</v>
      </c>
    </row>
    <row r="43" ht="12.0" customHeight="1">
      <c r="A43" s="5"/>
      <c r="B43" s="12" t="s">
        <v>39</v>
      </c>
      <c r="C43" s="13">
        <v>8144.0</v>
      </c>
      <c r="D43" s="13">
        <v>7899.0</v>
      </c>
      <c r="E43" s="13">
        <v>14855.0</v>
      </c>
      <c r="F43" s="13">
        <v>13669.0</v>
      </c>
      <c r="G43" s="13">
        <v>17670.0</v>
      </c>
      <c r="H43" s="13">
        <v>20942.0</v>
      </c>
      <c r="I43" s="13">
        <v>34133.0</v>
      </c>
      <c r="J43" s="13">
        <v>47501.0</v>
      </c>
      <c r="K43" s="14">
        <v>50745.0</v>
      </c>
      <c r="L43" s="14">
        <v>38672.0</v>
      </c>
      <c r="M43" s="14">
        <v>34551.0</v>
      </c>
      <c r="N43" s="14">
        <v>27290.0</v>
      </c>
      <c r="O43" s="14">
        <v>15844.0</v>
      </c>
      <c r="P43" s="14">
        <v>17510.0</v>
      </c>
      <c r="Q43" s="14">
        <v>18725.0</v>
      </c>
      <c r="R43" s="15">
        <v>24695.0</v>
      </c>
    </row>
    <row r="44" ht="12.0" customHeight="1">
      <c r="A44" s="5"/>
      <c r="B44" s="38" t="s">
        <v>40</v>
      </c>
      <c r="C44" s="30">
        <f t="shared" ref="C44:R44" si="4">SUM(C32:C43)</f>
        <v>227412</v>
      </c>
      <c r="D44" s="30">
        <f t="shared" si="4"/>
        <v>310992</v>
      </c>
      <c r="E44" s="30">
        <f t="shared" si="4"/>
        <v>541216</v>
      </c>
      <c r="F44" s="30">
        <f t="shared" si="4"/>
        <v>548973</v>
      </c>
      <c r="G44" s="30">
        <f t="shared" si="4"/>
        <v>654139</v>
      </c>
      <c r="H44" s="30">
        <f t="shared" si="4"/>
        <v>672762</v>
      </c>
      <c r="I44" s="30">
        <f t="shared" si="4"/>
        <v>748170</v>
      </c>
      <c r="J44" s="30">
        <f t="shared" si="4"/>
        <v>729865</v>
      </c>
      <c r="K44" s="30">
        <f t="shared" si="4"/>
        <v>698566</v>
      </c>
      <c r="L44" s="30">
        <f t="shared" si="4"/>
        <v>552848</v>
      </c>
      <c r="M44" s="30">
        <f t="shared" si="4"/>
        <v>591291</v>
      </c>
      <c r="N44" s="30">
        <f t="shared" si="4"/>
        <v>455278</v>
      </c>
      <c r="O44" s="30">
        <f t="shared" si="4"/>
        <v>552026</v>
      </c>
      <c r="P44" s="30">
        <f t="shared" si="4"/>
        <v>599716</v>
      </c>
      <c r="Q44" s="30">
        <f t="shared" si="4"/>
        <v>749770</v>
      </c>
      <c r="R44" s="39">
        <f t="shared" si="4"/>
        <v>773856</v>
      </c>
    </row>
    <row r="45" ht="9.0" customHeight="1">
      <c r="A45" s="5"/>
      <c r="B45" s="10"/>
      <c r="C45" s="40"/>
      <c r="D45" s="40"/>
      <c r="E45" s="40"/>
      <c r="F45" s="40"/>
      <c r="G45" s="40"/>
      <c r="H45" s="40"/>
      <c r="I45" s="40"/>
      <c r="J45" s="40"/>
      <c r="K45" s="5"/>
      <c r="L45" s="5"/>
      <c r="M45" s="5"/>
      <c r="N45" s="5"/>
      <c r="O45" s="5"/>
      <c r="P45" s="5"/>
      <c r="Q45" s="5"/>
      <c r="R45" s="5"/>
    </row>
    <row r="46" ht="12.0" customHeight="1">
      <c r="A46" s="5"/>
      <c r="B46" s="12" t="s">
        <v>30</v>
      </c>
      <c r="C46" s="41">
        <v>4683.0</v>
      </c>
      <c r="D46" s="41">
        <v>13853.0</v>
      </c>
      <c r="E46" s="41">
        <v>643453.0</v>
      </c>
      <c r="F46" s="41">
        <v>624306.0</v>
      </c>
      <c r="G46" s="41">
        <v>579429.0</v>
      </c>
      <c r="H46" s="41">
        <v>489777.0</v>
      </c>
      <c r="I46" s="41">
        <v>453729.0</v>
      </c>
      <c r="J46" s="41">
        <v>753733.0</v>
      </c>
      <c r="K46" s="14">
        <f>714741+7709</f>
        <v>722450</v>
      </c>
      <c r="L46" s="14">
        <f>663069+1832</f>
        <v>664901</v>
      </c>
      <c r="M46" s="14">
        <f>620589+4451</f>
        <v>625040</v>
      </c>
      <c r="N46" s="14">
        <v>614744.0</v>
      </c>
      <c r="O46" s="14">
        <v>660269.0</v>
      </c>
      <c r="P46" s="14">
        <v>666168.0</v>
      </c>
      <c r="Q46" s="14">
        <v>587029.0</v>
      </c>
      <c r="R46" s="15">
        <v>572780.0</v>
      </c>
    </row>
    <row r="47" ht="12.0" customHeight="1">
      <c r="A47" s="5"/>
      <c r="B47" s="12" t="s">
        <v>41</v>
      </c>
      <c r="C47" s="18">
        <v>0.0</v>
      </c>
      <c r="D47" s="18">
        <v>0.0</v>
      </c>
      <c r="E47" s="18">
        <v>0.0</v>
      </c>
      <c r="F47" s="18">
        <v>0.0</v>
      </c>
      <c r="G47" s="18">
        <v>0.0</v>
      </c>
      <c r="H47" s="18">
        <v>0.0</v>
      </c>
      <c r="I47" s="18">
        <v>0.0</v>
      </c>
      <c r="J47" s="18">
        <v>20942.0</v>
      </c>
      <c r="K47" s="14">
        <f>0+29371</f>
        <v>29371</v>
      </c>
      <c r="L47" s="14">
        <v>48116.0</v>
      </c>
      <c r="M47" s="18">
        <v>57632.0</v>
      </c>
      <c r="N47" s="14">
        <v>68465.0</v>
      </c>
      <c r="O47" s="14">
        <v>77659.0</v>
      </c>
      <c r="P47" s="14">
        <v>85496.0</v>
      </c>
      <c r="Q47" s="14">
        <v>88167.0</v>
      </c>
      <c r="R47" s="15">
        <v>100815.0</v>
      </c>
    </row>
    <row r="48" ht="12.0" customHeight="1">
      <c r="A48" s="5"/>
      <c r="B48" s="12" t="s">
        <v>31</v>
      </c>
      <c r="C48" s="41">
        <v>63372.0</v>
      </c>
      <c r="D48" s="41">
        <v>60659.0</v>
      </c>
      <c r="E48" s="41">
        <v>62012.0</v>
      </c>
      <c r="F48" s="41">
        <v>60674.0</v>
      </c>
      <c r="G48" s="41">
        <v>56506.0</v>
      </c>
      <c r="H48" s="41">
        <v>55688.0</v>
      </c>
      <c r="I48" s="41">
        <v>50722.0</v>
      </c>
      <c r="J48" s="41">
        <v>41269.0</v>
      </c>
      <c r="K48" s="14">
        <v>37036.0</v>
      </c>
      <c r="L48" s="14">
        <v>32317.0</v>
      </c>
      <c r="M48" s="14">
        <v>29834.0</v>
      </c>
      <c r="N48" s="14">
        <v>27037.0</v>
      </c>
      <c r="O48" s="14">
        <v>25395.0</v>
      </c>
      <c r="P48" s="14">
        <v>38334.0</v>
      </c>
      <c r="Q48" s="14">
        <v>34612.0</v>
      </c>
      <c r="R48" s="15">
        <v>34847.0</v>
      </c>
    </row>
    <row r="49" ht="12.0" customHeight="1">
      <c r="A49" s="5"/>
      <c r="B49" s="12" t="s">
        <v>42</v>
      </c>
      <c r="C49" s="41">
        <v>173.0</v>
      </c>
      <c r="D49" s="41">
        <v>161.0</v>
      </c>
      <c r="E49" s="41">
        <v>507.0</v>
      </c>
      <c r="F49" s="41">
        <v>633.0</v>
      </c>
      <c r="G49" s="41">
        <v>1189.0</v>
      </c>
      <c r="H49" s="41">
        <v>14586.0</v>
      </c>
      <c r="I49" s="41">
        <v>14587.0</v>
      </c>
      <c r="J49" s="41">
        <v>12347.0</v>
      </c>
      <c r="K49" s="14">
        <v>12074.0</v>
      </c>
      <c r="L49" s="14">
        <v>12079.0</v>
      </c>
      <c r="M49" s="14">
        <v>12061.0</v>
      </c>
      <c r="N49" s="14">
        <v>9620.0</v>
      </c>
      <c r="O49" s="14">
        <v>9696.0</v>
      </c>
      <c r="P49" s="14">
        <v>9598.0</v>
      </c>
      <c r="Q49" s="14">
        <v>9598.0</v>
      </c>
      <c r="R49" s="15">
        <v>6664.0</v>
      </c>
    </row>
    <row r="50" ht="12.0" customHeight="1">
      <c r="A50" s="5"/>
      <c r="B50" s="12" t="s">
        <v>33</v>
      </c>
      <c r="C50" s="41">
        <v>0.0</v>
      </c>
      <c r="D50" s="41" t="s">
        <v>43</v>
      </c>
      <c r="E50" s="41">
        <v>35872.0</v>
      </c>
      <c r="F50" s="41">
        <v>36803.0</v>
      </c>
      <c r="G50" s="41">
        <v>59508.0</v>
      </c>
      <c r="H50" s="41">
        <v>67627.0</v>
      </c>
      <c r="I50" s="41">
        <v>55279.0</v>
      </c>
      <c r="J50" s="41">
        <v>133299.0</v>
      </c>
      <c r="K50" s="14">
        <f>132681</f>
        <v>132681</v>
      </c>
      <c r="L50" s="14">
        <v>126785.0</v>
      </c>
      <c r="M50" s="14">
        <v>124168.0</v>
      </c>
      <c r="N50" s="14">
        <v>122689.0</v>
      </c>
      <c r="O50" s="14">
        <v>30802.0</v>
      </c>
      <c r="P50" s="14">
        <v>27953.0</v>
      </c>
      <c r="Q50" s="14">
        <v>20490.0</v>
      </c>
      <c r="R50" s="15">
        <v>20986.0</v>
      </c>
    </row>
    <row r="51" ht="12.0" customHeight="1">
      <c r="A51" s="5"/>
      <c r="B51" s="12" t="s">
        <v>39</v>
      </c>
      <c r="C51" s="41">
        <v>2102.0</v>
      </c>
      <c r="D51" s="41">
        <v>957.0</v>
      </c>
      <c r="E51" s="41">
        <v>694.0</v>
      </c>
      <c r="F51" s="41">
        <v>1660.0</v>
      </c>
      <c r="G51" s="41">
        <v>2364.0</v>
      </c>
      <c r="H51" s="41">
        <v>1739.0</v>
      </c>
      <c r="I51" s="41">
        <v>2020.0</v>
      </c>
      <c r="J51" s="41">
        <v>3530.0</v>
      </c>
      <c r="K51" s="14">
        <v>2929.0</v>
      </c>
      <c r="L51" s="14">
        <v>3187.0</v>
      </c>
      <c r="M51" s="14">
        <v>8595.0</v>
      </c>
      <c r="N51" s="14">
        <v>7807.0</v>
      </c>
      <c r="O51" s="14">
        <v>14067.0</v>
      </c>
      <c r="P51" s="14">
        <v>13830.0</v>
      </c>
      <c r="Q51" s="14">
        <v>15445.0</v>
      </c>
      <c r="R51" s="15">
        <v>15022.0</v>
      </c>
    </row>
    <row r="52" ht="12.0" customHeight="1">
      <c r="A52" s="5"/>
      <c r="B52" s="42" t="s">
        <v>44</v>
      </c>
      <c r="C52" s="30">
        <f t="shared" ref="C52:R52" si="5">SUM(C46:C51)</f>
        <v>70330</v>
      </c>
      <c r="D52" s="30">
        <f t="shared" si="5"/>
        <v>75630</v>
      </c>
      <c r="E52" s="30">
        <f t="shared" si="5"/>
        <v>742538</v>
      </c>
      <c r="F52" s="30">
        <f t="shared" si="5"/>
        <v>724076</v>
      </c>
      <c r="G52" s="30">
        <f t="shared" si="5"/>
        <v>698996</v>
      </c>
      <c r="H52" s="30">
        <f t="shared" si="5"/>
        <v>629417</v>
      </c>
      <c r="I52" s="30">
        <f t="shared" si="5"/>
        <v>576337</v>
      </c>
      <c r="J52" s="30">
        <f t="shared" si="5"/>
        <v>965120</v>
      </c>
      <c r="K52" s="30">
        <f t="shared" si="5"/>
        <v>936541</v>
      </c>
      <c r="L52" s="30">
        <f t="shared" si="5"/>
        <v>887385</v>
      </c>
      <c r="M52" s="30">
        <f t="shared" si="5"/>
        <v>857330</v>
      </c>
      <c r="N52" s="30">
        <f t="shared" si="5"/>
        <v>850362</v>
      </c>
      <c r="O52" s="30">
        <f t="shared" si="5"/>
        <v>817888</v>
      </c>
      <c r="P52" s="30">
        <f t="shared" si="5"/>
        <v>841379</v>
      </c>
      <c r="Q52" s="30">
        <f t="shared" si="5"/>
        <v>755341</v>
      </c>
      <c r="R52" s="30">
        <f t="shared" si="5"/>
        <v>751114</v>
      </c>
    </row>
    <row r="53" ht="9.0" customHeight="1">
      <c r="A53" s="5"/>
      <c r="B53" s="10"/>
      <c r="C53" s="40"/>
      <c r="D53" s="40"/>
      <c r="E53" s="40"/>
      <c r="F53" s="40"/>
      <c r="G53" s="40"/>
      <c r="H53" s="40"/>
      <c r="I53" s="40"/>
      <c r="J53" s="40"/>
      <c r="K53" s="5"/>
      <c r="L53" s="5"/>
      <c r="M53" s="5"/>
      <c r="N53" s="5"/>
      <c r="O53" s="5"/>
      <c r="P53" s="5"/>
      <c r="Q53" s="5"/>
      <c r="R53" s="5"/>
    </row>
    <row r="54" ht="12.0" customHeight="1">
      <c r="A54" s="5"/>
      <c r="B54" s="8" t="s">
        <v>45</v>
      </c>
      <c r="C54" s="41"/>
      <c r="D54" s="41"/>
      <c r="E54" s="41"/>
      <c r="F54" s="41"/>
      <c r="G54" s="41"/>
      <c r="H54" s="41"/>
      <c r="I54" s="41"/>
      <c r="J54" s="41"/>
      <c r="K54" s="5"/>
      <c r="L54" s="5"/>
      <c r="M54" s="5"/>
      <c r="N54" s="5"/>
      <c r="O54" s="5"/>
      <c r="P54" s="5"/>
      <c r="Q54" s="5"/>
      <c r="R54" s="5"/>
    </row>
    <row r="55" ht="12.0" customHeight="1">
      <c r="A55" s="5"/>
      <c r="B55" s="12" t="s">
        <v>46</v>
      </c>
      <c r="C55" s="41">
        <v>68968.0</v>
      </c>
      <c r="D55" s="41">
        <v>68968.0</v>
      </c>
      <c r="E55" s="41">
        <v>59542.0</v>
      </c>
      <c r="F55" s="41">
        <v>36.0</v>
      </c>
      <c r="G55" s="41">
        <v>37.0</v>
      </c>
      <c r="H55" s="41">
        <v>37.0</v>
      </c>
      <c r="I55" s="41">
        <v>37.0</v>
      </c>
      <c r="J55" s="41">
        <v>37.0</v>
      </c>
      <c r="K55" s="5">
        <v>37.0</v>
      </c>
      <c r="L55" s="5">
        <v>37.0</v>
      </c>
      <c r="M55" s="5">
        <v>37.0</v>
      </c>
      <c r="N55" s="5">
        <v>37.0</v>
      </c>
      <c r="O55" s="5">
        <v>37.0</v>
      </c>
      <c r="P55" s="5">
        <v>37.0</v>
      </c>
      <c r="Q55" s="5">
        <v>37.0</v>
      </c>
      <c r="R55" s="43">
        <v>37.0</v>
      </c>
    </row>
    <row r="56" ht="12.0" customHeight="1">
      <c r="A56" s="5"/>
      <c r="B56" s="12" t="s">
        <v>47</v>
      </c>
      <c r="C56" s="41">
        <v>0.0</v>
      </c>
      <c r="D56" s="17">
        <v>0.0</v>
      </c>
      <c r="E56" s="17">
        <v>0.0</v>
      </c>
      <c r="F56" s="41">
        <v>915947.0</v>
      </c>
      <c r="G56" s="41">
        <v>929984.0</v>
      </c>
      <c r="H56" s="41">
        <v>929984.0</v>
      </c>
      <c r="I56" s="41">
        <v>946173.0</v>
      </c>
      <c r="J56" s="41">
        <v>946173.0</v>
      </c>
      <c r="K56" s="14">
        <v>946173.0</v>
      </c>
      <c r="L56" s="14">
        <v>946173.0</v>
      </c>
      <c r="M56" s="14">
        <v>946173.0</v>
      </c>
      <c r="N56" s="14">
        <v>980893.0</v>
      </c>
      <c r="O56" s="14">
        <v>983194.0</v>
      </c>
      <c r="P56" s="14">
        <v>983194.0</v>
      </c>
      <c r="Q56" s="14">
        <v>983021.0</v>
      </c>
      <c r="R56" s="15">
        <v>1009058.0</v>
      </c>
    </row>
    <row r="57" ht="12.0" customHeight="1">
      <c r="A57" s="5"/>
      <c r="B57" s="12" t="s">
        <v>48</v>
      </c>
      <c r="C57" s="41">
        <v>0.0</v>
      </c>
      <c r="D57" s="17">
        <v>0.0</v>
      </c>
      <c r="E57" s="17">
        <v>0.0</v>
      </c>
      <c r="F57" s="17">
        <v>0.0</v>
      </c>
      <c r="G57" s="17">
        <v>0.0</v>
      </c>
      <c r="H57" s="17">
        <v>0.0</v>
      </c>
      <c r="I57" s="17">
        <v>0.0</v>
      </c>
      <c r="J57" s="17">
        <v>0.0</v>
      </c>
      <c r="K57" s="17">
        <v>0.0</v>
      </c>
      <c r="L57" s="41">
        <v>-18476.0</v>
      </c>
      <c r="M57" s="41">
        <v>-37827.0</v>
      </c>
      <c r="N57" s="18">
        <v>0.0</v>
      </c>
      <c r="O57" s="18">
        <v>-4143.0</v>
      </c>
      <c r="P57" s="18">
        <v>-30611.0</v>
      </c>
      <c r="Q57" s="18">
        <v>-50659.0</v>
      </c>
      <c r="R57" s="36">
        <v>-36405.0</v>
      </c>
    </row>
    <row r="58" ht="12.0" customHeight="1">
      <c r="A58" s="5"/>
      <c r="B58" s="12" t="s">
        <v>49</v>
      </c>
      <c r="C58" s="41">
        <v>4112.0</v>
      </c>
      <c r="D58" s="41">
        <v>6764.0</v>
      </c>
      <c r="E58" s="41">
        <v>9007.0</v>
      </c>
      <c r="F58" s="41">
        <v>10105.0</v>
      </c>
      <c r="G58" s="41">
        <v>15377.0</v>
      </c>
      <c r="H58" s="41">
        <v>23796.0</v>
      </c>
      <c r="I58" s="41">
        <v>26045.0</v>
      </c>
      <c r="J58" s="41">
        <v>203218.0</v>
      </c>
      <c r="K58" s="14">
        <v>209093.0</v>
      </c>
      <c r="L58" s="14">
        <v>218382.0</v>
      </c>
      <c r="M58" s="14">
        <v>225436.0</v>
      </c>
      <c r="N58" s="14">
        <v>174153.0</v>
      </c>
      <c r="O58" s="14">
        <v>176774.0</v>
      </c>
      <c r="P58" s="14">
        <v>183517.0</v>
      </c>
      <c r="Q58" s="14">
        <v>194574.0</v>
      </c>
      <c r="R58" s="15">
        <v>135153.0</v>
      </c>
    </row>
    <row r="59" ht="12.0" customHeight="1">
      <c r="A59" s="5"/>
      <c r="B59" s="37" t="s">
        <v>50</v>
      </c>
      <c r="C59" s="41">
        <v>32825.0</v>
      </c>
      <c r="D59" s="41">
        <v>109308.0</v>
      </c>
      <c r="E59" s="41">
        <v>146170.0</v>
      </c>
      <c r="F59" s="41">
        <v>125957.0</v>
      </c>
      <c r="G59" s="41">
        <v>155180.0</v>
      </c>
      <c r="H59" s="41">
        <v>181179.0</v>
      </c>
      <c r="I59" s="41">
        <v>221787.0</v>
      </c>
      <c r="J59" s="41">
        <v>221667.0</v>
      </c>
      <c r="K59" s="14">
        <f>304255-30206-8748</f>
        <v>265301</v>
      </c>
      <c r="L59" s="14">
        <f>352095-30206-17619</f>
        <v>304270</v>
      </c>
      <c r="M59" s="14">
        <f>388256-30206-26733</f>
        <v>331317</v>
      </c>
      <c r="N59" s="14">
        <v>354240.0</v>
      </c>
      <c r="O59" s="14">
        <v>376649.0</v>
      </c>
      <c r="P59" s="14">
        <v>425157.0</v>
      </c>
      <c r="Q59" s="14">
        <v>453730.0</v>
      </c>
      <c r="R59" s="15">
        <v>515399.0</v>
      </c>
    </row>
    <row r="60" ht="12.0" customHeight="1">
      <c r="A60" s="5"/>
      <c r="B60" s="37" t="s">
        <v>51</v>
      </c>
      <c r="C60" s="41">
        <v>3800.0</v>
      </c>
      <c r="D60" s="41">
        <v>13420.0</v>
      </c>
      <c r="E60" s="41">
        <v>33142.0</v>
      </c>
      <c r="F60" s="41">
        <v>37250.0</v>
      </c>
      <c r="G60" s="41">
        <v>-91849.0</v>
      </c>
      <c r="H60" s="41">
        <v>-72173.0</v>
      </c>
      <c r="I60" s="41">
        <v>-88638.0</v>
      </c>
      <c r="J60" s="41">
        <v>-63122.0</v>
      </c>
      <c r="K60" s="41">
        <v>-72489.0</v>
      </c>
      <c r="L60" s="41">
        <v>-101427.0</v>
      </c>
      <c r="M60" s="41">
        <v>-89972.0</v>
      </c>
      <c r="N60" s="41">
        <v>-98072.0</v>
      </c>
      <c r="O60" s="41">
        <v>-79622.0</v>
      </c>
      <c r="P60" s="41">
        <v>3758.0</v>
      </c>
      <c r="Q60" s="41">
        <v>14121.0</v>
      </c>
      <c r="R60" s="44">
        <v>111200.0</v>
      </c>
    </row>
    <row r="61" ht="12.0" customHeight="1">
      <c r="A61" s="5"/>
      <c r="B61" s="42" t="s">
        <v>52</v>
      </c>
      <c r="C61" s="45">
        <f t="shared" ref="C61:R61" si="6">SUM(C55:C60)</f>
        <v>109705</v>
      </c>
      <c r="D61" s="45">
        <f t="shared" si="6"/>
        <v>198460</v>
      </c>
      <c r="E61" s="45">
        <f t="shared" si="6"/>
        <v>247861</v>
      </c>
      <c r="F61" s="45">
        <f t="shared" si="6"/>
        <v>1089295</v>
      </c>
      <c r="G61" s="45">
        <f t="shared" si="6"/>
        <v>1008729</v>
      </c>
      <c r="H61" s="45">
        <f t="shared" si="6"/>
        <v>1062823</v>
      </c>
      <c r="I61" s="45">
        <f t="shared" si="6"/>
        <v>1105404</v>
      </c>
      <c r="J61" s="45">
        <f t="shared" si="6"/>
        <v>1307973</v>
      </c>
      <c r="K61" s="45">
        <f t="shared" si="6"/>
        <v>1348115</v>
      </c>
      <c r="L61" s="45">
        <f t="shared" si="6"/>
        <v>1348959</v>
      </c>
      <c r="M61" s="45">
        <f t="shared" si="6"/>
        <v>1375164</v>
      </c>
      <c r="N61" s="45">
        <f t="shared" si="6"/>
        <v>1411251</v>
      </c>
      <c r="O61" s="45">
        <f t="shared" si="6"/>
        <v>1452889</v>
      </c>
      <c r="P61" s="45">
        <f t="shared" si="6"/>
        <v>1565052</v>
      </c>
      <c r="Q61" s="45">
        <f t="shared" si="6"/>
        <v>1594824</v>
      </c>
      <c r="R61" s="45">
        <f t="shared" si="6"/>
        <v>1734442</v>
      </c>
    </row>
    <row r="62" ht="12.0" customHeight="1">
      <c r="A62" s="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ht="12.0" customHeight="1">
      <c r="A63" s="5"/>
      <c r="B63" s="31" t="s">
        <v>53</v>
      </c>
      <c r="C63" s="32">
        <f t="shared" ref="C63:R63" si="7">C61+C52+C44</f>
        <v>407447</v>
      </c>
      <c r="D63" s="32">
        <f t="shared" si="7"/>
        <v>585082</v>
      </c>
      <c r="E63" s="32">
        <f t="shared" si="7"/>
        <v>1531615</v>
      </c>
      <c r="F63" s="32">
        <f t="shared" si="7"/>
        <v>2362344</v>
      </c>
      <c r="G63" s="32">
        <f t="shared" si="7"/>
        <v>2361864</v>
      </c>
      <c r="H63" s="32">
        <f t="shared" si="7"/>
        <v>2365002</v>
      </c>
      <c r="I63" s="32">
        <f t="shared" si="7"/>
        <v>2429911</v>
      </c>
      <c r="J63" s="32">
        <f t="shared" si="7"/>
        <v>3002958</v>
      </c>
      <c r="K63" s="32">
        <f t="shared" si="7"/>
        <v>2983222</v>
      </c>
      <c r="L63" s="32">
        <f t="shared" si="7"/>
        <v>2789192</v>
      </c>
      <c r="M63" s="32">
        <f t="shared" si="7"/>
        <v>2823785</v>
      </c>
      <c r="N63" s="32">
        <f t="shared" si="7"/>
        <v>2716891</v>
      </c>
      <c r="O63" s="32">
        <f t="shared" si="7"/>
        <v>2822803</v>
      </c>
      <c r="P63" s="32">
        <f t="shared" si="7"/>
        <v>3006147</v>
      </c>
      <c r="Q63" s="32">
        <f t="shared" si="7"/>
        <v>3099935</v>
      </c>
      <c r="R63" s="32">
        <f t="shared" si="7"/>
        <v>3259412</v>
      </c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2.63" defaultRowHeight="15.0"/>
  <cols>
    <col customWidth="1" min="1" max="1" width="3.38"/>
    <col customWidth="1" min="2" max="2" width="44.0"/>
    <col customWidth="1" min="3" max="38" width="10.13"/>
  </cols>
  <sheetData>
    <row r="1" ht="12.0" customHeight="1">
      <c r="A1" s="1" t="s">
        <v>0</v>
      </c>
      <c r="B1" s="1"/>
      <c r="C1" s="1"/>
      <c r="D1" s="2"/>
      <c r="E1" s="2"/>
      <c r="F1" s="2"/>
      <c r="G1" s="1"/>
      <c r="H1" s="1"/>
      <c r="I1" s="2"/>
      <c r="J1" s="2"/>
      <c r="K1" s="2"/>
      <c r="L1" s="2"/>
      <c r="M1" s="2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/>
      <c r="AJ1" s="48"/>
      <c r="AK1" s="49"/>
      <c r="AL1" s="49"/>
    </row>
    <row r="2" ht="12.0" customHeight="1">
      <c r="A2" s="4" t="s">
        <v>1</v>
      </c>
      <c r="B2" s="5"/>
      <c r="C2" s="4"/>
      <c r="D2" s="5"/>
      <c r="E2" s="5"/>
      <c r="F2" s="5"/>
      <c r="G2" s="4"/>
      <c r="H2" s="4"/>
      <c r="I2" s="5"/>
      <c r="J2" s="5"/>
      <c r="K2" s="5"/>
      <c r="L2" s="5"/>
      <c r="M2" s="5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ht="12.0" customHeight="1">
      <c r="A3" s="5"/>
      <c r="B3" s="4"/>
      <c r="C3" s="5"/>
      <c r="D3" s="5"/>
      <c r="E3" s="5"/>
      <c r="F3" s="5"/>
      <c r="G3" s="5"/>
      <c r="H3" s="5"/>
      <c r="I3" s="4"/>
      <c r="J3" s="4"/>
      <c r="K3" s="4"/>
      <c r="L3" s="5"/>
      <c r="M3" s="5"/>
      <c r="N3" s="50"/>
      <c r="O3" s="50"/>
      <c r="P3" s="50"/>
      <c r="Q3" s="50"/>
      <c r="R3" s="50"/>
      <c r="S3" s="50"/>
      <c r="T3" s="50"/>
      <c r="U3" s="6"/>
      <c r="V3" s="6"/>
      <c r="W3" s="6"/>
      <c r="X3" s="6"/>
      <c r="Y3" s="50"/>
      <c r="Z3" s="6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1"/>
      <c r="AL3" s="50"/>
    </row>
    <row r="4" ht="12.0" customHeight="1">
      <c r="A4" s="5"/>
      <c r="B4" s="5"/>
      <c r="C4" s="52">
        <v>2019.0</v>
      </c>
      <c r="D4" s="52" t="s">
        <v>54</v>
      </c>
      <c r="E4" s="52" t="s">
        <v>55</v>
      </c>
      <c r="F4" s="52" t="s">
        <v>56</v>
      </c>
      <c r="G4" s="52" t="s">
        <v>57</v>
      </c>
      <c r="H4" s="52">
        <v>2020.0</v>
      </c>
      <c r="I4" s="52" t="s">
        <v>58</v>
      </c>
      <c r="J4" s="52" t="s">
        <v>59</v>
      </c>
      <c r="K4" s="52" t="s">
        <v>60</v>
      </c>
      <c r="L4" s="52" t="s">
        <v>61</v>
      </c>
      <c r="M4" s="52" t="s">
        <v>62</v>
      </c>
      <c r="N4" s="52" t="s">
        <v>63</v>
      </c>
      <c r="O4" s="52">
        <v>2021.0</v>
      </c>
      <c r="P4" s="52" t="s">
        <v>64</v>
      </c>
      <c r="Q4" s="52" t="s">
        <v>65</v>
      </c>
      <c r="R4" s="52" t="s">
        <v>66</v>
      </c>
      <c r="S4" s="52" t="s">
        <v>67</v>
      </c>
      <c r="T4" s="52" t="s">
        <v>68</v>
      </c>
      <c r="U4" s="52" t="s">
        <v>69</v>
      </c>
      <c r="V4" s="52">
        <v>2022.0</v>
      </c>
      <c r="W4" s="52" t="s">
        <v>70</v>
      </c>
      <c r="X4" s="52" t="s">
        <v>71</v>
      </c>
      <c r="Y4" s="52" t="s">
        <v>72</v>
      </c>
      <c r="Z4" s="52" t="s">
        <v>73</v>
      </c>
      <c r="AA4" s="52" t="s">
        <v>74</v>
      </c>
      <c r="AB4" s="53" t="s">
        <v>75</v>
      </c>
      <c r="AC4" s="53">
        <v>2023.0</v>
      </c>
      <c r="AD4" s="53" t="s">
        <v>76</v>
      </c>
      <c r="AE4" s="52" t="s">
        <v>77</v>
      </c>
      <c r="AF4" s="52" t="s">
        <v>78</v>
      </c>
      <c r="AG4" s="52" t="s">
        <v>79</v>
      </c>
      <c r="AH4" s="52" t="s">
        <v>80</v>
      </c>
      <c r="AI4" s="54" t="s">
        <v>81</v>
      </c>
      <c r="AJ4" s="55">
        <v>2024.0</v>
      </c>
      <c r="AK4" s="56"/>
      <c r="AL4" s="56"/>
    </row>
    <row r="5" ht="4.5" customHeight="1">
      <c r="A5" s="5"/>
      <c r="B5" s="5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58"/>
      <c r="P5" s="58"/>
      <c r="Q5" s="58"/>
      <c r="R5" s="58"/>
      <c r="S5" s="58"/>
      <c r="T5" s="58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ht="12.0" customHeight="1">
      <c r="A6" s="5"/>
      <c r="B6" s="4" t="s">
        <v>82</v>
      </c>
      <c r="C6" s="59">
        <v>677133.0</v>
      </c>
      <c r="D6" s="59">
        <v>448254.4</v>
      </c>
      <c r="E6" s="59">
        <v>242897.0</v>
      </c>
      <c r="F6" s="59">
        <v>691152.0</v>
      </c>
      <c r="G6" s="59">
        <v>265367.0</v>
      </c>
      <c r="H6" s="59">
        <v>956519.0</v>
      </c>
      <c r="I6" s="59">
        <v>296292.0</v>
      </c>
      <c r="J6" s="59">
        <v>315324.0</v>
      </c>
      <c r="K6" s="59">
        <v>611616.0</v>
      </c>
      <c r="L6" s="59">
        <v>375970.0</v>
      </c>
      <c r="M6" s="59">
        <v>987586.0</v>
      </c>
      <c r="N6" s="60">
        <v>456794.0</v>
      </c>
      <c r="O6" s="60">
        <v>1444380.0</v>
      </c>
      <c r="P6" s="60">
        <v>491872.0</v>
      </c>
      <c r="Q6" s="60">
        <v>525015.0</v>
      </c>
      <c r="R6" s="60">
        <v>1016887.0</v>
      </c>
      <c r="S6" s="60">
        <v>559018.0</v>
      </c>
      <c r="T6" s="60">
        <v>1575905.0</v>
      </c>
      <c r="U6" s="61">
        <v>611805.0</v>
      </c>
      <c r="V6" s="61">
        <v>2187710.0</v>
      </c>
      <c r="W6" s="61">
        <v>609991.0</v>
      </c>
      <c r="X6" s="61">
        <v>571832.0</v>
      </c>
      <c r="Y6" s="61">
        <v>1181824.0</v>
      </c>
      <c r="Z6" s="61">
        <v>529083.0</v>
      </c>
      <c r="AA6" s="61">
        <v>1710907.0</v>
      </c>
      <c r="AB6" s="61">
        <v>522560.0</v>
      </c>
      <c r="AC6" s="61">
        <f>SUM(AA6:AB6)-1</f>
        <v>2233466</v>
      </c>
      <c r="AD6" s="61">
        <v>523509.0</v>
      </c>
      <c r="AE6" s="61">
        <v>565652.0</v>
      </c>
      <c r="AF6" s="61">
        <f>SUM(AD6:AE6)</f>
        <v>1089161</v>
      </c>
      <c r="AG6" s="61">
        <v>622160.0</v>
      </c>
      <c r="AH6" s="61">
        <v>1711321.0</v>
      </c>
      <c r="AI6" s="62">
        <v>656507.0</v>
      </c>
      <c r="AJ6" s="62">
        <v>2367828.0</v>
      </c>
      <c r="AK6" s="63"/>
      <c r="AL6" s="63"/>
    </row>
    <row r="7" ht="12.0" customHeight="1">
      <c r="A7" s="64"/>
      <c r="B7" s="64" t="s">
        <v>83</v>
      </c>
      <c r="C7" s="65"/>
      <c r="D7" s="65"/>
      <c r="E7" s="65"/>
      <c r="F7" s="65"/>
      <c r="G7" s="65"/>
      <c r="H7" s="65"/>
      <c r="I7" s="65"/>
      <c r="J7" s="66"/>
      <c r="K7" s="66">
        <f t="shared" ref="K7:AJ7" si="1">K6/D6-1</f>
        <v>0.364439479</v>
      </c>
      <c r="L7" s="66">
        <f t="shared" si="1"/>
        <v>0.5478577339</v>
      </c>
      <c r="M7" s="66">
        <f t="shared" si="1"/>
        <v>0.4288984189</v>
      </c>
      <c r="N7" s="66">
        <f t="shared" si="1"/>
        <v>0.7213670125</v>
      </c>
      <c r="O7" s="66">
        <f t="shared" si="1"/>
        <v>0.5100379606</v>
      </c>
      <c r="P7" s="66">
        <f t="shared" si="1"/>
        <v>0.6600920713</v>
      </c>
      <c r="Q7" s="66">
        <f t="shared" si="1"/>
        <v>0.6650017125</v>
      </c>
      <c r="R7" s="66">
        <f t="shared" si="1"/>
        <v>0.66262328</v>
      </c>
      <c r="S7" s="66">
        <f t="shared" si="1"/>
        <v>0.4868686331</v>
      </c>
      <c r="T7" s="66">
        <f t="shared" si="1"/>
        <v>0.595714196</v>
      </c>
      <c r="U7" s="66">
        <f t="shared" si="1"/>
        <v>0.3393455256</v>
      </c>
      <c r="V7" s="66">
        <f t="shared" si="1"/>
        <v>0.5146360376</v>
      </c>
      <c r="W7" s="66">
        <f t="shared" si="1"/>
        <v>0.2401417442</v>
      </c>
      <c r="X7" s="67">
        <f t="shared" si="1"/>
        <v>0.0891726903</v>
      </c>
      <c r="Y7" s="67">
        <f t="shared" si="1"/>
        <v>0.162197963</v>
      </c>
      <c r="Z7" s="67">
        <f t="shared" si="1"/>
        <v>-0.05354925959</v>
      </c>
      <c r="AA7" s="67">
        <f t="shared" si="1"/>
        <v>0.08566633141</v>
      </c>
      <c r="AB7" s="67">
        <f t="shared" si="1"/>
        <v>-0.1458716421</v>
      </c>
      <c r="AC7" s="67">
        <f t="shared" si="1"/>
        <v>0.02091502073</v>
      </c>
      <c r="AD7" s="67">
        <f t="shared" si="1"/>
        <v>-0.1417758623</v>
      </c>
      <c r="AE7" s="67">
        <f t="shared" si="1"/>
        <v>-0.01080737</v>
      </c>
      <c r="AF7" s="67">
        <f t="shared" si="1"/>
        <v>-0.07840676784</v>
      </c>
      <c r="AG7" s="67">
        <f t="shared" si="1"/>
        <v>0.1759213583</v>
      </c>
      <c r="AH7" s="67">
        <f t="shared" si="1"/>
        <v>0.0002419769163</v>
      </c>
      <c r="AI7" s="67">
        <f t="shared" si="1"/>
        <v>0.2563284599</v>
      </c>
      <c r="AJ7" s="67">
        <f t="shared" si="1"/>
        <v>0.06015851596</v>
      </c>
      <c r="AK7" s="63"/>
      <c r="AL7" s="63"/>
    </row>
    <row r="8" ht="12.0" customHeight="1">
      <c r="A8" s="64"/>
      <c r="B8" s="64" t="s">
        <v>84</v>
      </c>
      <c r="C8" s="65"/>
      <c r="D8" s="65"/>
      <c r="E8" s="66"/>
      <c r="F8" s="65"/>
      <c r="G8" s="66">
        <f>G6/E6-1</f>
        <v>0.09250834716</v>
      </c>
      <c r="H8" s="65"/>
      <c r="I8" s="66">
        <f>I6/G6-1</f>
        <v>0.1165367208</v>
      </c>
      <c r="J8" s="66">
        <f>J6/I6-1</f>
        <v>0.06423393139</v>
      </c>
      <c r="K8" s="65"/>
      <c r="L8" s="66">
        <f>L6/J6-1</f>
        <v>0.1923291598</v>
      </c>
      <c r="M8" s="65"/>
      <c r="N8" s="66">
        <f>N6/L6-1</f>
        <v>0.214974599</v>
      </c>
      <c r="O8" s="68"/>
      <c r="P8" s="66">
        <f>P6/N6-1</f>
        <v>0.07679172669</v>
      </c>
      <c r="Q8" s="66">
        <f>Q6/P6-1</f>
        <v>0.06738135125</v>
      </c>
      <c r="R8" s="68"/>
      <c r="S8" s="66">
        <f>S6/Q6-1</f>
        <v>0.0647657686</v>
      </c>
      <c r="T8" s="66"/>
      <c r="U8" s="66">
        <f>U6/S6-1</f>
        <v>0.09442808639</v>
      </c>
      <c r="V8" s="69"/>
      <c r="W8" s="66">
        <f>W6/U6-1</f>
        <v>-0.002964997017</v>
      </c>
      <c r="X8" s="67">
        <f>X6/W6-1</f>
        <v>-0.06255666067</v>
      </c>
      <c r="Y8" s="70"/>
      <c r="Z8" s="67">
        <f>Z6/X6-1</f>
        <v>-0.07475797087</v>
      </c>
      <c r="AA8" s="70"/>
      <c r="AB8" s="67">
        <f>AB6/Z6-1</f>
        <v>-0.01232887846</v>
      </c>
      <c r="AC8" s="70"/>
      <c r="AD8" s="67">
        <f>AD6/AB6-1</f>
        <v>0.0018160594</v>
      </c>
      <c r="AE8" s="67">
        <f>AE6/AD6-1</f>
        <v>0.0805010038</v>
      </c>
      <c r="AF8" s="67"/>
      <c r="AG8" s="67">
        <f>AG6/AE6-1</f>
        <v>0.09989887776</v>
      </c>
      <c r="AH8" s="67"/>
      <c r="AI8" s="67">
        <f>AI6/AG6-1</f>
        <v>0.05520605632</v>
      </c>
      <c r="AJ8" s="67"/>
      <c r="AK8" s="63"/>
      <c r="AL8" s="63"/>
    </row>
    <row r="9" ht="12.0" customHeight="1">
      <c r="A9" s="5"/>
      <c r="B9" s="5" t="s">
        <v>85</v>
      </c>
      <c r="C9" s="71">
        <v>-448979.0</v>
      </c>
      <c r="D9" s="71">
        <v>-284257.0</v>
      </c>
      <c r="E9" s="71">
        <v>-150315.0</v>
      </c>
      <c r="F9" s="71">
        <v>-434572.0</v>
      </c>
      <c r="G9" s="71">
        <v>-166294.0</v>
      </c>
      <c r="H9" s="71">
        <v>-600866.0</v>
      </c>
      <c r="I9" s="71">
        <v>-188372.0</v>
      </c>
      <c r="J9" s="71">
        <v>-205768.0</v>
      </c>
      <c r="K9" s="71">
        <v>-394140.0</v>
      </c>
      <c r="L9" s="71">
        <v>-246846.0</v>
      </c>
      <c r="M9" s="71">
        <v>-640986.0</v>
      </c>
      <c r="N9" s="72">
        <v>-294746.0</v>
      </c>
      <c r="O9" s="72">
        <v>-935732.0</v>
      </c>
      <c r="P9" s="72">
        <v>-328992.0</v>
      </c>
      <c r="Q9" s="72">
        <v>-341502.0</v>
      </c>
      <c r="R9" s="72">
        <v>-670494.0</v>
      </c>
      <c r="S9" s="72">
        <v>-363617.0</v>
      </c>
      <c r="T9" s="72">
        <v>-1034111.0</v>
      </c>
      <c r="U9" s="72">
        <v>-391108.0</v>
      </c>
      <c r="V9" s="72">
        <v>-1425219.0</v>
      </c>
      <c r="W9" s="72">
        <v>-407861.0</v>
      </c>
      <c r="X9" s="73">
        <v>-374196.0</v>
      </c>
      <c r="Y9" s="73">
        <v>-782057.0</v>
      </c>
      <c r="Z9" s="73">
        <v>-356779.0</v>
      </c>
      <c r="AA9" s="73">
        <v>-1138836.0</v>
      </c>
      <c r="AB9" s="73">
        <v>-348906.0</v>
      </c>
      <c r="AC9" s="73">
        <f>SUM(AA9:AB9)</f>
        <v>-1487742</v>
      </c>
      <c r="AD9" s="73">
        <v>-355948.0</v>
      </c>
      <c r="AE9" s="73">
        <v>-369674.0</v>
      </c>
      <c r="AF9" s="73">
        <f t="shared" ref="AF9:AF22" si="3">SUM(AD9:AE9)</f>
        <v>-725622</v>
      </c>
      <c r="AG9" s="73">
        <v>-406481.0</v>
      </c>
      <c r="AH9" s="73">
        <f>SUM(AF9:AG9)</f>
        <v>-1132103</v>
      </c>
      <c r="AI9" s="63">
        <v>-424021.0</v>
      </c>
      <c r="AJ9" s="63">
        <v>-1556124.0</v>
      </c>
      <c r="AK9" s="63"/>
      <c r="AL9" s="63"/>
    </row>
    <row r="10" ht="12.0" customHeight="1">
      <c r="A10" s="5"/>
      <c r="B10" s="4" t="s">
        <v>86</v>
      </c>
      <c r="C10" s="59">
        <f t="shared" ref="C10:AE10" si="2">C9+C6</f>
        <v>228154</v>
      </c>
      <c r="D10" s="59">
        <f t="shared" si="2"/>
        <v>163997.4</v>
      </c>
      <c r="E10" s="59">
        <f t="shared" si="2"/>
        <v>92582</v>
      </c>
      <c r="F10" s="59">
        <f t="shared" si="2"/>
        <v>256580</v>
      </c>
      <c r="G10" s="59">
        <f t="shared" si="2"/>
        <v>99073</v>
      </c>
      <c r="H10" s="59">
        <f t="shared" si="2"/>
        <v>355653</v>
      </c>
      <c r="I10" s="59">
        <f t="shared" si="2"/>
        <v>107920</v>
      </c>
      <c r="J10" s="59">
        <f t="shared" si="2"/>
        <v>109556</v>
      </c>
      <c r="K10" s="59">
        <f t="shared" si="2"/>
        <v>217476</v>
      </c>
      <c r="L10" s="59">
        <f t="shared" si="2"/>
        <v>129124</v>
      </c>
      <c r="M10" s="59">
        <f t="shared" si="2"/>
        <v>346600</v>
      </c>
      <c r="N10" s="59">
        <f t="shared" si="2"/>
        <v>162048</v>
      </c>
      <c r="O10" s="59">
        <f t="shared" si="2"/>
        <v>508648</v>
      </c>
      <c r="P10" s="59">
        <f t="shared" si="2"/>
        <v>162880</v>
      </c>
      <c r="Q10" s="59">
        <f t="shared" si="2"/>
        <v>183513</v>
      </c>
      <c r="R10" s="59">
        <f t="shared" si="2"/>
        <v>346393</v>
      </c>
      <c r="S10" s="59">
        <f t="shared" si="2"/>
        <v>195401</v>
      </c>
      <c r="T10" s="59">
        <f t="shared" si="2"/>
        <v>541794</v>
      </c>
      <c r="U10" s="59">
        <f t="shared" si="2"/>
        <v>220697</v>
      </c>
      <c r="V10" s="59">
        <f t="shared" si="2"/>
        <v>762491</v>
      </c>
      <c r="W10" s="59">
        <f t="shared" si="2"/>
        <v>202130</v>
      </c>
      <c r="X10" s="74">
        <f t="shared" si="2"/>
        <v>197636</v>
      </c>
      <c r="Y10" s="74">
        <f t="shared" si="2"/>
        <v>399767</v>
      </c>
      <c r="Z10" s="74">
        <f t="shared" si="2"/>
        <v>172304</v>
      </c>
      <c r="AA10" s="74">
        <f t="shared" si="2"/>
        <v>572071</v>
      </c>
      <c r="AB10" s="74">
        <f t="shared" si="2"/>
        <v>173654</v>
      </c>
      <c r="AC10" s="74">
        <f t="shared" si="2"/>
        <v>745724</v>
      </c>
      <c r="AD10" s="74">
        <f t="shared" si="2"/>
        <v>167561</v>
      </c>
      <c r="AE10" s="74">
        <f t="shared" si="2"/>
        <v>195978</v>
      </c>
      <c r="AF10" s="61">
        <f t="shared" si="3"/>
        <v>363539</v>
      </c>
      <c r="AG10" s="74">
        <f t="shared" ref="AG10:AJ10" si="4">AG9+AG6</f>
        <v>215679</v>
      </c>
      <c r="AH10" s="74">
        <f t="shared" si="4"/>
        <v>579218</v>
      </c>
      <c r="AI10" s="74">
        <f t="shared" si="4"/>
        <v>232486</v>
      </c>
      <c r="AJ10" s="74">
        <f t="shared" si="4"/>
        <v>811704</v>
      </c>
      <c r="AK10" s="63"/>
      <c r="AL10" s="63"/>
    </row>
    <row r="11" ht="12.0" customHeight="1">
      <c r="A11" s="5"/>
      <c r="B11" s="5" t="s">
        <v>87</v>
      </c>
      <c r="C11" s="71">
        <f t="shared" ref="C11:AE11" si="5">SUM(C12:C14)</f>
        <v>-135364</v>
      </c>
      <c r="D11" s="71">
        <f t="shared" si="5"/>
        <v>-62865.6</v>
      </c>
      <c r="E11" s="71">
        <f t="shared" si="5"/>
        <v>-35128</v>
      </c>
      <c r="F11" s="71">
        <f t="shared" si="5"/>
        <v>-97999</v>
      </c>
      <c r="G11" s="71">
        <f t="shared" si="5"/>
        <v>-49214</v>
      </c>
      <c r="H11" s="71">
        <f t="shared" si="5"/>
        <v>-147213</v>
      </c>
      <c r="I11" s="71">
        <f t="shared" si="5"/>
        <v>-43115</v>
      </c>
      <c r="J11" s="71">
        <f t="shared" si="5"/>
        <v>-47313</v>
      </c>
      <c r="K11" s="71">
        <f t="shared" si="5"/>
        <v>-90428</v>
      </c>
      <c r="L11" s="71">
        <f t="shared" si="5"/>
        <v>-88397</v>
      </c>
      <c r="M11" s="71">
        <f t="shared" si="5"/>
        <v>-178824</v>
      </c>
      <c r="N11" s="71">
        <f t="shared" si="5"/>
        <v>-84721</v>
      </c>
      <c r="O11" s="71">
        <f t="shared" si="5"/>
        <v>-263545</v>
      </c>
      <c r="P11" s="71">
        <f t="shared" si="5"/>
        <v>-100565</v>
      </c>
      <c r="Q11" s="71">
        <f t="shared" si="5"/>
        <v>-122321</v>
      </c>
      <c r="R11" s="71">
        <f t="shared" si="5"/>
        <v>-222886</v>
      </c>
      <c r="S11" s="71">
        <f t="shared" si="5"/>
        <v>-131149</v>
      </c>
      <c r="T11" s="71">
        <f t="shared" si="5"/>
        <v>-354035</v>
      </c>
      <c r="U11" s="71">
        <f t="shared" si="5"/>
        <v>-134209</v>
      </c>
      <c r="V11" s="71">
        <f t="shared" si="5"/>
        <v>-488244</v>
      </c>
      <c r="W11" s="71">
        <f t="shared" si="5"/>
        <v>-116452</v>
      </c>
      <c r="X11" s="75">
        <f t="shared" si="5"/>
        <v>-119885</v>
      </c>
      <c r="Y11" s="75">
        <f t="shared" si="5"/>
        <v>-236336</v>
      </c>
      <c r="Z11" s="75">
        <f t="shared" si="5"/>
        <v>-106048</v>
      </c>
      <c r="AA11" s="75">
        <f t="shared" si="5"/>
        <v>-338186</v>
      </c>
      <c r="AB11" s="75">
        <f t="shared" si="5"/>
        <v>-120506</v>
      </c>
      <c r="AC11" s="75">
        <f t="shared" si="5"/>
        <v>-458692</v>
      </c>
      <c r="AD11" s="75">
        <f t="shared" si="5"/>
        <v>-114202</v>
      </c>
      <c r="AE11" s="75">
        <f t="shared" si="5"/>
        <v>-118175</v>
      </c>
      <c r="AF11" s="75">
        <f t="shared" si="3"/>
        <v>-232377</v>
      </c>
      <c r="AG11" s="75">
        <f t="shared" ref="AG11:AJ11" si="6">SUM(AG12:AG14)</f>
        <v>-132150</v>
      </c>
      <c r="AH11" s="75">
        <f t="shared" si="6"/>
        <v>-364527</v>
      </c>
      <c r="AI11" s="75">
        <f t="shared" si="6"/>
        <v>-131673</v>
      </c>
      <c r="AJ11" s="75">
        <f t="shared" si="6"/>
        <v>-496200</v>
      </c>
      <c r="AK11" s="63"/>
      <c r="AL11" s="63"/>
    </row>
    <row r="12" ht="12.0" customHeight="1">
      <c r="A12" s="5"/>
      <c r="B12" s="76" t="s">
        <v>88</v>
      </c>
      <c r="C12" s="65">
        <v>-44802.0</v>
      </c>
      <c r="D12" s="65">
        <v>-24510.0</v>
      </c>
      <c r="E12" s="65">
        <v>-14769.0</v>
      </c>
      <c r="F12" s="65">
        <v>-39278.0</v>
      </c>
      <c r="G12" s="65">
        <v>-25815.0</v>
      </c>
      <c r="H12" s="65">
        <v>-65093.0</v>
      </c>
      <c r="I12" s="65">
        <v>-18979.0</v>
      </c>
      <c r="J12" s="65">
        <v>-18801.0</v>
      </c>
      <c r="K12" s="65">
        <v>-37780.0</v>
      </c>
      <c r="L12" s="65">
        <v>-24122.0</v>
      </c>
      <c r="M12" s="65">
        <v>-61902.0</v>
      </c>
      <c r="N12" s="77">
        <v>-27752.0</v>
      </c>
      <c r="O12" s="68">
        <v>-89654.0</v>
      </c>
      <c r="P12" s="68">
        <v>-35129.0</v>
      </c>
      <c r="Q12" s="68">
        <v>-39962.0</v>
      </c>
      <c r="R12" s="68">
        <v>-75091.0</v>
      </c>
      <c r="S12" s="68">
        <v>-43337.0</v>
      </c>
      <c r="T12" s="68">
        <v>-118428.0</v>
      </c>
      <c r="U12" s="65">
        <v>-45443.0</v>
      </c>
      <c r="V12" s="65">
        <v>-163871.0</v>
      </c>
      <c r="W12" s="65">
        <v>-45554.0</v>
      </c>
      <c r="X12" s="78">
        <v>-46284.0</v>
      </c>
      <c r="Y12" s="78">
        <v>-91838.0</v>
      </c>
      <c r="Z12" s="78">
        <v>-40405.0</v>
      </c>
      <c r="AA12" s="78">
        <v>-132243.0</v>
      </c>
      <c r="AB12" s="78">
        <v>-41400.0</v>
      </c>
      <c r="AC12" s="78">
        <f t="shared" ref="AC12:AC15" si="7">SUM(AA12:AB12)</f>
        <v>-173643</v>
      </c>
      <c r="AD12" s="78">
        <v>-46250.0</v>
      </c>
      <c r="AE12" s="78">
        <v>-49490.0</v>
      </c>
      <c r="AF12" s="78">
        <f t="shared" si="3"/>
        <v>-95740</v>
      </c>
      <c r="AG12" s="78">
        <v>-54179.0</v>
      </c>
      <c r="AH12" s="78">
        <f t="shared" ref="AH12:AH15" si="8">SUM(AF12:AG12)</f>
        <v>-149919</v>
      </c>
      <c r="AI12" s="63">
        <v>-61093.0</v>
      </c>
      <c r="AJ12" s="79">
        <v>-211012.0</v>
      </c>
      <c r="AK12" s="63"/>
      <c r="AL12" s="63"/>
    </row>
    <row r="13" ht="12.0" customHeight="1">
      <c r="A13" s="5"/>
      <c r="B13" s="76" t="s">
        <v>89</v>
      </c>
      <c r="C13" s="65">
        <v>-81197.0</v>
      </c>
      <c r="D13" s="65">
        <f>-38032</f>
        <v>-38032</v>
      </c>
      <c r="E13" s="65">
        <v>-20268.0</v>
      </c>
      <c r="F13" s="65">
        <v>-58300.0</v>
      </c>
      <c r="G13" s="65">
        <v>-22861.0</v>
      </c>
      <c r="H13" s="65">
        <v>-81161.0</v>
      </c>
      <c r="I13" s="65">
        <v>-25726.0</v>
      </c>
      <c r="J13" s="65">
        <v>-28328.0</v>
      </c>
      <c r="K13" s="65">
        <v>-54054.0</v>
      </c>
      <c r="L13" s="65">
        <v>-38966.0</v>
      </c>
      <c r="M13" s="65">
        <v>-93056.0</v>
      </c>
      <c r="N13" s="77">
        <v>-58685.0</v>
      </c>
      <c r="O13" s="68">
        <v>-151681.0</v>
      </c>
      <c r="P13" s="68">
        <v>-64921.0</v>
      </c>
      <c r="Q13" s="68">
        <v>-78390.0</v>
      </c>
      <c r="R13" s="68">
        <v>-143311.0</v>
      </c>
      <c r="S13" s="68">
        <v>-84804.0</v>
      </c>
      <c r="T13" s="68">
        <v>-228115.0</v>
      </c>
      <c r="U13" s="68">
        <v>-87800.0</v>
      </c>
      <c r="V13" s="68">
        <v>-315915.0</v>
      </c>
      <c r="W13" s="68">
        <v>-71222.0</v>
      </c>
      <c r="X13" s="70">
        <v>-71939.0</v>
      </c>
      <c r="Y13" s="70">
        <v>-143161.0</v>
      </c>
      <c r="Z13" s="70">
        <v>-64807.0</v>
      </c>
      <c r="AA13" s="70">
        <v>-207968.0</v>
      </c>
      <c r="AB13" s="70">
        <v>-82531.0</v>
      </c>
      <c r="AC13" s="70">
        <f t="shared" si="7"/>
        <v>-290499</v>
      </c>
      <c r="AD13" s="70">
        <v>-68112.0</v>
      </c>
      <c r="AE13" s="70">
        <v>-69119.0</v>
      </c>
      <c r="AF13" s="70">
        <f t="shared" si="3"/>
        <v>-137231</v>
      </c>
      <c r="AG13" s="70">
        <v>-78483.0</v>
      </c>
      <c r="AH13" s="70">
        <f t="shared" si="8"/>
        <v>-215714</v>
      </c>
      <c r="AI13" s="63">
        <v>-72385.0</v>
      </c>
      <c r="AJ13" s="80">
        <v>-288099.0</v>
      </c>
      <c r="AK13" s="63"/>
      <c r="AL13" s="63"/>
    </row>
    <row r="14" ht="12.0" customHeight="1">
      <c r="A14" s="5"/>
      <c r="B14" s="81" t="s">
        <v>90</v>
      </c>
      <c r="C14" s="65">
        <f>-12093+2728</f>
        <v>-9365</v>
      </c>
      <c r="D14" s="65">
        <f>-1962+1638.4</f>
        <v>-323.6</v>
      </c>
      <c r="E14" s="65">
        <v>-91.0</v>
      </c>
      <c r="F14" s="65">
        <v>-421.0</v>
      </c>
      <c r="G14" s="65">
        <v>-538.0</v>
      </c>
      <c r="H14" s="65">
        <f>-3462+2503</f>
        <v>-959</v>
      </c>
      <c r="I14" s="65">
        <v>1590.0</v>
      </c>
      <c r="J14" s="65">
        <v>-184.0</v>
      </c>
      <c r="K14" s="65">
        <f>-4+1410</f>
        <v>1406</v>
      </c>
      <c r="L14" s="65">
        <v>-25309.0</v>
      </c>
      <c r="M14" s="65">
        <v>-23866.0</v>
      </c>
      <c r="N14" s="77">
        <v>1716.0</v>
      </c>
      <c r="O14" s="68">
        <v>-22210.0</v>
      </c>
      <c r="P14" s="68">
        <v>-515.0</v>
      </c>
      <c r="Q14" s="68">
        <v>-3969.0</v>
      </c>
      <c r="R14" s="68">
        <v>-4484.0</v>
      </c>
      <c r="S14" s="68">
        <v>-3008.0</v>
      </c>
      <c r="T14" s="68">
        <v>-7492.0</v>
      </c>
      <c r="U14" s="68">
        <v>-966.0</v>
      </c>
      <c r="V14" s="68">
        <v>-8458.0</v>
      </c>
      <c r="W14" s="68">
        <v>324.0</v>
      </c>
      <c r="X14" s="70">
        <v>-1662.0</v>
      </c>
      <c r="Y14" s="70">
        <v>-1337.0</v>
      </c>
      <c r="Z14" s="70">
        <v>-836.0</v>
      </c>
      <c r="AA14" s="70">
        <v>2025.0</v>
      </c>
      <c r="AB14" s="70">
        <v>3425.0</v>
      </c>
      <c r="AC14" s="70">
        <f t="shared" si="7"/>
        <v>5450</v>
      </c>
      <c r="AD14" s="70">
        <v>160.0</v>
      </c>
      <c r="AE14" s="70">
        <v>434.0</v>
      </c>
      <c r="AF14" s="70">
        <f t="shared" si="3"/>
        <v>594</v>
      </c>
      <c r="AG14" s="70">
        <v>512.0</v>
      </c>
      <c r="AH14" s="70">
        <f t="shared" si="8"/>
        <v>1106</v>
      </c>
      <c r="AI14" s="63">
        <v>1805.0</v>
      </c>
      <c r="AJ14" s="80">
        <v>2911.0</v>
      </c>
      <c r="AK14" s="63"/>
      <c r="AL14" s="63"/>
    </row>
    <row r="15" ht="12.0" customHeight="1">
      <c r="A15" s="5"/>
      <c r="B15" s="5" t="s">
        <v>91</v>
      </c>
      <c r="C15" s="71">
        <v>-1091.0</v>
      </c>
      <c r="D15" s="71">
        <v>-366.0</v>
      </c>
      <c r="E15" s="71">
        <v>361.0</v>
      </c>
      <c r="F15" s="71">
        <v>-5.0</v>
      </c>
      <c r="G15" s="71">
        <v>-191.0</v>
      </c>
      <c r="H15" s="71">
        <v>-196.0</v>
      </c>
      <c r="I15" s="71">
        <v>-3258.0</v>
      </c>
      <c r="J15" s="71">
        <v>2891.0</v>
      </c>
      <c r="K15" s="71">
        <v>-367.0</v>
      </c>
      <c r="L15" s="71">
        <v>-1662.0</v>
      </c>
      <c r="M15" s="71">
        <v>-2030.0</v>
      </c>
      <c r="N15" s="82">
        <v>1533.0</v>
      </c>
      <c r="O15" s="72">
        <v>-497.0</v>
      </c>
      <c r="P15" s="72">
        <v>-1066.0</v>
      </c>
      <c r="Q15" s="72">
        <v>356.0</v>
      </c>
      <c r="R15" s="72">
        <v>-710.0</v>
      </c>
      <c r="S15" s="72">
        <v>325.0</v>
      </c>
      <c r="T15" s="72">
        <v>-385.0</v>
      </c>
      <c r="U15" s="73">
        <v>56.0</v>
      </c>
      <c r="V15" s="72">
        <v>-329.0</v>
      </c>
      <c r="W15" s="72">
        <v>-1605.0</v>
      </c>
      <c r="X15" s="73">
        <v>-132.0</v>
      </c>
      <c r="Y15" s="70">
        <v>-1737.0</v>
      </c>
      <c r="Z15" s="70">
        <v>3363.0</v>
      </c>
      <c r="AA15" s="70">
        <v>-2573.0</v>
      </c>
      <c r="AB15" s="70">
        <v>1017.0</v>
      </c>
      <c r="AC15" s="70">
        <f t="shared" si="7"/>
        <v>-1556</v>
      </c>
      <c r="AD15" s="70">
        <v>-1787.0</v>
      </c>
      <c r="AE15" s="70">
        <v>-797.0</v>
      </c>
      <c r="AF15" s="70">
        <f t="shared" si="3"/>
        <v>-2584</v>
      </c>
      <c r="AG15" s="70">
        <v>-5248.0</v>
      </c>
      <c r="AH15" s="70">
        <f t="shared" si="8"/>
        <v>-7832</v>
      </c>
      <c r="AI15" s="63">
        <v>-6773.0</v>
      </c>
      <c r="AJ15" s="80">
        <v>-14605.0</v>
      </c>
      <c r="AK15" s="63"/>
      <c r="AL15" s="63"/>
    </row>
    <row r="16" ht="12.0" customHeight="1">
      <c r="A16" s="5"/>
      <c r="B16" s="4" t="s">
        <v>92</v>
      </c>
      <c r="C16" s="59">
        <f t="shared" ref="C16:AE16" si="9">SUM(C10:C11)+C15</f>
        <v>91699</v>
      </c>
      <c r="D16" s="59">
        <f t="shared" si="9"/>
        <v>100765.8</v>
      </c>
      <c r="E16" s="59">
        <f t="shared" si="9"/>
        <v>57815</v>
      </c>
      <c r="F16" s="59">
        <f t="shared" si="9"/>
        <v>158576</v>
      </c>
      <c r="G16" s="59">
        <f t="shared" si="9"/>
        <v>49668</v>
      </c>
      <c r="H16" s="59">
        <f t="shared" si="9"/>
        <v>208244</v>
      </c>
      <c r="I16" s="59">
        <f t="shared" si="9"/>
        <v>61547</v>
      </c>
      <c r="J16" s="59">
        <f t="shared" si="9"/>
        <v>65134</v>
      </c>
      <c r="K16" s="59">
        <f t="shared" si="9"/>
        <v>126681</v>
      </c>
      <c r="L16" s="59">
        <f t="shared" si="9"/>
        <v>39065</v>
      </c>
      <c r="M16" s="59">
        <f t="shared" si="9"/>
        <v>165746</v>
      </c>
      <c r="N16" s="83">
        <f t="shared" si="9"/>
        <v>78860</v>
      </c>
      <c r="O16" s="59">
        <f t="shared" si="9"/>
        <v>244606</v>
      </c>
      <c r="P16" s="59">
        <f t="shared" si="9"/>
        <v>61249</v>
      </c>
      <c r="Q16" s="59">
        <f t="shared" si="9"/>
        <v>61548</v>
      </c>
      <c r="R16" s="59">
        <f t="shared" si="9"/>
        <v>122797</v>
      </c>
      <c r="S16" s="59">
        <f t="shared" si="9"/>
        <v>64577</v>
      </c>
      <c r="T16" s="59">
        <f t="shared" si="9"/>
        <v>187374</v>
      </c>
      <c r="U16" s="59">
        <f t="shared" si="9"/>
        <v>86544</v>
      </c>
      <c r="V16" s="59">
        <f t="shared" si="9"/>
        <v>273918</v>
      </c>
      <c r="W16" s="59">
        <f t="shared" si="9"/>
        <v>84073</v>
      </c>
      <c r="X16" s="74">
        <f t="shared" si="9"/>
        <v>77619</v>
      </c>
      <c r="Y16" s="74">
        <f t="shared" si="9"/>
        <v>161694</v>
      </c>
      <c r="Z16" s="74">
        <f t="shared" si="9"/>
        <v>69619</v>
      </c>
      <c r="AA16" s="74">
        <f t="shared" si="9"/>
        <v>231312</v>
      </c>
      <c r="AB16" s="74">
        <f t="shared" si="9"/>
        <v>54165</v>
      </c>
      <c r="AC16" s="74">
        <f t="shared" si="9"/>
        <v>285476</v>
      </c>
      <c r="AD16" s="74">
        <f t="shared" si="9"/>
        <v>51572</v>
      </c>
      <c r="AE16" s="74">
        <f t="shared" si="9"/>
        <v>77006</v>
      </c>
      <c r="AF16" s="74">
        <f t="shared" si="3"/>
        <v>128578</v>
      </c>
      <c r="AG16" s="74">
        <f t="shared" ref="AG16:AJ16" si="10">SUM(AG10:AG11)+AG15</f>
        <v>78281</v>
      </c>
      <c r="AH16" s="74">
        <f t="shared" si="10"/>
        <v>206859</v>
      </c>
      <c r="AI16" s="74">
        <f t="shared" si="10"/>
        <v>94040</v>
      </c>
      <c r="AJ16" s="74">
        <f t="shared" si="10"/>
        <v>300899</v>
      </c>
      <c r="AK16" s="63"/>
      <c r="AL16" s="63"/>
    </row>
    <row r="17" ht="12.0" customHeight="1">
      <c r="A17" s="5"/>
      <c r="B17" s="64" t="s">
        <v>93</v>
      </c>
      <c r="C17" s="71">
        <v>23944.0</v>
      </c>
      <c r="D17" s="71">
        <v>18799.4</v>
      </c>
      <c r="E17" s="71">
        <v>14045.0</v>
      </c>
      <c r="F17" s="71">
        <v>32851.0</v>
      </c>
      <c r="G17" s="71">
        <v>14957.0</v>
      </c>
      <c r="H17" s="71">
        <v>47808.0</v>
      </c>
      <c r="I17" s="71">
        <v>9049.0</v>
      </c>
      <c r="J17" s="71">
        <v>16379.0</v>
      </c>
      <c r="K17" s="71">
        <v>25428.0</v>
      </c>
      <c r="L17" s="71">
        <v>17591.0</v>
      </c>
      <c r="M17" s="71">
        <v>43421.0</v>
      </c>
      <c r="N17" s="84">
        <v>26395.0</v>
      </c>
      <c r="O17" s="72">
        <v>69816.0</v>
      </c>
      <c r="P17" s="72">
        <v>69582.0</v>
      </c>
      <c r="Q17" s="72">
        <v>53306.0</v>
      </c>
      <c r="R17" s="72">
        <v>122888.0</v>
      </c>
      <c r="S17" s="72">
        <v>32750.0</v>
      </c>
      <c r="T17" s="72">
        <v>155638.0</v>
      </c>
      <c r="U17" s="73">
        <v>17358.0</v>
      </c>
      <c r="V17" s="73">
        <v>172996.0</v>
      </c>
      <c r="W17" s="73">
        <v>20664.0</v>
      </c>
      <c r="X17" s="73">
        <v>28217.0</v>
      </c>
      <c r="Y17" s="73">
        <v>48881.0</v>
      </c>
      <c r="Z17" s="73">
        <v>13506.0</v>
      </c>
      <c r="AA17" s="73">
        <v>62387.0</v>
      </c>
      <c r="AB17" s="73">
        <v>12858.0</v>
      </c>
      <c r="AC17" s="73">
        <f t="shared" ref="AC17:AC18" si="11">SUM(AA17:AB17)</f>
        <v>75245</v>
      </c>
      <c r="AD17" s="73">
        <v>10703.0</v>
      </c>
      <c r="AE17" s="73">
        <v>23542.0</v>
      </c>
      <c r="AF17" s="73">
        <f t="shared" si="3"/>
        <v>34245</v>
      </c>
      <c r="AG17" s="73">
        <v>21821.0</v>
      </c>
      <c r="AH17" s="73">
        <f t="shared" ref="AH17:AH18" si="12">SUM(AF17:AG17)</f>
        <v>56066</v>
      </c>
      <c r="AI17" s="63">
        <v>25628.0</v>
      </c>
      <c r="AJ17" s="63">
        <v>81694.0</v>
      </c>
      <c r="AK17" s="63"/>
      <c r="AL17" s="63"/>
    </row>
    <row r="18" ht="12.0" customHeight="1">
      <c r="A18" s="5"/>
      <c r="B18" s="64" t="s">
        <v>94</v>
      </c>
      <c r="C18" s="71">
        <v>-29855.0</v>
      </c>
      <c r="D18" s="71">
        <v>-30951.0</v>
      </c>
      <c r="E18" s="71">
        <v>-15936.0</v>
      </c>
      <c r="F18" s="71">
        <v>-46887.0</v>
      </c>
      <c r="G18" s="71">
        <v>-16374.0</v>
      </c>
      <c r="H18" s="71">
        <v>-63261.0</v>
      </c>
      <c r="I18" s="71">
        <v>-10746.0</v>
      </c>
      <c r="J18" s="71">
        <v>-18368.0</v>
      </c>
      <c r="K18" s="71">
        <v>-29114.0</v>
      </c>
      <c r="L18" s="71">
        <v>-40007.0</v>
      </c>
      <c r="M18" s="71">
        <v>-69523.0</v>
      </c>
      <c r="N18" s="84">
        <v>-34525.0</v>
      </c>
      <c r="O18" s="72">
        <v>-104048.0</v>
      </c>
      <c r="P18" s="72">
        <v>-86294.0</v>
      </c>
      <c r="Q18" s="72">
        <v>-70839.0</v>
      </c>
      <c r="R18" s="72">
        <v>-157133.0</v>
      </c>
      <c r="S18" s="72">
        <v>-40182.0</v>
      </c>
      <c r="T18" s="72">
        <v>-197315.0</v>
      </c>
      <c r="U18" s="72">
        <v>-49327.0</v>
      </c>
      <c r="V18" s="72">
        <v>-246642.0</v>
      </c>
      <c r="W18" s="72">
        <v>-40632.0</v>
      </c>
      <c r="X18" s="73">
        <v>-46699.0</v>
      </c>
      <c r="Y18" s="73">
        <v>-87332.0</v>
      </c>
      <c r="Z18" s="73">
        <v>-33799.0</v>
      </c>
      <c r="AA18" s="73">
        <v>-121130.0</v>
      </c>
      <c r="AB18" s="73">
        <v>-30296.0</v>
      </c>
      <c r="AC18" s="73">
        <f t="shared" si="11"/>
        <v>-151426</v>
      </c>
      <c r="AD18" s="73">
        <v>-23056.0</v>
      </c>
      <c r="AE18" s="73">
        <v>-35155.0</v>
      </c>
      <c r="AF18" s="73">
        <f t="shared" si="3"/>
        <v>-58211</v>
      </c>
      <c r="AG18" s="73">
        <v>-42376.0</v>
      </c>
      <c r="AH18" s="73">
        <f t="shared" si="12"/>
        <v>-100587</v>
      </c>
      <c r="AI18" s="63">
        <v>-45545.0</v>
      </c>
      <c r="AJ18" s="63">
        <v>-146132.0</v>
      </c>
      <c r="AK18" s="63"/>
      <c r="AL18" s="63"/>
    </row>
    <row r="19" ht="12.0" customHeight="1">
      <c r="A19" s="5"/>
      <c r="B19" s="5" t="s">
        <v>95</v>
      </c>
      <c r="C19" s="71">
        <f t="shared" ref="C19:E19" si="13">SUM(C17:C18)</f>
        <v>-5911</v>
      </c>
      <c r="D19" s="71">
        <f t="shared" si="13"/>
        <v>-12151.6</v>
      </c>
      <c r="E19" s="71">
        <f t="shared" si="13"/>
        <v>-1891</v>
      </c>
      <c r="F19" s="71">
        <f t="shared" ref="F19:G19" si="14">F17+F18</f>
        <v>-14036</v>
      </c>
      <c r="G19" s="71">
        <f t="shared" si="14"/>
        <v>-1417</v>
      </c>
      <c r="H19" s="71">
        <f t="shared" ref="H19:M19" si="15">SUM(H17:H18)</f>
        <v>-15453</v>
      </c>
      <c r="I19" s="71">
        <f t="shared" si="15"/>
        <v>-1697</v>
      </c>
      <c r="J19" s="71">
        <f t="shared" si="15"/>
        <v>-1989</v>
      </c>
      <c r="K19" s="71">
        <f t="shared" si="15"/>
        <v>-3686</v>
      </c>
      <c r="L19" s="71">
        <f t="shared" si="15"/>
        <v>-22416</v>
      </c>
      <c r="M19" s="71">
        <f t="shared" si="15"/>
        <v>-26102</v>
      </c>
      <c r="N19" s="84">
        <f t="shared" ref="N19:AE19" si="16">N17+N18</f>
        <v>-8130</v>
      </c>
      <c r="O19" s="71">
        <f t="shared" si="16"/>
        <v>-34232</v>
      </c>
      <c r="P19" s="71">
        <f t="shared" si="16"/>
        <v>-16712</v>
      </c>
      <c r="Q19" s="71">
        <f t="shared" si="16"/>
        <v>-17533</v>
      </c>
      <c r="R19" s="71">
        <f t="shared" si="16"/>
        <v>-34245</v>
      </c>
      <c r="S19" s="71">
        <f t="shared" si="16"/>
        <v>-7432</v>
      </c>
      <c r="T19" s="71">
        <f t="shared" si="16"/>
        <v>-41677</v>
      </c>
      <c r="U19" s="71">
        <f t="shared" si="16"/>
        <v>-31969</v>
      </c>
      <c r="V19" s="71">
        <f t="shared" si="16"/>
        <v>-73646</v>
      </c>
      <c r="W19" s="71">
        <f t="shared" si="16"/>
        <v>-19968</v>
      </c>
      <c r="X19" s="75">
        <f t="shared" si="16"/>
        <v>-18482</v>
      </c>
      <c r="Y19" s="75">
        <f t="shared" si="16"/>
        <v>-38451</v>
      </c>
      <c r="Z19" s="75">
        <f t="shared" si="16"/>
        <v>-20293</v>
      </c>
      <c r="AA19" s="75">
        <f t="shared" si="16"/>
        <v>-58743</v>
      </c>
      <c r="AB19" s="75">
        <f t="shared" si="16"/>
        <v>-17438</v>
      </c>
      <c r="AC19" s="75">
        <f t="shared" si="16"/>
        <v>-76181</v>
      </c>
      <c r="AD19" s="75">
        <f t="shared" si="16"/>
        <v>-12353</v>
      </c>
      <c r="AE19" s="75">
        <f t="shared" si="16"/>
        <v>-11613</v>
      </c>
      <c r="AF19" s="75">
        <f t="shared" si="3"/>
        <v>-23966</v>
      </c>
      <c r="AG19" s="75">
        <f t="shared" ref="AG19:AJ19" si="17">AG17+AG18</f>
        <v>-20555</v>
      </c>
      <c r="AH19" s="75">
        <f t="shared" si="17"/>
        <v>-44521</v>
      </c>
      <c r="AI19" s="75">
        <f t="shared" si="17"/>
        <v>-19917</v>
      </c>
      <c r="AJ19" s="75">
        <f t="shared" si="17"/>
        <v>-64438</v>
      </c>
      <c r="AK19" s="63"/>
      <c r="AL19" s="63"/>
    </row>
    <row r="20" ht="12.0" customHeight="1">
      <c r="A20" s="5"/>
      <c r="B20" s="4" t="s">
        <v>96</v>
      </c>
      <c r="C20" s="59">
        <f>C19+C16</f>
        <v>85788</v>
      </c>
      <c r="D20" s="59">
        <f>D16+D19</f>
        <v>88614.2</v>
      </c>
      <c r="E20" s="59">
        <f t="shared" ref="E20:J20" si="18">E19+E16</f>
        <v>55924</v>
      </c>
      <c r="F20" s="59">
        <f t="shared" si="18"/>
        <v>144540</v>
      </c>
      <c r="G20" s="59">
        <f t="shared" si="18"/>
        <v>48251</v>
      </c>
      <c r="H20" s="59">
        <f t="shared" si="18"/>
        <v>192791</v>
      </c>
      <c r="I20" s="59">
        <f t="shared" si="18"/>
        <v>59850</v>
      </c>
      <c r="J20" s="59">
        <f t="shared" si="18"/>
        <v>63145</v>
      </c>
      <c r="K20" s="59">
        <f t="shared" ref="K20:L20" si="19">K16+K19</f>
        <v>122995</v>
      </c>
      <c r="L20" s="59">
        <f t="shared" si="19"/>
        <v>16649</v>
      </c>
      <c r="M20" s="59">
        <f t="shared" ref="M20:M22" si="22">K20+L20</f>
        <v>139644</v>
      </c>
      <c r="N20" s="59">
        <f t="shared" ref="N20:AE20" si="20">N19+N16</f>
        <v>70730</v>
      </c>
      <c r="O20" s="59">
        <f t="shared" si="20"/>
        <v>210374</v>
      </c>
      <c r="P20" s="59">
        <f t="shared" si="20"/>
        <v>44537</v>
      </c>
      <c r="Q20" s="59">
        <f t="shared" si="20"/>
        <v>44015</v>
      </c>
      <c r="R20" s="59">
        <f t="shared" si="20"/>
        <v>88552</v>
      </c>
      <c r="S20" s="59">
        <f t="shared" si="20"/>
        <v>57145</v>
      </c>
      <c r="T20" s="59">
        <f t="shared" si="20"/>
        <v>145697</v>
      </c>
      <c r="U20" s="59">
        <f t="shared" si="20"/>
        <v>54575</v>
      </c>
      <c r="V20" s="59">
        <f t="shared" si="20"/>
        <v>200272</v>
      </c>
      <c r="W20" s="59">
        <f t="shared" si="20"/>
        <v>64105</v>
      </c>
      <c r="X20" s="74">
        <f t="shared" si="20"/>
        <v>59137</v>
      </c>
      <c r="Y20" s="74">
        <f t="shared" si="20"/>
        <v>123243</v>
      </c>
      <c r="Z20" s="74">
        <f t="shared" si="20"/>
        <v>49326</v>
      </c>
      <c r="AA20" s="74">
        <f t="shared" si="20"/>
        <v>172569</v>
      </c>
      <c r="AB20" s="74">
        <f t="shared" si="20"/>
        <v>36727</v>
      </c>
      <c r="AC20" s="74">
        <f t="shared" si="20"/>
        <v>209295</v>
      </c>
      <c r="AD20" s="74">
        <f t="shared" si="20"/>
        <v>39219</v>
      </c>
      <c r="AE20" s="74">
        <f t="shared" si="20"/>
        <v>65393</v>
      </c>
      <c r="AF20" s="74">
        <f t="shared" si="3"/>
        <v>104612</v>
      </c>
      <c r="AG20" s="74">
        <f t="shared" ref="AG20:AJ20" si="21">AG19+AG16</f>
        <v>57726</v>
      </c>
      <c r="AH20" s="74">
        <f t="shared" si="21"/>
        <v>162338</v>
      </c>
      <c r="AI20" s="74">
        <f t="shared" si="21"/>
        <v>74123</v>
      </c>
      <c r="AJ20" s="74">
        <f t="shared" si="21"/>
        <v>236461</v>
      </c>
      <c r="AK20" s="63"/>
      <c r="AL20" s="63"/>
    </row>
    <row r="21" ht="12.0" customHeight="1">
      <c r="A21" s="5"/>
      <c r="B21" s="5" t="s">
        <v>97</v>
      </c>
      <c r="C21" s="71">
        <v>-29219.0</v>
      </c>
      <c r="D21" s="71">
        <v>-29901.0</v>
      </c>
      <c r="E21" s="71">
        <v>-16386.0</v>
      </c>
      <c r="F21" s="71">
        <v>-46287.0</v>
      </c>
      <c r="G21" s="71">
        <v>-18850.0</v>
      </c>
      <c r="H21" s="71">
        <v>-65137.0</v>
      </c>
      <c r="I21" s="71">
        <v>-20235.0</v>
      </c>
      <c r="J21" s="71">
        <v>-18423.0</v>
      </c>
      <c r="K21" s="71">
        <v>-38658.0</v>
      </c>
      <c r="L21" s="71">
        <v>-18857.0</v>
      </c>
      <c r="M21" s="71">
        <f t="shared" si="22"/>
        <v>-57515</v>
      </c>
      <c r="N21" s="72">
        <v>-26902.0</v>
      </c>
      <c r="O21" s="72">
        <v>-84417.0</v>
      </c>
      <c r="P21" s="72">
        <v>-15314.0</v>
      </c>
      <c r="Q21" s="72">
        <v>-18016.0</v>
      </c>
      <c r="R21" s="72">
        <v>-33330.0</v>
      </c>
      <c r="S21" s="72">
        <v>-16537.0</v>
      </c>
      <c r="T21" s="72">
        <v>-49867.0</v>
      </c>
      <c r="U21" s="72">
        <f>-25077+588</f>
        <v>-24489</v>
      </c>
      <c r="V21" s="72">
        <v>-104562.0</v>
      </c>
      <c r="W21" s="73">
        <f>-11723-8748</f>
        <v>-20471</v>
      </c>
      <c r="X21" s="73">
        <f>-11298-8871</f>
        <v>-20169</v>
      </c>
      <c r="Y21" s="73">
        <f>SUM(W21:X21)</f>
        <v>-40640</v>
      </c>
      <c r="Z21" s="73">
        <f>-13165-9114</f>
        <v>-22279</v>
      </c>
      <c r="AA21" s="73">
        <f>SUM(Y21:Z21)</f>
        <v>-62919</v>
      </c>
      <c r="AB21" s="73">
        <v>-13803.0</v>
      </c>
      <c r="AC21" s="73">
        <v>-76722.0</v>
      </c>
      <c r="AD21" s="73">
        <v>-16810.0</v>
      </c>
      <c r="AE21" s="73">
        <v>-16885.0</v>
      </c>
      <c r="AF21" s="73">
        <f t="shared" si="3"/>
        <v>-33695</v>
      </c>
      <c r="AG21" s="73">
        <v>-29153.0</v>
      </c>
      <c r="AH21" s="73">
        <f>SUM(AF21:AG21)</f>
        <v>-62848</v>
      </c>
      <c r="AI21" s="63">
        <v>-12454.0</v>
      </c>
      <c r="AJ21" s="63">
        <v>-75302.0</v>
      </c>
      <c r="AK21" s="63"/>
      <c r="AL21" s="63"/>
    </row>
    <row r="22" ht="12.0" customHeight="1">
      <c r="A22" s="5"/>
      <c r="B22" s="4" t="s">
        <v>98</v>
      </c>
      <c r="C22" s="59">
        <f t="shared" ref="C22:L22" si="23">SUM(C20:C21)</f>
        <v>56569</v>
      </c>
      <c r="D22" s="59">
        <f t="shared" si="23"/>
        <v>58713.2</v>
      </c>
      <c r="E22" s="59">
        <f t="shared" si="23"/>
        <v>39538</v>
      </c>
      <c r="F22" s="59">
        <f t="shared" si="23"/>
        <v>98253</v>
      </c>
      <c r="G22" s="59">
        <f t="shared" si="23"/>
        <v>29401</v>
      </c>
      <c r="H22" s="59">
        <f t="shared" si="23"/>
        <v>127654</v>
      </c>
      <c r="I22" s="59">
        <f t="shared" si="23"/>
        <v>39615</v>
      </c>
      <c r="J22" s="59">
        <f t="shared" si="23"/>
        <v>44722</v>
      </c>
      <c r="K22" s="59">
        <f t="shared" si="23"/>
        <v>84337</v>
      </c>
      <c r="L22" s="59">
        <f t="shared" si="23"/>
        <v>-2208</v>
      </c>
      <c r="M22" s="59">
        <f t="shared" si="22"/>
        <v>82129</v>
      </c>
      <c r="N22" s="59">
        <f t="shared" ref="N22:AE22" si="24">SUM(N20:N21)</f>
        <v>43828</v>
      </c>
      <c r="O22" s="59">
        <f t="shared" si="24"/>
        <v>125957</v>
      </c>
      <c r="P22" s="59">
        <f t="shared" si="24"/>
        <v>29223</v>
      </c>
      <c r="Q22" s="59">
        <f t="shared" si="24"/>
        <v>25999</v>
      </c>
      <c r="R22" s="59">
        <f t="shared" si="24"/>
        <v>55222</v>
      </c>
      <c r="S22" s="59">
        <f t="shared" si="24"/>
        <v>40608</v>
      </c>
      <c r="T22" s="59">
        <f t="shared" si="24"/>
        <v>95830</v>
      </c>
      <c r="U22" s="59">
        <f t="shared" si="24"/>
        <v>30086</v>
      </c>
      <c r="V22" s="59">
        <f t="shared" si="24"/>
        <v>95710</v>
      </c>
      <c r="W22" s="59">
        <f t="shared" si="24"/>
        <v>43634</v>
      </c>
      <c r="X22" s="74">
        <f t="shared" si="24"/>
        <v>38968</v>
      </c>
      <c r="Y22" s="74">
        <f t="shared" si="24"/>
        <v>82603</v>
      </c>
      <c r="Z22" s="74">
        <f t="shared" si="24"/>
        <v>27047</v>
      </c>
      <c r="AA22" s="74">
        <f t="shared" si="24"/>
        <v>109650</v>
      </c>
      <c r="AB22" s="74">
        <f t="shared" si="24"/>
        <v>22924</v>
      </c>
      <c r="AC22" s="74">
        <f t="shared" si="24"/>
        <v>132573</v>
      </c>
      <c r="AD22" s="74">
        <f t="shared" si="24"/>
        <v>22409</v>
      </c>
      <c r="AE22" s="74">
        <f t="shared" si="24"/>
        <v>48508</v>
      </c>
      <c r="AF22" s="74">
        <f t="shared" si="3"/>
        <v>70917</v>
      </c>
      <c r="AG22" s="74">
        <f t="shared" ref="AG22:AJ22" si="25">SUM(AG20:AG21)</f>
        <v>28573</v>
      </c>
      <c r="AH22" s="74">
        <f t="shared" si="25"/>
        <v>99490</v>
      </c>
      <c r="AI22" s="74">
        <f t="shared" si="25"/>
        <v>61669</v>
      </c>
      <c r="AJ22" s="74">
        <f t="shared" si="25"/>
        <v>161159</v>
      </c>
      <c r="AK22" s="63"/>
      <c r="AL22" s="63"/>
    </row>
    <row r="23" ht="12.0" customHeight="1">
      <c r="A23" s="5"/>
      <c r="B23" s="5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  <c r="O23" s="58"/>
      <c r="P23" s="58"/>
      <c r="Q23" s="58"/>
      <c r="R23" s="58"/>
      <c r="S23" s="58"/>
      <c r="T23" s="58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63"/>
      <c r="AL23" s="63"/>
    </row>
    <row r="24" ht="12.0" customHeight="1">
      <c r="A24" s="85"/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63"/>
      <c r="AL24" s="63"/>
    </row>
    <row r="25" ht="12.0" customHeight="1">
      <c r="A25" s="5"/>
      <c r="B25" s="4" t="s">
        <v>99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8"/>
      <c r="O25" s="58"/>
      <c r="P25" s="58"/>
      <c r="Q25" s="58"/>
      <c r="R25" s="58"/>
      <c r="S25" s="58"/>
      <c r="T25" s="58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63"/>
      <c r="AL25" s="63"/>
    </row>
    <row r="26" ht="12.0" customHeight="1">
      <c r="A26" s="5"/>
      <c r="B26" s="5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  <c r="O26" s="58"/>
      <c r="P26" s="58"/>
      <c r="Q26" s="58"/>
      <c r="R26" s="58"/>
      <c r="S26" s="58"/>
      <c r="T26" s="58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63"/>
      <c r="AL26" s="63"/>
    </row>
    <row r="27" ht="12.0" customHeight="1">
      <c r="A27" s="5"/>
      <c r="B27" s="33" t="s">
        <v>100</v>
      </c>
      <c r="C27" s="87"/>
      <c r="D27" s="87"/>
      <c r="E27" s="87"/>
      <c r="F27" s="88"/>
      <c r="G27" s="87"/>
      <c r="H27" s="87"/>
      <c r="I27" s="87"/>
      <c r="J27" s="87"/>
      <c r="K27" s="87"/>
      <c r="L27" s="87"/>
      <c r="M27" s="88"/>
      <c r="N27" s="89"/>
      <c r="O27" s="89"/>
      <c r="P27" s="89"/>
      <c r="Q27" s="89"/>
      <c r="R27" s="89"/>
      <c r="S27" s="89"/>
      <c r="T27" s="89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63"/>
      <c r="AL27" s="63"/>
    </row>
    <row r="28" ht="12.0" customHeight="1">
      <c r="A28" s="5"/>
      <c r="B28" s="40" t="s">
        <v>82</v>
      </c>
      <c r="C28" s="87">
        <f t="shared" ref="C28:AJ28" si="26">C6</f>
        <v>677133</v>
      </c>
      <c r="D28" s="87">
        <f t="shared" si="26"/>
        <v>448254.4</v>
      </c>
      <c r="E28" s="87">
        <f t="shared" si="26"/>
        <v>242897</v>
      </c>
      <c r="F28" s="87">
        <f t="shared" si="26"/>
        <v>691152</v>
      </c>
      <c r="G28" s="87">
        <f t="shared" si="26"/>
        <v>265367</v>
      </c>
      <c r="H28" s="87">
        <f t="shared" si="26"/>
        <v>956519</v>
      </c>
      <c r="I28" s="87">
        <f t="shared" si="26"/>
        <v>296292</v>
      </c>
      <c r="J28" s="87">
        <f t="shared" si="26"/>
        <v>315324</v>
      </c>
      <c r="K28" s="87">
        <f t="shared" si="26"/>
        <v>611616</v>
      </c>
      <c r="L28" s="87">
        <f t="shared" si="26"/>
        <v>375970</v>
      </c>
      <c r="M28" s="87">
        <f t="shared" si="26"/>
        <v>987586</v>
      </c>
      <c r="N28" s="87">
        <f t="shared" si="26"/>
        <v>456794</v>
      </c>
      <c r="O28" s="87">
        <f t="shared" si="26"/>
        <v>1444380</v>
      </c>
      <c r="P28" s="87">
        <f t="shared" si="26"/>
        <v>491872</v>
      </c>
      <c r="Q28" s="87">
        <f t="shared" si="26"/>
        <v>525015</v>
      </c>
      <c r="R28" s="87">
        <f t="shared" si="26"/>
        <v>1016887</v>
      </c>
      <c r="S28" s="87">
        <f t="shared" si="26"/>
        <v>559018</v>
      </c>
      <c r="T28" s="87">
        <f t="shared" si="26"/>
        <v>1575905</v>
      </c>
      <c r="U28" s="87">
        <f t="shared" si="26"/>
        <v>611805</v>
      </c>
      <c r="V28" s="87">
        <f t="shared" si="26"/>
        <v>2187710</v>
      </c>
      <c r="W28" s="87">
        <f t="shared" si="26"/>
        <v>609991</v>
      </c>
      <c r="X28" s="41">
        <f t="shared" si="26"/>
        <v>571832</v>
      </c>
      <c r="Y28" s="41">
        <f t="shared" si="26"/>
        <v>1181824</v>
      </c>
      <c r="Z28" s="41">
        <f t="shared" si="26"/>
        <v>529083</v>
      </c>
      <c r="AA28" s="41">
        <f t="shared" si="26"/>
        <v>1710907</v>
      </c>
      <c r="AB28" s="41">
        <f t="shared" si="26"/>
        <v>522560</v>
      </c>
      <c r="AC28" s="41">
        <f t="shared" si="26"/>
        <v>2233466</v>
      </c>
      <c r="AD28" s="41">
        <f t="shared" si="26"/>
        <v>523509</v>
      </c>
      <c r="AE28" s="41">
        <f t="shared" si="26"/>
        <v>565652</v>
      </c>
      <c r="AF28" s="41">
        <f t="shared" si="26"/>
        <v>1089161</v>
      </c>
      <c r="AG28" s="41">
        <f t="shared" si="26"/>
        <v>622160</v>
      </c>
      <c r="AH28" s="41">
        <f t="shared" si="26"/>
        <v>1711321</v>
      </c>
      <c r="AI28" s="41">
        <f t="shared" si="26"/>
        <v>656507</v>
      </c>
      <c r="AJ28" s="41">
        <f t="shared" si="26"/>
        <v>2367828</v>
      </c>
      <c r="AK28" s="63"/>
      <c r="AL28" s="63"/>
    </row>
    <row r="29" ht="12.0" customHeight="1">
      <c r="A29" s="5"/>
      <c r="B29" s="40" t="s">
        <v>101</v>
      </c>
      <c r="C29" s="87">
        <f t="shared" ref="C29:AJ29" si="27">C10</f>
        <v>228154</v>
      </c>
      <c r="D29" s="87">
        <f t="shared" si="27"/>
        <v>163997.4</v>
      </c>
      <c r="E29" s="87">
        <f t="shared" si="27"/>
        <v>92582</v>
      </c>
      <c r="F29" s="87">
        <f t="shared" si="27"/>
        <v>256580</v>
      </c>
      <c r="G29" s="87">
        <f t="shared" si="27"/>
        <v>99073</v>
      </c>
      <c r="H29" s="87">
        <f t="shared" si="27"/>
        <v>355653</v>
      </c>
      <c r="I29" s="87">
        <f t="shared" si="27"/>
        <v>107920</v>
      </c>
      <c r="J29" s="87">
        <f t="shared" si="27"/>
        <v>109556</v>
      </c>
      <c r="K29" s="87">
        <f t="shared" si="27"/>
        <v>217476</v>
      </c>
      <c r="L29" s="87">
        <f t="shared" si="27"/>
        <v>129124</v>
      </c>
      <c r="M29" s="87">
        <f t="shared" si="27"/>
        <v>346600</v>
      </c>
      <c r="N29" s="87">
        <f t="shared" si="27"/>
        <v>162048</v>
      </c>
      <c r="O29" s="87">
        <f t="shared" si="27"/>
        <v>508648</v>
      </c>
      <c r="P29" s="87">
        <f t="shared" si="27"/>
        <v>162880</v>
      </c>
      <c r="Q29" s="87">
        <f t="shared" si="27"/>
        <v>183513</v>
      </c>
      <c r="R29" s="87">
        <f t="shared" si="27"/>
        <v>346393</v>
      </c>
      <c r="S29" s="87">
        <f t="shared" si="27"/>
        <v>195401</v>
      </c>
      <c r="T29" s="87">
        <f t="shared" si="27"/>
        <v>541794</v>
      </c>
      <c r="U29" s="87">
        <f t="shared" si="27"/>
        <v>220697</v>
      </c>
      <c r="V29" s="87">
        <f t="shared" si="27"/>
        <v>762491</v>
      </c>
      <c r="W29" s="87">
        <f t="shared" si="27"/>
        <v>202130</v>
      </c>
      <c r="X29" s="41">
        <f t="shared" si="27"/>
        <v>197636</v>
      </c>
      <c r="Y29" s="41">
        <f t="shared" si="27"/>
        <v>399767</v>
      </c>
      <c r="Z29" s="41">
        <f t="shared" si="27"/>
        <v>172304</v>
      </c>
      <c r="AA29" s="41">
        <f t="shared" si="27"/>
        <v>572071</v>
      </c>
      <c r="AB29" s="41">
        <f t="shared" si="27"/>
        <v>173654</v>
      </c>
      <c r="AC29" s="41">
        <f t="shared" si="27"/>
        <v>745724</v>
      </c>
      <c r="AD29" s="41">
        <f t="shared" si="27"/>
        <v>167561</v>
      </c>
      <c r="AE29" s="41">
        <f t="shared" si="27"/>
        <v>195978</v>
      </c>
      <c r="AF29" s="41">
        <f t="shared" si="27"/>
        <v>363539</v>
      </c>
      <c r="AG29" s="41">
        <f t="shared" si="27"/>
        <v>215679</v>
      </c>
      <c r="AH29" s="41">
        <f t="shared" si="27"/>
        <v>579218</v>
      </c>
      <c r="AI29" s="41">
        <f t="shared" si="27"/>
        <v>232486</v>
      </c>
      <c r="AJ29" s="41">
        <f t="shared" si="27"/>
        <v>811704</v>
      </c>
      <c r="AK29" s="63"/>
      <c r="AL29" s="63"/>
    </row>
    <row r="30" ht="12.0" customHeight="1">
      <c r="A30" s="5"/>
      <c r="B30" s="90" t="s">
        <v>102</v>
      </c>
      <c r="C30" s="91"/>
      <c r="D30" s="91"/>
      <c r="E30" s="91"/>
      <c r="F30" s="57"/>
      <c r="G30" s="91"/>
      <c r="H30" s="91"/>
      <c r="I30" s="91"/>
      <c r="J30" s="91"/>
      <c r="K30" s="91"/>
      <c r="L30" s="91"/>
      <c r="M30" s="57"/>
      <c r="N30" s="58"/>
      <c r="O30" s="58"/>
      <c r="P30" s="58"/>
      <c r="Q30" s="58"/>
      <c r="R30" s="58"/>
      <c r="S30" s="58"/>
      <c r="T30" s="58"/>
      <c r="U30" s="58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92"/>
      <c r="AK30" s="63"/>
      <c r="AL30" s="63"/>
    </row>
    <row r="31" ht="12.0" customHeight="1">
      <c r="A31" s="5"/>
      <c r="B31" s="93" t="s">
        <v>103</v>
      </c>
      <c r="C31" s="87">
        <v>19527.0</v>
      </c>
      <c r="D31" s="87">
        <v>11999.0</v>
      </c>
      <c r="E31" s="94">
        <v>6092.0</v>
      </c>
      <c r="F31" s="94">
        <v>18091.0</v>
      </c>
      <c r="G31" s="87">
        <v>5995.0</v>
      </c>
      <c r="H31" s="87">
        <v>24085.0</v>
      </c>
      <c r="I31" s="87">
        <v>6225.0</v>
      </c>
      <c r="J31" s="87">
        <v>6551.0</v>
      </c>
      <c r="K31" s="87">
        <v>12776.0</v>
      </c>
      <c r="L31" s="94">
        <v>10345.0</v>
      </c>
      <c r="M31" s="94">
        <v>23121.0</v>
      </c>
      <c r="N31" s="94">
        <v>8764.0</v>
      </c>
      <c r="O31" s="94">
        <v>31884.0</v>
      </c>
      <c r="P31" s="94">
        <v>9318.4</v>
      </c>
      <c r="Q31" s="94">
        <v>10295.0</v>
      </c>
      <c r="R31" s="94">
        <v>19613.0</v>
      </c>
      <c r="S31" s="94">
        <v>10688.0</v>
      </c>
      <c r="T31" s="94">
        <v>30301.7</v>
      </c>
      <c r="U31" s="94">
        <v>10667.0</v>
      </c>
      <c r="V31" s="95">
        <v>40968.0</v>
      </c>
      <c r="W31" s="95">
        <v>9410.0</v>
      </c>
      <c r="X31" s="95">
        <v>8722.0</v>
      </c>
      <c r="Y31" s="95">
        <v>18132.0</v>
      </c>
      <c r="Z31" s="95">
        <v>9116.0</v>
      </c>
      <c r="AA31" s="95">
        <v>27248.0</v>
      </c>
      <c r="AB31" s="95">
        <v>8705.0</v>
      </c>
      <c r="AC31" s="95">
        <f t="shared" ref="AC31:AC32" si="28">SUM(AA31:AB31)</f>
        <v>35953</v>
      </c>
      <c r="AD31" s="95">
        <v>8032.0</v>
      </c>
      <c r="AE31" s="95">
        <v>8578.0</v>
      </c>
      <c r="AF31" s="95">
        <f t="shared" ref="AF31:AF32" si="29">SUM(AD31:AE31)</f>
        <v>16610</v>
      </c>
      <c r="AG31" s="95">
        <v>8572.0</v>
      </c>
      <c r="AH31" s="95">
        <f t="shared" ref="AH31:AH32" si="30">SUM(AF31:AG31)</f>
        <v>25182</v>
      </c>
      <c r="AI31" s="96">
        <v>9148.0</v>
      </c>
      <c r="AJ31" s="97">
        <v>34331.0</v>
      </c>
      <c r="AK31" s="63"/>
      <c r="AL31" s="63"/>
    </row>
    <row r="32" ht="12.0" customHeight="1">
      <c r="A32" s="5"/>
      <c r="B32" s="93" t="s">
        <v>104</v>
      </c>
      <c r="C32" s="87">
        <v>624.0</v>
      </c>
      <c r="D32" s="87">
        <v>20.0</v>
      </c>
      <c r="E32" s="98">
        <v>43.0</v>
      </c>
      <c r="F32" s="57">
        <v>62.0</v>
      </c>
      <c r="G32" s="87">
        <v>76.0</v>
      </c>
      <c r="H32" s="87">
        <v>139.0</v>
      </c>
      <c r="I32" s="87">
        <v>52.0</v>
      </c>
      <c r="J32" s="87">
        <v>181.0</v>
      </c>
      <c r="K32" s="87">
        <v>233.0</v>
      </c>
      <c r="L32" s="98">
        <v>116.0</v>
      </c>
      <c r="M32" s="57">
        <v>348.0</v>
      </c>
      <c r="N32" s="99">
        <v>1582.0</v>
      </c>
      <c r="O32" s="99">
        <v>1930.0</v>
      </c>
      <c r="P32" s="99">
        <v>1182.4</v>
      </c>
      <c r="Q32" s="100">
        <v>-361.0</v>
      </c>
      <c r="R32" s="99">
        <v>821.0</v>
      </c>
      <c r="S32" s="99">
        <v>369.0</v>
      </c>
      <c r="T32" s="99">
        <v>1189.6</v>
      </c>
      <c r="U32" s="99">
        <v>3045.0</v>
      </c>
      <c r="V32" s="95">
        <v>4235.0</v>
      </c>
      <c r="W32" s="95">
        <v>2376.0</v>
      </c>
      <c r="X32" s="95">
        <v>5036.0</v>
      </c>
      <c r="Y32" s="95">
        <v>7412.0</v>
      </c>
      <c r="Z32" s="95">
        <v>2949.0</v>
      </c>
      <c r="AA32" s="95">
        <v>10361.0</v>
      </c>
      <c r="AB32" s="95">
        <v>3481.0</v>
      </c>
      <c r="AC32" s="95">
        <f t="shared" si="28"/>
        <v>13842</v>
      </c>
      <c r="AD32" s="95">
        <v>2757.0</v>
      </c>
      <c r="AE32" s="95">
        <v>4618.0</v>
      </c>
      <c r="AF32" s="95">
        <f t="shared" si="29"/>
        <v>7375</v>
      </c>
      <c r="AG32" s="95">
        <v>7597.0</v>
      </c>
      <c r="AH32" s="95">
        <f t="shared" si="30"/>
        <v>14972</v>
      </c>
      <c r="AI32" s="96">
        <v>3657.0</v>
      </c>
      <c r="AJ32" s="96">
        <v>18628.0</v>
      </c>
      <c r="AK32" s="63"/>
      <c r="AL32" s="63"/>
    </row>
    <row r="33" ht="12.0" customHeight="1">
      <c r="A33" s="5"/>
      <c r="B33" s="33" t="s">
        <v>105</v>
      </c>
      <c r="C33" s="101">
        <f t="shared" ref="C33:AA33" si="31">SUM(C29:C32)</f>
        <v>248305</v>
      </c>
      <c r="D33" s="101">
        <f t="shared" si="31"/>
        <v>176016.4</v>
      </c>
      <c r="E33" s="101">
        <f t="shared" si="31"/>
        <v>98717</v>
      </c>
      <c r="F33" s="101">
        <f t="shared" si="31"/>
        <v>274733</v>
      </c>
      <c r="G33" s="101">
        <f t="shared" si="31"/>
        <v>105144</v>
      </c>
      <c r="H33" s="101">
        <f t="shared" si="31"/>
        <v>379877</v>
      </c>
      <c r="I33" s="101">
        <f t="shared" si="31"/>
        <v>114197</v>
      </c>
      <c r="J33" s="101">
        <f t="shared" si="31"/>
        <v>116288</v>
      </c>
      <c r="K33" s="101">
        <f t="shared" si="31"/>
        <v>230485</v>
      </c>
      <c r="L33" s="101">
        <f t="shared" si="31"/>
        <v>139585</v>
      </c>
      <c r="M33" s="101">
        <f t="shared" si="31"/>
        <v>370069</v>
      </c>
      <c r="N33" s="101">
        <f t="shared" si="31"/>
        <v>172394</v>
      </c>
      <c r="O33" s="101">
        <f t="shared" si="31"/>
        <v>542462</v>
      </c>
      <c r="P33" s="101">
        <f t="shared" si="31"/>
        <v>173380.8</v>
      </c>
      <c r="Q33" s="101">
        <f t="shared" si="31"/>
        <v>193447</v>
      </c>
      <c r="R33" s="101">
        <f t="shared" si="31"/>
        <v>366827</v>
      </c>
      <c r="S33" s="101">
        <f t="shared" si="31"/>
        <v>206458</v>
      </c>
      <c r="T33" s="101">
        <f t="shared" si="31"/>
        <v>573285.3</v>
      </c>
      <c r="U33" s="101">
        <f t="shared" si="31"/>
        <v>234409</v>
      </c>
      <c r="V33" s="101">
        <f t="shared" si="31"/>
        <v>807694</v>
      </c>
      <c r="W33" s="101">
        <f t="shared" si="31"/>
        <v>213916</v>
      </c>
      <c r="X33" s="102">
        <f t="shared" si="31"/>
        <v>211394</v>
      </c>
      <c r="Y33" s="102">
        <f t="shared" si="31"/>
        <v>425311</v>
      </c>
      <c r="Z33" s="102">
        <f t="shared" si="31"/>
        <v>184369</v>
      </c>
      <c r="AA33" s="102">
        <f t="shared" si="31"/>
        <v>609680</v>
      </c>
      <c r="AB33" s="102">
        <f t="shared" ref="AB33:AC33" si="32">SUM(AB29:AB32)-1</f>
        <v>185839</v>
      </c>
      <c r="AC33" s="102">
        <f t="shared" si="32"/>
        <v>795518</v>
      </c>
      <c r="AD33" s="102">
        <f>SUM(AD29:AD32)+1</f>
        <v>178351</v>
      </c>
      <c r="AE33" s="102">
        <f t="shared" ref="AE33:AJ33" si="33">SUM(AE29:AE32)</f>
        <v>209174</v>
      </c>
      <c r="AF33" s="102">
        <f t="shared" si="33"/>
        <v>387524</v>
      </c>
      <c r="AG33" s="102">
        <f t="shared" si="33"/>
        <v>231848</v>
      </c>
      <c r="AH33" s="102">
        <f t="shared" si="33"/>
        <v>619372</v>
      </c>
      <c r="AI33" s="102">
        <f t="shared" si="33"/>
        <v>245291</v>
      </c>
      <c r="AJ33" s="102">
        <f t="shared" si="33"/>
        <v>864663</v>
      </c>
      <c r="AK33" s="63"/>
      <c r="AL33" s="63"/>
    </row>
    <row r="34" ht="12.0" customHeight="1">
      <c r="A34" s="5"/>
      <c r="B34" s="103" t="s">
        <v>106</v>
      </c>
      <c r="C34" s="104">
        <f t="shared" ref="C34:K34" si="34">C33/C28</f>
        <v>0.3667004857</v>
      </c>
      <c r="D34" s="104">
        <f t="shared" si="34"/>
        <v>0.3926707691</v>
      </c>
      <c r="E34" s="104">
        <f t="shared" si="34"/>
        <v>0.4064150648</v>
      </c>
      <c r="F34" s="104">
        <f t="shared" si="34"/>
        <v>0.3975001157</v>
      </c>
      <c r="G34" s="104">
        <f t="shared" si="34"/>
        <v>0.3962210825</v>
      </c>
      <c r="H34" s="104">
        <f t="shared" si="34"/>
        <v>0.3971452736</v>
      </c>
      <c r="I34" s="104">
        <f t="shared" si="34"/>
        <v>0.3854204636</v>
      </c>
      <c r="J34" s="104">
        <f t="shared" si="34"/>
        <v>0.3687889282</v>
      </c>
      <c r="K34" s="104">
        <f t="shared" si="34"/>
        <v>0.3768459295</v>
      </c>
      <c r="L34" s="91" t="s">
        <v>107</v>
      </c>
      <c r="M34" s="105" t="s">
        <v>108</v>
      </c>
      <c r="N34" s="104">
        <f t="shared" ref="N34:AJ34" si="35">N33/N28</f>
        <v>0.3773998783</v>
      </c>
      <c r="O34" s="104">
        <f t="shared" si="35"/>
        <v>0.3755673715</v>
      </c>
      <c r="P34" s="104">
        <f t="shared" si="35"/>
        <v>0.3524917052</v>
      </c>
      <c r="Q34" s="104">
        <f t="shared" si="35"/>
        <v>0.3684599488</v>
      </c>
      <c r="R34" s="104">
        <f t="shared" si="35"/>
        <v>0.3607352636</v>
      </c>
      <c r="S34" s="104">
        <f t="shared" si="35"/>
        <v>0.3693226336</v>
      </c>
      <c r="T34" s="104">
        <f t="shared" si="35"/>
        <v>0.3637816366</v>
      </c>
      <c r="U34" s="104">
        <f t="shared" si="35"/>
        <v>0.3831433218</v>
      </c>
      <c r="V34" s="104">
        <f t="shared" si="35"/>
        <v>0.3691961</v>
      </c>
      <c r="W34" s="104">
        <f t="shared" si="35"/>
        <v>0.3506871413</v>
      </c>
      <c r="X34" s="106">
        <f t="shared" si="35"/>
        <v>0.369678507</v>
      </c>
      <c r="Y34" s="106">
        <f t="shared" si="35"/>
        <v>0.3598767668</v>
      </c>
      <c r="Z34" s="106">
        <f t="shared" si="35"/>
        <v>0.3484689548</v>
      </c>
      <c r="AA34" s="106">
        <f t="shared" si="35"/>
        <v>0.3563490009</v>
      </c>
      <c r="AB34" s="106">
        <f t="shared" si="35"/>
        <v>0.3556318892</v>
      </c>
      <c r="AC34" s="106">
        <f t="shared" si="35"/>
        <v>0.3561809313</v>
      </c>
      <c r="AD34" s="106">
        <f t="shared" si="35"/>
        <v>0.3406837323</v>
      </c>
      <c r="AE34" s="106">
        <f t="shared" si="35"/>
        <v>0.3697927348</v>
      </c>
      <c r="AF34" s="106">
        <f t="shared" si="35"/>
        <v>0.3558004739</v>
      </c>
      <c r="AG34" s="106">
        <f t="shared" si="35"/>
        <v>0.3726501222</v>
      </c>
      <c r="AH34" s="106">
        <f t="shared" si="35"/>
        <v>0.3619262546</v>
      </c>
      <c r="AI34" s="106">
        <f t="shared" si="35"/>
        <v>0.3736304411</v>
      </c>
      <c r="AJ34" s="106">
        <f t="shared" si="35"/>
        <v>0.3651713722</v>
      </c>
      <c r="AK34" s="63"/>
      <c r="AL34" s="63"/>
    </row>
    <row r="35" ht="12.0" customHeight="1">
      <c r="A35" s="5"/>
      <c r="B35" s="107"/>
      <c r="C35" s="87"/>
      <c r="D35" s="87"/>
      <c r="E35" s="98"/>
      <c r="F35" s="58"/>
      <c r="G35" s="87"/>
      <c r="H35" s="87"/>
      <c r="I35" s="87"/>
      <c r="J35" s="87"/>
      <c r="K35" s="87"/>
      <c r="L35" s="98"/>
      <c r="M35" s="58"/>
      <c r="N35" s="58"/>
      <c r="O35" s="58"/>
      <c r="P35" s="58"/>
      <c r="Q35" s="58"/>
      <c r="R35" s="58"/>
      <c r="S35" s="58"/>
      <c r="T35" s="58"/>
      <c r="U35" s="58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63"/>
      <c r="AL35" s="63"/>
    </row>
    <row r="36" ht="12.0" customHeight="1">
      <c r="A36" s="5"/>
      <c r="B36" s="33" t="s">
        <v>109</v>
      </c>
      <c r="C36" s="87"/>
      <c r="D36" s="87"/>
      <c r="E36" s="91"/>
      <c r="F36" s="108"/>
      <c r="G36" s="87"/>
      <c r="H36" s="87"/>
      <c r="I36" s="87"/>
      <c r="J36" s="87"/>
      <c r="K36" s="87"/>
      <c r="L36" s="91"/>
      <c r="M36" s="108"/>
      <c r="N36" s="109"/>
      <c r="O36" s="109"/>
      <c r="P36" s="109"/>
      <c r="Q36" s="109"/>
      <c r="R36" s="109"/>
      <c r="S36" s="109"/>
      <c r="T36" s="109"/>
      <c r="U36" s="109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63"/>
      <c r="AL36" s="63"/>
    </row>
    <row r="37" ht="12.0" customHeight="1">
      <c r="A37" s="5"/>
      <c r="B37" s="107" t="s">
        <v>110</v>
      </c>
      <c r="C37" s="87">
        <f t="shared" ref="C37:AJ37" si="36">C22</f>
        <v>56569</v>
      </c>
      <c r="D37" s="87">
        <f t="shared" si="36"/>
        <v>58713.2</v>
      </c>
      <c r="E37" s="87">
        <f t="shared" si="36"/>
        <v>39538</v>
      </c>
      <c r="F37" s="87">
        <f t="shared" si="36"/>
        <v>98253</v>
      </c>
      <c r="G37" s="87">
        <f t="shared" si="36"/>
        <v>29401</v>
      </c>
      <c r="H37" s="87">
        <f t="shared" si="36"/>
        <v>127654</v>
      </c>
      <c r="I37" s="87">
        <f t="shared" si="36"/>
        <v>39615</v>
      </c>
      <c r="J37" s="87">
        <f t="shared" si="36"/>
        <v>44722</v>
      </c>
      <c r="K37" s="87">
        <f t="shared" si="36"/>
        <v>84337</v>
      </c>
      <c r="L37" s="87">
        <f t="shared" si="36"/>
        <v>-2208</v>
      </c>
      <c r="M37" s="87">
        <f t="shared" si="36"/>
        <v>82129</v>
      </c>
      <c r="N37" s="87">
        <f t="shared" si="36"/>
        <v>43828</v>
      </c>
      <c r="O37" s="87">
        <f t="shared" si="36"/>
        <v>125957</v>
      </c>
      <c r="P37" s="87">
        <f t="shared" si="36"/>
        <v>29223</v>
      </c>
      <c r="Q37" s="87">
        <f t="shared" si="36"/>
        <v>25999</v>
      </c>
      <c r="R37" s="87">
        <f t="shared" si="36"/>
        <v>55222</v>
      </c>
      <c r="S37" s="87">
        <f t="shared" si="36"/>
        <v>40608</v>
      </c>
      <c r="T37" s="87">
        <f t="shared" si="36"/>
        <v>95830</v>
      </c>
      <c r="U37" s="87">
        <f t="shared" si="36"/>
        <v>30086</v>
      </c>
      <c r="V37" s="87">
        <f t="shared" si="36"/>
        <v>95710</v>
      </c>
      <c r="W37" s="87">
        <f t="shared" si="36"/>
        <v>43634</v>
      </c>
      <c r="X37" s="41">
        <f t="shared" si="36"/>
        <v>38968</v>
      </c>
      <c r="Y37" s="41">
        <f t="shared" si="36"/>
        <v>82603</v>
      </c>
      <c r="Z37" s="41">
        <f t="shared" si="36"/>
        <v>27047</v>
      </c>
      <c r="AA37" s="41">
        <f t="shared" si="36"/>
        <v>109650</v>
      </c>
      <c r="AB37" s="41">
        <f t="shared" si="36"/>
        <v>22924</v>
      </c>
      <c r="AC37" s="95">
        <f t="shared" si="36"/>
        <v>132573</v>
      </c>
      <c r="AD37" s="95">
        <f t="shared" si="36"/>
        <v>22409</v>
      </c>
      <c r="AE37" s="95">
        <f t="shared" si="36"/>
        <v>48508</v>
      </c>
      <c r="AF37" s="95">
        <f t="shared" si="36"/>
        <v>70917</v>
      </c>
      <c r="AG37" s="95">
        <f t="shared" si="36"/>
        <v>28573</v>
      </c>
      <c r="AH37" s="95">
        <f t="shared" si="36"/>
        <v>99490</v>
      </c>
      <c r="AI37" s="95">
        <f t="shared" si="36"/>
        <v>61669</v>
      </c>
      <c r="AJ37" s="95">
        <f t="shared" si="36"/>
        <v>161159</v>
      </c>
      <c r="AK37" s="63"/>
      <c r="AL37" s="63"/>
    </row>
    <row r="38" ht="12.0" customHeight="1">
      <c r="A38" s="5"/>
      <c r="B38" s="90" t="s">
        <v>102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63"/>
      <c r="AL38" s="63"/>
    </row>
    <row r="39" ht="12.0" customHeight="1">
      <c r="A39" s="5"/>
      <c r="B39" s="110" t="s">
        <v>111</v>
      </c>
      <c r="C39" s="87">
        <f t="shared" ref="C39:AB39" si="37">-C19</f>
        <v>5911</v>
      </c>
      <c r="D39" s="87">
        <f t="shared" si="37"/>
        <v>12151.6</v>
      </c>
      <c r="E39" s="87">
        <f t="shared" si="37"/>
        <v>1891</v>
      </c>
      <c r="F39" s="87">
        <f t="shared" si="37"/>
        <v>14036</v>
      </c>
      <c r="G39" s="87">
        <f t="shared" si="37"/>
        <v>1417</v>
      </c>
      <c r="H39" s="87">
        <f t="shared" si="37"/>
        <v>15453</v>
      </c>
      <c r="I39" s="87">
        <f t="shared" si="37"/>
        <v>1697</v>
      </c>
      <c r="J39" s="87">
        <f t="shared" si="37"/>
        <v>1989</v>
      </c>
      <c r="K39" s="87">
        <f t="shared" si="37"/>
        <v>3686</v>
      </c>
      <c r="L39" s="87">
        <f t="shared" si="37"/>
        <v>22416</v>
      </c>
      <c r="M39" s="111">
        <f t="shared" si="37"/>
        <v>26102</v>
      </c>
      <c r="N39" s="87">
        <f t="shared" si="37"/>
        <v>8130</v>
      </c>
      <c r="O39" s="87">
        <f t="shared" si="37"/>
        <v>34232</v>
      </c>
      <c r="P39" s="87">
        <f t="shared" si="37"/>
        <v>16712</v>
      </c>
      <c r="Q39" s="87">
        <f t="shared" si="37"/>
        <v>17533</v>
      </c>
      <c r="R39" s="87">
        <f t="shared" si="37"/>
        <v>34245</v>
      </c>
      <c r="S39" s="87">
        <f t="shared" si="37"/>
        <v>7432</v>
      </c>
      <c r="T39" s="87">
        <f t="shared" si="37"/>
        <v>41677</v>
      </c>
      <c r="U39" s="87">
        <f t="shared" si="37"/>
        <v>31969</v>
      </c>
      <c r="V39" s="87">
        <f t="shared" si="37"/>
        <v>73646</v>
      </c>
      <c r="W39" s="87">
        <f t="shared" si="37"/>
        <v>19968</v>
      </c>
      <c r="X39" s="41">
        <f t="shared" si="37"/>
        <v>18482</v>
      </c>
      <c r="Y39" s="41">
        <f t="shared" si="37"/>
        <v>38451</v>
      </c>
      <c r="Z39" s="41">
        <f t="shared" si="37"/>
        <v>20293</v>
      </c>
      <c r="AA39" s="41">
        <f t="shared" si="37"/>
        <v>58743</v>
      </c>
      <c r="AB39" s="41">
        <f t="shared" si="37"/>
        <v>17438</v>
      </c>
      <c r="AC39" s="95">
        <f>SUM(AA39:AB39)</f>
        <v>76181</v>
      </c>
      <c r="AD39" s="95">
        <v>12353.0</v>
      </c>
      <c r="AE39" s="95">
        <f>-AE19</f>
        <v>11613</v>
      </c>
      <c r="AF39" s="95">
        <f t="shared" ref="AF39:AF46" si="40">SUM(AD39:AE39)</f>
        <v>23966</v>
      </c>
      <c r="AG39" s="95">
        <f t="shared" ref="AG39:AI39" si="38">-AG19</f>
        <v>20555</v>
      </c>
      <c r="AH39" s="95">
        <f t="shared" si="38"/>
        <v>44521</v>
      </c>
      <c r="AI39" s="95">
        <f t="shared" si="38"/>
        <v>19917</v>
      </c>
      <c r="AJ39" s="96">
        <v>64438.0</v>
      </c>
      <c r="AK39" s="63"/>
      <c r="AL39" s="63"/>
    </row>
    <row r="40" ht="12.0" customHeight="1">
      <c r="A40" s="5"/>
      <c r="B40" s="93" t="s">
        <v>112</v>
      </c>
      <c r="C40" s="87">
        <f t="shared" ref="C40:AB40" si="39">-C21</f>
        <v>29219</v>
      </c>
      <c r="D40" s="87">
        <f t="shared" si="39"/>
        <v>29901</v>
      </c>
      <c r="E40" s="87">
        <f t="shared" si="39"/>
        <v>16386</v>
      </c>
      <c r="F40" s="87">
        <f t="shared" si="39"/>
        <v>46287</v>
      </c>
      <c r="G40" s="87">
        <f t="shared" si="39"/>
        <v>18850</v>
      </c>
      <c r="H40" s="87">
        <f t="shared" si="39"/>
        <v>65137</v>
      </c>
      <c r="I40" s="87">
        <f t="shared" si="39"/>
        <v>20235</v>
      </c>
      <c r="J40" s="87">
        <f t="shared" si="39"/>
        <v>18423</v>
      </c>
      <c r="K40" s="87">
        <f t="shared" si="39"/>
        <v>38658</v>
      </c>
      <c r="L40" s="87">
        <f t="shared" si="39"/>
        <v>18857</v>
      </c>
      <c r="M40" s="111">
        <f t="shared" si="39"/>
        <v>57515</v>
      </c>
      <c r="N40" s="87">
        <f t="shared" si="39"/>
        <v>26902</v>
      </c>
      <c r="O40" s="87">
        <f t="shared" si="39"/>
        <v>84417</v>
      </c>
      <c r="P40" s="87">
        <f t="shared" si="39"/>
        <v>15314</v>
      </c>
      <c r="Q40" s="87">
        <f t="shared" si="39"/>
        <v>18016</v>
      </c>
      <c r="R40" s="87">
        <f t="shared" si="39"/>
        <v>33330</v>
      </c>
      <c r="S40" s="87">
        <f t="shared" si="39"/>
        <v>16537</v>
      </c>
      <c r="T40" s="87">
        <f t="shared" si="39"/>
        <v>49867</v>
      </c>
      <c r="U40" s="87">
        <f t="shared" si="39"/>
        <v>24489</v>
      </c>
      <c r="V40" s="87">
        <f t="shared" si="39"/>
        <v>104562</v>
      </c>
      <c r="W40" s="87">
        <f t="shared" si="39"/>
        <v>20471</v>
      </c>
      <c r="X40" s="41">
        <f t="shared" si="39"/>
        <v>20169</v>
      </c>
      <c r="Y40" s="41">
        <f t="shared" si="39"/>
        <v>40640</v>
      </c>
      <c r="Z40" s="41">
        <f t="shared" si="39"/>
        <v>22279</v>
      </c>
      <c r="AA40" s="41">
        <f t="shared" si="39"/>
        <v>62919</v>
      </c>
      <c r="AB40" s="41">
        <f t="shared" si="39"/>
        <v>13803</v>
      </c>
      <c r="AC40" s="95">
        <v>76722.0</v>
      </c>
      <c r="AD40" s="95">
        <v>16810.0</v>
      </c>
      <c r="AE40" s="95">
        <f>-AE21</f>
        <v>16885</v>
      </c>
      <c r="AF40" s="95">
        <f t="shared" si="40"/>
        <v>33695</v>
      </c>
      <c r="AG40" s="95">
        <f t="shared" ref="AG40:AI40" si="41">-AG21</f>
        <v>29153</v>
      </c>
      <c r="AH40" s="95">
        <f t="shared" si="41"/>
        <v>62848</v>
      </c>
      <c r="AI40" s="95">
        <f t="shared" si="41"/>
        <v>12454</v>
      </c>
      <c r="AJ40" s="96">
        <v>75302.0</v>
      </c>
      <c r="AK40" s="63"/>
      <c r="AL40" s="63"/>
    </row>
    <row r="41" ht="12.0" customHeight="1">
      <c r="A41" s="5"/>
      <c r="B41" s="110" t="s">
        <v>113</v>
      </c>
      <c r="C41" s="87">
        <v>25577.0</v>
      </c>
      <c r="D41" s="87">
        <v>14894.0</v>
      </c>
      <c r="E41" s="87">
        <v>7559.0</v>
      </c>
      <c r="F41" s="88">
        <v>22452.0</v>
      </c>
      <c r="G41" s="87">
        <v>7429.0</v>
      </c>
      <c r="H41" s="87">
        <v>29882.0</v>
      </c>
      <c r="I41" s="87">
        <v>7795.0</v>
      </c>
      <c r="J41" s="87">
        <v>8224.0</v>
      </c>
      <c r="K41" s="87">
        <v>16019.0</v>
      </c>
      <c r="L41" s="94">
        <v>14083.0</v>
      </c>
      <c r="M41" s="111">
        <v>30102.0</v>
      </c>
      <c r="N41" s="89">
        <v>18251.0</v>
      </c>
      <c r="O41" s="89">
        <v>48354.0</v>
      </c>
      <c r="P41" s="89">
        <v>19390.0</v>
      </c>
      <c r="Q41" s="89">
        <v>24205.0</v>
      </c>
      <c r="R41" s="89">
        <v>43596.0</v>
      </c>
      <c r="S41" s="89">
        <v>23558.0</v>
      </c>
      <c r="T41" s="89">
        <v>67154.0</v>
      </c>
      <c r="U41" s="89">
        <v>27404.0</v>
      </c>
      <c r="V41" s="95">
        <v>94558.0</v>
      </c>
      <c r="W41" s="95">
        <v>25053.0</v>
      </c>
      <c r="X41" s="95">
        <v>23056.0</v>
      </c>
      <c r="Y41" s="95">
        <v>48109.0</v>
      </c>
      <c r="Z41" s="95">
        <v>22871.0</v>
      </c>
      <c r="AA41" s="95">
        <v>70980.0</v>
      </c>
      <c r="AB41" s="95">
        <v>22233.0</v>
      </c>
      <c r="AC41" s="95">
        <f t="shared" ref="AC41:AC42" si="42">SUM(AA41:AB41)</f>
        <v>93213</v>
      </c>
      <c r="AD41" s="95">
        <v>21876.0</v>
      </c>
      <c r="AE41" s="95">
        <v>23386.0</v>
      </c>
      <c r="AF41" s="95">
        <f t="shared" si="40"/>
        <v>45262</v>
      </c>
      <c r="AG41" s="95">
        <v>23857.0</v>
      </c>
      <c r="AH41" s="95">
        <f t="shared" ref="AH41:AH43" si="43">SUM(AF41:AG41)</f>
        <v>69119</v>
      </c>
      <c r="AI41" s="96">
        <v>21313.0</v>
      </c>
      <c r="AJ41" s="96">
        <v>90431.0</v>
      </c>
      <c r="AK41" s="63"/>
      <c r="AL41" s="63"/>
    </row>
    <row r="42" ht="12.0" customHeight="1">
      <c r="A42" s="5"/>
      <c r="B42" s="93" t="s">
        <v>114</v>
      </c>
      <c r="C42" s="111">
        <v>3199.0</v>
      </c>
      <c r="D42" s="111">
        <v>520.3</v>
      </c>
      <c r="E42" s="112">
        <v>213.0</v>
      </c>
      <c r="F42" s="113">
        <v>733.0</v>
      </c>
      <c r="G42" s="111">
        <v>201.0</v>
      </c>
      <c r="H42" s="111">
        <v>934.0</v>
      </c>
      <c r="I42" s="111">
        <v>173.0</v>
      </c>
      <c r="J42" s="111">
        <v>328.0</v>
      </c>
      <c r="K42" s="111">
        <v>501.0</v>
      </c>
      <c r="L42" s="112">
        <v>193.0</v>
      </c>
      <c r="M42" s="111">
        <v>693.0</v>
      </c>
      <c r="N42" s="114">
        <v>1838.0</v>
      </c>
      <c r="O42" s="114">
        <v>2531.0</v>
      </c>
      <c r="P42" s="114">
        <v>1239.09</v>
      </c>
      <c r="Q42" s="115">
        <v>-106.0</v>
      </c>
      <c r="R42" s="114">
        <v>1133.0</v>
      </c>
      <c r="S42" s="114">
        <v>761.0</v>
      </c>
      <c r="T42" s="114">
        <v>1894.0</v>
      </c>
      <c r="U42" s="87">
        <v>3592.0</v>
      </c>
      <c r="V42" s="95">
        <v>5486.0</v>
      </c>
      <c r="W42" s="95">
        <v>5393.442</v>
      </c>
      <c r="X42" s="95">
        <v>9719.0</v>
      </c>
      <c r="Y42" s="95">
        <f>15113-1</f>
        <v>15112</v>
      </c>
      <c r="Z42" s="95">
        <v>6627.0</v>
      </c>
      <c r="AA42" s="95">
        <v>21740.0</v>
      </c>
      <c r="AB42" s="95">
        <v>6376.0</v>
      </c>
      <c r="AC42" s="95">
        <f t="shared" si="42"/>
        <v>28116</v>
      </c>
      <c r="AD42" s="95">
        <v>3772.0</v>
      </c>
      <c r="AE42" s="95">
        <v>6679.0</v>
      </c>
      <c r="AF42" s="95">
        <f t="shared" si="40"/>
        <v>10451</v>
      </c>
      <c r="AG42" s="95">
        <v>10848.0</v>
      </c>
      <c r="AH42" s="95">
        <f t="shared" si="43"/>
        <v>21299</v>
      </c>
      <c r="AI42" s="96">
        <v>9143.0</v>
      </c>
      <c r="AJ42" s="96">
        <v>30441.5</v>
      </c>
      <c r="AK42" s="63"/>
      <c r="AL42" s="63"/>
    </row>
    <row r="43" ht="12.0" customHeight="1">
      <c r="A43" s="5"/>
      <c r="B43" s="93" t="s">
        <v>115</v>
      </c>
      <c r="C43" s="111">
        <v>858.0</v>
      </c>
      <c r="D43" s="111">
        <v>0.0</v>
      </c>
      <c r="E43" s="116">
        <v>320.0</v>
      </c>
      <c r="F43" s="116">
        <v>320.0</v>
      </c>
      <c r="G43" s="111">
        <v>108.0</v>
      </c>
      <c r="H43" s="111">
        <v>446.0</v>
      </c>
      <c r="I43" s="111">
        <v>225.0</v>
      </c>
      <c r="J43" s="111">
        <v>237.0</v>
      </c>
      <c r="K43" s="111">
        <v>462.0</v>
      </c>
      <c r="L43" s="114">
        <v>4895.0</v>
      </c>
      <c r="M43" s="111">
        <f>SUM(K43:L43)</f>
        <v>5357</v>
      </c>
      <c r="N43" s="114">
        <v>3821.0</v>
      </c>
      <c r="O43" s="13">
        <v>2200.0</v>
      </c>
      <c r="P43" s="111">
        <v>0.0</v>
      </c>
      <c r="Q43" s="114">
        <v>6395.0</v>
      </c>
      <c r="R43" s="114">
        <v>9090.0</v>
      </c>
      <c r="S43" s="111">
        <v>0.0</v>
      </c>
      <c r="T43" s="111">
        <v>0.0</v>
      </c>
      <c r="U43" s="111">
        <v>0.0</v>
      </c>
      <c r="V43" s="111">
        <v>0.0</v>
      </c>
      <c r="W43" s="111">
        <v>0.0</v>
      </c>
      <c r="X43" s="41">
        <v>0.0</v>
      </c>
      <c r="Y43" s="41">
        <v>0.0</v>
      </c>
      <c r="Z43" s="41">
        <v>0.0</v>
      </c>
      <c r="AA43" s="41">
        <v>0.0</v>
      </c>
      <c r="AB43" s="41">
        <v>0.0</v>
      </c>
      <c r="AC43" s="41">
        <v>0.0</v>
      </c>
      <c r="AD43" s="41">
        <v>0.0</v>
      </c>
      <c r="AE43" s="41">
        <v>0.0</v>
      </c>
      <c r="AF43" s="41">
        <f t="shared" si="40"/>
        <v>0</v>
      </c>
      <c r="AG43" s="41">
        <v>0.0</v>
      </c>
      <c r="AH43" s="41">
        <f t="shared" si="43"/>
        <v>0</v>
      </c>
      <c r="AI43" s="44">
        <v>0.0</v>
      </c>
      <c r="AJ43" s="117">
        <v>0.0</v>
      </c>
      <c r="AK43" s="63"/>
      <c r="AL43" s="63"/>
    </row>
    <row r="44" ht="12.0" customHeight="1">
      <c r="A44" s="5"/>
      <c r="B44" s="93" t="s">
        <v>116</v>
      </c>
      <c r="C44" s="111">
        <v>-3.0</v>
      </c>
      <c r="D44" s="111">
        <v>-644.7</v>
      </c>
      <c r="E44" s="111">
        <v>-673.0</v>
      </c>
      <c r="F44" s="111">
        <v>-1318.0</v>
      </c>
      <c r="G44" s="111">
        <v>-253.0</v>
      </c>
      <c r="H44" s="111">
        <v>-1571.0</v>
      </c>
      <c r="I44" s="111">
        <v>-1405.0</v>
      </c>
      <c r="J44" s="111">
        <v>-9.0</v>
      </c>
      <c r="K44" s="111">
        <v>-1414.0</v>
      </c>
      <c r="L44" s="111">
        <v>-4.0</v>
      </c>
      <c r="M44" s="111">
        <v>-1418.0</v>
      </c>
      <c r="N44" s="111">
        <v>-1063.0</v>
      </c>
      <c r="O44" s="41">
        <v>-2481.0</v>
      </c>
      <c r="P44" s="111">
        <v>-58.0</v>
      </c>
      <c r="Q44" s="111">
        <v>-115.0</v>
      </c>
      <c r="R44" s="111">
        <v>-174.0</v>
      </c>
      <c r="S44" s="111">
        <v>-204.0</v>
      </c>
      <c r="T44" s="111">
        <v>-378.0</v>
      </c>
      <c r="U44" s="111">
        <v>-764.0</v>
      </c>
      <c r="V44" s="111">
        <v>-1141.0</v>
      </c>
      <c r="W44" s="111">
        <v>-140.0</v>
      </c>
      <c r="X44" s="41">
        <v>-137.0</v>
      </c>
      <c r="Y44" s="41">
        <v>-277.0</v>
      </c>
      <c r="Z44" s="41">
        <v>-29.0</v>
      </c>
      <c r="AA44" s="41">
        <v>-306.0</v>
      </c>
      <c r="AB44" s="41">
        <v>-624.0</v>
      </c>
      <c r="AC44" s="41">
        <f>SUM(AA44:AB44)-1</f>
        <v>-931</v>
      </c>
      <c r="AD44" s="41">
        <v>-71.0</v>
      </c>
      <c r="AE44" s="41">
        <v>-315.0</v>
      </c>
      <c r="AF44" s="41">
        <f t="shared" si="40"/>
        <v>-386</v>
      </c>
      <c r="AG44" s="41">
        <v>-909.0</v>
      </c>
      <c r="AH44" s="41">
        <v>-1296.0</v>
      </c>
      <c r="AI44" s="44">
        <v>-26.0</v>
      </c>
      <c r="AJ44" s="118">
        <v>-1321.6</v>
      </c>
      <c r="AK44" s="63"/>
      <c r="AL44" s="63"/>
    </row>
    <row r="45" ht="12.0" customHeight="1">
      <c r="A45" s="5"/>
      <c r="B45" s="93" t="s">
        <v>117</v>
      </c>
      <c r="C45" s="111">
        <v>0.0</v>
      </c>
      <c r="D45" s="111">
        <v>0.0</v>
      </c>
      <c r="E45" s="111">
        <v>0.0</v>
      </c>
      <c r="F45" s="111">
        <v>0.0</v>
      </c>
      <c r="G45" s="111">
        <v>0.0</v>
      </c>
      <c r="H45" s="111">
        <v>0.0</v>
      </c>
      <c r="I45" s="111">
        <v>0.0</v>
      </c>
      <c r="J45" s="111">
        <v>0.0</v>
      </c>
      <c r="K45" s="111">
        <v>0.0</v>
      </c>
      <c r="L45" s="114">
        <v>21818.0</v>
      </c>
      <c r="M45" s="111">
        <v>21818.0</v>
      </c>
      <c r="N45" s="114">
        <v>77.0</v>
      </c>
      <c r="O45" s="13">
        <v>21895.0</v>
      </c>
      <c r="P45" s="111">
        <v>0.0</v>
      </c>
      <c r="Q45" s="111">
        <v>0.0</v>
      </c>
      <c r="R45" s="111">
        <v>0.0</v>
      </c>
      <c r="S45" s="111">
        <v>0.0</v>
      </c>
      <c r="T45" s="111">
        <v>0.0</v>
      </c>
      <c r="U45" s="111">
        <v>0.0</v>
      </c>
      <c r="V45" s="111">
        <v>0.0</v>
      </c>
      <c r="W45" s="111">
        <v>0.0</v>
      </c>
      <c r="X45" s="41">
        <v>0.0</v>
      </c>
      <c r="Y45" s="41">
        <v>0.0</v>
      </c>
      <c r="Z45" s="41">
        <v>0.0</v>
      </c>
      <c r="AA45" s="41">
        <v>0.0</v>
      </c>
      <c r="AB45" s="41">
        <v>0.0</v>
      </c>
      <c r="AC45" s="41">
        <v>0.0</v>
      </c>
      <c r="AD45" s="41">
        <v>0.0</v>
      </c>
      <c r="AE45" s="41">
        <v>0.0</v>
      </c>
      <c r="AF45" s="41">
        <f t="shared" si="40"/>
        <v>0</v>
      </c>
      <c r="AG45" s="41">
        <v>0.0</v>
      </c>
      <c r="AH45" s="41">
        <f t="shared" ref="AH45:AH46" si="44">SUM(AF45:AG45)</f>
        <v>0</v>
      </c>
      <c r="AI45" s="44">
        <v>0.0</v>
      </c>
      <c r="AJ45" s="44">
        <v>0.0</v>
      </c>
      <c r="AK45" s="63"/>
      <c r="AL45" s="63"/>
    </row>
    <row r="46" ht="12.0" customHeight="1">
      <c r="A46" s="5"/>
      <c r="B46" s="93" t="s">
        <v>118</v>
      </c>
      <c r="C46" s="111">
        <v>0.0</v>
      </c>
      <c r="D46" s="111">
        <v>0.0</v>
      </c>
      <c r="E46" s="111">
        <v>0.0</v>
      </c>
      <c r="F46" s="111">
        <v>0.0</v>
      </c>
      <c r="G46" s="111">
        <v>0.0</v>
      </c>
      <c r="H46" s="111">
        <v>0.0</v>
      </c>
      <c r="I46" s="111">
        <v>0.0</v>
      </c>
      <c r="J46" s="111">
        <v>0.0</v>
      </c>
      <c r="K46" s="111">
        <v>0.0</v>
      </c>
      <c r="L46" s="111">
        <v>0.0</v>
      </c>
      <c r="M46" s="119">
        <f t="shared" ref="M46:M47" si="45">SUM(K46:L46)</f>
        <v>0</v>
      </c>
      <c r="N46" s="119">
        <v>0.0</v>
      </c>
      <c r="O46" s="41">
        <v>6957.0</v>
      </c>
      <c r="P46" s="114">
        <v>2694.66</v>
      </c>
      <c r="Q46" s="111">
        <v>8464.0</v>
      </c>
      <c r="R46" s="111">
        <v>8464.0</v>
      </c>
      <c r="S46" s="111">
        <v>16497.0</v>
      </c>
      <c r="T46" s="111">
        <v>34051.0</v>
      </c>
      <c r="U46" s="111">
        <v>10601.0</v>
      </c>
      <c r="V46" s="95">
        <v>44652.0</v>
      </c>
      <c r="W46" s="95">
        <v>2124.1387</v>
      </c>
      <c r="X46" s="95">
        <v>3965.0</v>
      </c>
      <c r="Y46" s="95">
        <v>6089.0</v>
      </c>
      <c r="Z46" s="73">
        <v>-1341.0</v>
      </c>
      <c r="AA46" s="95">
        <v>4748.0</v>
      </c>
      <c r="AB46" s="95">
        <v>436.0</v>
      </c>
      <c r="AC46" s="95">
        <f t="shared" ref="AC46:AC47" si="46">SUM(AA46:AB46)</f>
        <v>5184</v>
      </c>
      <c r="AD46" s="95">
        <v>1350.0</v>
      </c>
      <c r="AE46" s="95">
        <v>1513.0</v>
      </c>
      <c r="AF46" s="41">
        <f t="shared" si="40"/>
        <v>2863</v>
      </c>
      <c r="AG46" s="41">
        <v>3906.0</v>
      </c>
      <c r="AH46" s="41">
        <f t="shared" si="44"/>
        <v>6769</v>
      </c>
      <c r="AI46" s="44">
        <v>-1732.0</v>
      </c>
      <c r="AJ46" s="118">
        <v>5037.6</v>
      </c>
      <c r="AK46" s="63"/>
      <c r="AL46" s="63"/>
    </row>
    <row r="47" ht="12.0" customHeight="1">
      <c r="A47" s="5"/>
      <c r="B47" s="93" t="s">
        <v>119</v>
      </c>
      <c r="C47" s="111">
        <v>0.0</v>
      </c>
      <c r="D47" s="111">
        <v>0.0</v>
      </c>
      <c r="E47" s="111">
        <v>0.0</v>
      </c>
      <c r="F47" s="111">
        <v>0.0</v>
      </c>
      <c r="G47" s="111">
        <v>0.0</v>
      </c>
      <c r="H47" s="111">
        <v>0.0</v>
      </c>
      <c r="I47" s="111">
        <v>0.0</v>
      </c>
      <c r="J47" s="111">
        <v>0.0</v>
      </c>
      <c r="K47" s="111">
        <v>0.0</v>
      </c>
      <c r="L47" s="111">
        <v>0.0</v>
      </c>
      <c r="M47" s="119">
        <f t="shared" si="45"/>
        <v>0</v>
      </c>
      <c r="N47" s="119">
        <v>0.0</v>
      </c>
      <c r="O47" s="120">
        <f>SUM(M47:N47)</f>
        <v>0</v>
      </c>
      <c r="P47" s="111">
        <v>0.0</v>
      </c>
      <c r="Q47" s="111">
        <v>0.0</v>
      </c>
      <c r="R47" s="111">
        <f>SUM(P47:Q47)</f>
        <v>0</v>
      </c>
      <c r="S47" s="121">
        <v>0.0</v>
      </c>
      <c r="T47" s="121">
        <f>SUM(R47:S47)</f>
        <v>0</v>
      </c>
      <c r="U47" s="111">
        <v>0.0</v>
      </c>
      <c r="V47" s="111">
        <v>0.0</v>
      </c>
      <c r="W47" s="111">
        <v>0.0</v>
      </c>
      <c r="X47" s="41">
        <v>0.0</v>
      </c>
      <c r="Y47" s="122">
        <f>SUM(W47:X47)</f>
        <v>0</v>
      </c>
      <c r="Z47" s="41">
        <v>0.0</v>
      </c>
      <c r="AA47" s="41">
        <v>0.0</v>
      </c>
      <c r="AB47" s="95">
        <v>20997.0</v>
      </c>
      <c r="AC47" s="95">
        <f t="shared" si="46"/>
        <v>20997</v>
      </c>
      <c r="AD47" s="95">
        <v>5758.0</v>
      </c>
      <c r="AE47" s="95">
        <v>428.0</v>
      </c>
      <c r="AF47" s="41">
        <f>SUM(AD47:AE47)+1</f>
        <v>6187</v>
      </c>
      <c r="AG47" s="41">
        <v>5401.0</v>
      </c>
      <c r="AH47" s="41">
        <v>11587.0</v>
      </c>
      <c r="AI47" s="44">
        <v>5364.0</v>
      </c>
      <c r="AJ47" s="118">
        <v>16951.9</v>
      </c>
      <c r="AK47" s="63"/>
      <c r="AL47" s="63"/>
    </row>
    <row r="48" ht="12.0" customHeight="1">
      <c r="A48" s="5"/>
      <c r="B48" s="93" t="s">
        <v>120</v>
      </c>
      <c r="C48" s="111">
        <v>14891.0</v>
      </c>
      <c r="D48" s="111">
        <v>0.0</v>
      </c>
      <c r="E48" s="111">
        <v>0.0</v>
      </c>
      <c r="F48" s="111">
        <v>0.0</v>
      </c>
      <c r="G48" s="111">
        <v>0.0</v>
      </c>
      <c r="H48" s="111">
        <v>-18.0</v>
      </c>
      <c r="I48" s="111">
        <v>0.0</v>
      </c>
      <c r="J48" s="111">
        <v>0.0</v>
      </c>
      <c r="K48" s="111">
        <v>0.0</v>
      </c>
      <c r="L48" s="111">
        <v>0.0</v>
      </c>
      <c r="M48" s="119">
        <v>0.0</v>
      </c>
      <c r="N48" s="119">
        <v>0.0</v>
      </c>
      <c r="O48" s="120">
        <v>0.0</v>
      </c>
      <c r="P48" s="111">
        <v>0.0</v>
      </c>
      <c r="Q48" s="111">
        <v>0.0</v>
      </c>
      <c r="R48" s="111">
        <v>1547.5</v>
      </c>
      <c r="S48" s="121">
        <v>0.0</v>
      </c>
      <c r="T48" s="121">
        <v>0.0</v>
      </c>
      <c r="U48" s="111">
        <v>0.0</v>
      </c>
      <c r="V48" s="111">
        <v>0.0</v>
      </c>
      <c r="W48" s="111">
        <v>0.0</v>
      </c>
      <c r="X48" s="41">
        <v>0.0</v>
      </c>
      <c r="Y48" s="41">
        <v>0.0</v>
      </c>
      <c r="Z48" s="41">
        <v>0.0</v>
      </c>
      <c r="AA48" s="41">
        <v>0.0</v>
      </c>
      <c r="AB48" s="41">
        <v>0.0</v>
      </c>
      <c r="AC48" s="41">
        <v>0.0</v>
      </c>
      <c r="AD48" s="41">
        <v>0.0</v>
      </c>
      <c r="AE48" s="41">
        <v>0.0</v>
      </c>
      <c r="AF48" s="41">
        <f>SUM(AD48:AE48)</f>
        <v>0</v>
      </c>
      <c r="AG48" s="41">
        <v>0.0</v>
      </c>
      <c r="AH48" s="41">
        <f t="shared" ref="AH48:AJ48" si="47">SUM(AF48:AG48)</f>
        <v>0</v>
      </c>
      <c r="AI48" s="41">
        <f t="shared" si="47"/>
        <v>0</v>
      </c>
      <c r="AJ48" s="123">
        <f t="shared" si="47"/>
        <v>0</v>
      </c>
      <c r="AK48" s="63"/>
      <c r="AL48" s="63"/>
    </row>
    <row r="49" ht="12.0" customHeight="1">
      <c r="A49" s="5"/>
      <c r="B49" s="33" t="s">
        <v>121</v>
      </c>
      <c r="C49" s="124">
        <f t="shared" ref="C49:K49" si="48">SUM(C37:C48)</f>
        <v>136221</v>
      </c>
      <c r="D49" s="124">
        <f t="shared" si="48"/>
        <v>115535.4</v>
      </c>
      <c r="E49" s="124">
        <f t="shared" si="48"/>
        <v>65234</v>
      </c>
      <c r="F49" s="124">
        <f t="shared" si="48"/>
        <v>180763</v>
      </c>
      <c r="G49" s="124">
        <f t="shared" si="48"/>
        <v>57153</v>
      </c>
      <c r="H49" s="124">
        <f t="shared" si="48"/>
        <v>237917</v>
      </c>
      <c r="I49" s="124">
        <f t="shared" si="48"/>
        <v>68335</v>
      </c>
      <c r="J49" s="124">
        <f t="shared" si="48"/>
        <v>73914</v>
      </c>
      <c r="K49" s="124">
        <f t="shared" si="48"/>
        <v>142249</v>
      </c>
      <c r="L49" s="124">
        <f>SUM(L37:L48)-2</f>
        <v>80048</v>
      </c>
      <c r="M49" s="124">
        <f t="shared" ref="M49:U49" si="49">SUM(M37:M48)</f>
        <v>222298</v>
      </c>
      <c r="N49" s="124">
        <f t="shared" si="49"/>
        <v>101784</v>
      </c>
      <c r="O49" s="102">
        <f t="shared" si="49"/>
        <v>324062</v>
      </c>
      <c r="P49" s="124">
        <f t="shared" si="49"/>
        <v>84514.75</v>
      </c>
      <c r="Q49" s="124">
        <f t="shared" si="49"/>
        <v>100391</v>
      </c>
      <c r="R49" s="124">
        <f t="shared" si="49"/>
        <v>186453.5</v>
      </c>
      <c r="S49" s="124">
        <f t="shared" si="49"/>
        <v>105189</v>
      </c>
      <c r="T49" s="125">
        <f t="shared" si="49"/>
        <v>290095</v>
      </c>
      <c r="U49" s="125">
        <f t="shared" si="49"/>
        <v>127377</v>
      </c>
      <c r="V49" s="125">
        <f>SUM(V37:V48)-1</f>
        <v>417472</v>
      </c>
      <c r="W49" s="125">
        <f t="shared" ref="W49:AA49" si="50">SUM(W37:W48)</f>
        <v>116503.5807</v>
      </c>
      <c r="X49" s="126">
        <f t="shared" si="50"/>
        <v>114222</v>
      </c>
      <c r="Y49" s="126">
        <f t="shared" si="50"/>
        <v>230727</v>
      </c>
      <c r="Z49" s="126">
        <f t="shared" si="50"/>
        <v>97747</v>
      </c>
      <c r="AA49" s="126">
        <f t="shared" si="50"/>
        <v>328474</v>
      </c>
      <c r="AB49" s="126">
        <f>SUM(AB37:AB48)-1</f>
        <v>103582</v>
      </c>
      <c r="AC49" s="126">
        <f t="shared" ref="AC49:AD49" si="51">SUM(AC37:AC48)+1</f>
        <v>432056</v>
      </c>
      <c r="AD49" s="126">
        <f t="shared" si="51"/>
        <v>84258</v>
      </c>
      <c r="AE49" s="126">
        <f>SUM(AE37:AE48)</f>
        <v>108697</v>
      </c>
      <c r="AF49" s="126">
        <f>SUM(AF37:AF48)-1</f>
        <v>192954</v>
      </c>
      <c r="AG49" s="126">
        <f t="shared" ref="AG49:AJ49" si="52">SUM(AG37:AG48)</f>
        <v>121384</v>
      </c>
      <c r="AH49" s="126">
        <f t="shared" si="52"/>
        <v>314337</v>
      </c>
      <c r="AI49" s="126">
        <f t="shared" si="52"/>
        <v>128102</v>
      </c>
      <c r="AJ49" s="127">
        <f t="shared" si="52"/>
        <v>442439.4</v>
      </c>
      <c r="AK49" s="63"/>
      <c r="AL49" s="63"/>
    </row>
    <row r="50" ht="12.0" customHeight="1">
      <c r="A50" s="5"/>
      <c r="B50" s="33" t="s">
        <v>122</v>
      </c>
      <c r="C50" s="128">
        <f t="shared" ref="C50:AJ50" si="53">C49/C28</f>
        <v>0.2011731816</v>
      </c>
      <c r="D50" s="128">
        <f t="shared" si="53"/>
        <v>0.2577451554</v>
      </c>
      <c r="E50" s="128">
        <f t="shared" si="53"/>
        <v>0.2685665117</v>
      </c>
      <c r="F50" s="128">
        <f t="shared" si="53"/>
        <v>0.2615387064</v>
      </c>
      <c r="G50" s="128">
        <f t="shared" si="53"/>
        <v>0.2153734262</v>
      </c>
      <c r="H50" s="128">
        <f t="shared" si="53"/>
        <v>0.2487321214</v>
      </c>
      <c r="I50" s="128">
        <f t="shared" si="53"/>
        <v>0.2306339692</v>
      </c>
      <c r="J50" s="128">
        <f t="shared" si="53"/>
        <v>0.2344065152</v>
      </c>
      <c r="K50" s="128">
        <f t="shared" si="53"/>
        <v>0.2325789384</v>
      </c>
      <c r="L50" s="128">
        <f t="shared" si="53"/>
        <v>0.2129106046</v>
      </c>
      <c r="M50" s="128">
        <f t="shared" si="53"/>
        <v>0.2250922958</v>
      </c>
      <c r="N50" s="128">
        <f t="shared" si="53"/>
        <v>0.2228225415</v>
      </c>
      <c r="O50" s="106">
        <f t="shared" si="53"/>
        <v>0.2243606253</v>
      </c>
      <c r="P50" s="128">
        <f t="shared" si="53"/>
        <v>0.171822649</v>
      </c>
      <c r="Q50" s="128">
        <f t="shared" si="53"/>
        <v>0.1912154891</v>
      </c>
      <c r="R50" s="128">
        <f t="shared" si="53"/>
        <v>0.1833571478</v>
      </c>
      <c r="S50" s="128">
        <f t="shared" si="53"/>
        <v>0.1881674651</v>
      </c>
      <c r="T50" s="129">
        <f t="shared" si="53"/>
        <v>0.1840815278</v>
      </c>
      <c r="U50" s="129">
        <f t="shared" si="53"/>
        <v>0.2081986908</v>
      </c>
      <c r="V50" s="129">
        <f t="shared" si="53"/>
        <v>0.1908260236</v>
      </c>
      <c r="W50" s="129">
        <f t="shared" si="53"/>
        <v>0.1909922945</v>
      </c>
      <c r="X50" s="130">
        <f t="shared" si="53"/>
        <v>0.1997474783</v>
      </c>
      <c r="Y50" s="130">
        <f t="shared" si="53"/>
        <v>0.1952295773</v>
      </c>
      <c r="Z50" s="130">
        <f t="shared" si="53"/>
        <v>0.1847479507</v>
      </c>
      <c r="AA50" s="130">
        <f t="shared" si="53"/>
        <v>0.1919882261</v>
      </c>
      <c r="AB50" s="130">
        <f t="shared" si="53"/>
        <v>0.1982203001</v>
      </c>
      <c r="AC50" s="130">
        <f t="shared" si="53"/>
        <v>0.1934464192</v>
      </c>
      <c r="AD50" s="130">
        <f t="shared" si="53"/>
        <v>0.1609485224</v>
      </c>
      <c r="AE50" s="130">
        <f t="shared" si="53"/>
        <v>0.1921623189</v>
      </c>
      <c r="AF50" s="130">
        <f t="shared" si="53"/>
        <v>0.1771583815</v>
      </c>
      <c r="AG50" s="130">
        <f t="shared" si="53"/>
        <v>0.1951009387</v>
      </c>
      <c r="AH50" s="130">
        <f t="shared" si="53"/>
        <v>0.1836809108</v>
      </c>
      <c r="AI50" s="130">
        <f t="shared" si="53"/>
        <v>0.1951266323</v>
      </c>
      <c r="AJ50" s="130">
        <f t="shared" si="53"/>
        <v>0.186854535</v>
      </c>
      <c r="AK50" s="63"/>
      <c r="AL50" s="63"/>
    </row>
    <row r="51" ht="12.0" customHeight="1">
      <c r="A51" s="5"/>
      <c r="B51" s="40"/>
      <c r="C51" s="111"/>
      <c r="D51" s="111"/>
      <c r="E51" s="131"/>
      <c r="F51" s="131"/>
      <c r="G51" s="111"/>
      <c r="H51" s="111"/>
      <c r="I51" s="111"/>
      <c r="J51" s="111"/>
      <c r="K51" s="111"/>
      <c r="L51" s="131"/>
      <c r="M51" s="131"/>
      <c r="N51" s="131"/>
      <c r="O51" s="132"/>
      <c r="P51" s="131"/>
      <c r="Q51" s="131"/>
      <c r="R51" s="131"/>
      <c r="S51" s="131"/>
      <c r="T51" s="131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63"/>
      <c r="AL51" s="63"/>
    </row>
    <row r="52" ht="12.0" customHeight="1">
      <c r="A52" s="5"/>
      <c r="B52" s="33" t="s">
        <v>123</v>
      </c>
      <c r="C52" s="111"/>
      <c r="D52" s="111"/>
      <c r="E52" s="133"/>
      <c r="F52" s="34"/>
      <c r="G52" s="111"/>
      <c r="H52" s="111"/>
      <c r="I52" s="111"/>
      <c r="J52" s="111"/>
      <c r="K52" s="111"/>
      <c r="L52" s="133"/>
      <c r="M52" s="34"/>
      <c r="N52" s="134"/>
      <c r="O52" s="135"/>
      <c r="P52" s="134"/>
      <c r="Q52" s="134"/>
      <c r="R52" s="134"/>
      <c r="S52" s="134"/>
      <c r="T52" s="134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63"/>
      <c r="AL52" s="63"/>
    </row>
    <row r="53" ht="12.0" customHeight="1">
      <c r="A53" s="5"/>
      <c r="B53" s="40" t="s">
        <v>98</v>
      </c>
      <c r="C53" s="111">
        <f t="shared" ref="C53:AJ53" si="54">C22</f>
        <v>56569</v>
      </c>
      <c r="D53" s="111">
        <f t="shared" si="54"/>
        <v>58713.2</v>
      </c>
      <c r="E53" s="111">
        <f t="shared" si="54"/>
        <v>39538</v>
      </c>
      <c r="F53" s="111">
        <f t="shared" si="54"/>
        <v>98253</v>
      </c>
      <c r="G53" s="111">
        <f t="shared" si="54"/>
        <v>29401</v>
      </c>
      <c r="H53" s="111">
        <f t="shared" si="54"/>
        <v>127654</v>
      </c>
      <c r="I53" s="111">
        <f t="shared" si="54"/>
        <v>39615</v>
      </c>
      <c r="J53" s="111">
        <f t="shared" si="54"/>
        <v>44722</v>
      </c>
      <c r="K53" s="111">
        <f t="shared" si="54"/>
        <v>84337</v>
      </c>
      <c r="L53" s="111">
        <f t="shared" si="54"/>
        <v>-2208</v>
      </c>
      <c r="M53" s="111">
        <f t="shared" si="54"/>
        <v>82129</v>
      </c>
      <c r="N53" s="111">
        <f t="shared" si="54"/>
        <v>43828</v>
      </c>
      <c r="O53" s="41">
        <f t="shared" si="54"/>
        <v>125957</v>
      </c>
      <c r="P53" s="111">
        <f t="shared" si="54"/>
        <v>29223</v>
      </c>
      <c r="Q53" s="111">
        <f t="shared" si="54"/>
        <v>25999</v>
      </c>
      <c r="R53" s="111">
        <f t="shared" si="54"/>
        <v>55222</v>
      </c>
      <c r="S53" s="111">
        <f t="shared" si="54"/>
        <v>40608</v>
      </c>
      <c r="T53" s="111">
        <f t="shared" si="54"/>
        <v>95830</v>
      </c>
      <c r="U53" s="111">
        <f t="shared" si="54"/>
        <v>30086</v>
      </c>
      <c r="V53" s="111">
        <f t="shared" si="54"/>
        <v>95710</v>
      </c>
      <c r="W53" s="111">
        <f t="shared" si="54"/>
        <v>43634</v>
      </c>
      <c r="X53" s="41">
        <f t="shared" si="54"/>
        <v>38968</v>
      </c>
      <c r="Y53" s="41">
        <f t="shared" si="54"/>
        <v>82603</v>
      </c>
      <c r="Z53" s="41">
        <f t="shared" si="54"/>
        <v>27047</v>
      </c>
      <c r="AA53" s="41">
        <f t="shared" si="54"/>
        <v>109650</v>
      </c>
      <c r="AB53" s="41">
        <f t="shared" si="54"/>
        <v>22924</v>
      </c>
      <c r="AC53" s="41">
        <f t="shared" si="54"/>
        <v>132573</v>
      </c>
      <c r="AD53" s="41">
        <f t="shared" si="54"/>
        <v>22409</v>
      </c>
      <c r="AE53" s="41">
        <f t="shared" si="54"/>
        <v>48508</v>
      </c>
      <c r="AF53" s="41">
        <f t="shared" si="54"/>
        <v>70917</v>
      </c>
      <c r="AG53" s="41">
        <f t="shared" si="54"/>
        <v>28573</v>
      </c>
      <c r="AH53" s="41">
        <f t="shared" si="54"/>
        <v>99490</v>
      </c>
      <c r="AI53" s="41">
        <f t="shared" si="54"/>
        <v>61669</v>
      </c>
      <c r="AJ53" s="41">
        <f t="shared" si="54"/>
        <v>161159</v>
      </c>
      <c r="AK53" s="63"/>
      <c r="AL53" s="63"/>
    </row>
    <row r="54" ht="12.0" customHeight="1">
      <c r="A54" s="5"/>
      <c r="B54" s="90" t="s">
        <v>102</v>
      </c>
      <c r="C54" s="111"/>
      <c r="D54" s="111"/>
      <c r="E54" s="136"/>
      <c r="F54" s="137"/>
      <c r="G54" s="111"/>
      <c r="H54" s="111"/>
      <c r="I54" s="138"/>
      <c r="J54" s="111"/>
      <c r="K54" s="111"/>
      <c r="L54" s="136"/>
      <c r="M54" s="137"/>
      <c r="N54" s="138"/>
      <c r="O54" s="139"/>
      <c r="P54" s="138"/>
      <c r="Q54" s="138"/>
      <c r="R54" s="138"/>
      <c r="S54" s="138"/>
      <c r="T54" s="138"/>
      <c r="U54" s="138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63"/>
      <c r="AL54" s="63"/>
    </row>
    <row r="55" ht="12.0" customHeight="1">
      <c r="A55" s="5"/>
      <c r="B55" s="93" t="s">
        <v>117</v>
      </c>
      <c r="C55" s="111">
        <v>0.0</v>
      </c>
      <c r="D55" s="111">
        <v>0.0</v>
      </c>
      <c r="E55" s="111">
        <v>0.0</v>
      </c>
      <c r="F55" s="111">
        <v>0.0</v>
      </c>
      <c r="G55" s="111">
        <v>0.0</v>
      </c>
      <c r="H55" s="111">
        <v>0.0</v>
      </c>
      <c r="I55" s="111">
        <v>0.0</v>
      </c>
      <c r="J55" s="111">
        <v>0.0</v>
      </c>
      <c r="K55" s="111">
        <v>0.0</v>
      </c>
      <c r="L55" s="114">
        <f t="shared" ref="L55:O55" si="55">L45</f>
        <v>21818</v>
      </c>
      <c r="M55" s="114">
        <f t="shared" si="55"/>
        <v>21818</v>
      </c>
      <c r="N55" s="111">
        <f t="shared" si="55"/>
        <v>77</v>
      </c>
      <c r="O55" s="41">
        <f t="shared" si="55"/>
        <v>21895</v>
      </c>
      <c r="P55" s="111">
        <v>0.0</v>
      </c>
      <c r="Q55" s="111">
        <v>0.0</v>
      </c>
      <c r="R55" s="111">
        <v>0.0</v>
      </c>
      <c r="S55" s="111">
        <v>0.0</v>
      </c>
      <c r="T55" s="111">
        <v>0.0</v>
      </c>
      <c r="U55" s="111">
        <v>0.0</v>
      </c>
      <c r="V55" s="111">
        <v>0.0</v>
      </c>
      <c r="W55" s="111">
        <v>0.0</v>
      </c>
      <c r="X55" s="41">
        <v>0.0</v>
      </c>
      <c r="Y55" s="41">
        <v>0.0</v>
      </c>
      <c r="Z55" s="41">
        <v>0.0</v>
      </c>
      <c r="AA55" s="41">
        <v>0.0</v>
      </c>
      <c r="AB55" s="41">
        <v>0.0</v>
      </c>
      <c r="AC55" s="140">
        <f t="shared" ref="AC55:AF55" si="56">SUM(AA55:AB55)</f>
        <v>0</v>
      </c>
      <c r="AD55" s="140">
        <f t="shared" si="56"/>
        <v>0</v>
      </c>
      <c r="AE55" s="140">
        <f t="shared" si="56"/>
        <v>0</v>
      </c>
      <c r="AF55" s="140">
        <f t="shared" si="56"/>
        <v>0</v>
      </c>
      <c r="AG55" s="140">
        <v>0.0</v>
      </c>
      <c r="AH55" s="140">
        <v>0.0</v>
      </c>
      <c r="AI55" s="140">
        <v>0.0</v>
      </c>
      <c r="AJ55" s="140">
        <v>0.0</v>
      </c>
      <c r="AK55" s="63"/>
      <c r="AL55" s="63"/>
    </row>
    <row r="56" ht="12.0" customHeight="1">
      <c r="A56" s="5"/>
      <c r="B56" s="93" t="s">
        <v>115</v>
      </c>
      <c r="C56" s="111">
        <v>858.0</v>
      </c>
      <c r="D56" s="111">
        <v>0.0</v>
      </c>
      <c r="E56" s="141">
        <v>320.0</v>
      </c>
      <c r="F56" s="141">
        <v>320.0</v>
      </c>
      <c r="G56" s="141">
        <f>G43</f>
        <v>108</v>
      </c>
      <c r="H56" s="141">
        <v>446.0</v>
      </c>
      <c r="I56" s="111">
        <f t="shared" ref="I56:J56" si="57">I43</f>
        <v>225</v>
      </c>
      <c r="J56" s="111">
        <f t="shared" si="57"/>
        <v>237</v>
      </c>
      <c r="K56" s="111">
        <v>462.0</v>
      </c>
      <c r="L56" s="111">
        <f t="shared" ref="L56:O56" si="58">L43</f>
        <v>4895</v>
      </c>
      <c r="M56" s="111">
        <f t="shared" si="58"/>
        <v>5357</v>
      </c>
      <c r="N56" s="111">
        <f t="shared" si="58"/>
        <v>3821</v>
      </c>
      <c r="O56" s="41">
        <f t="shared" si="58"/>
        <v>2200</v>
      </c>
      <c r="P56" s="111">
        <v>0.0</v>
      </c>
      <c r="Q56" s="111">
        <v>0.0</v>
      </c>
      <c r="R56" s="111">
        <v>0.0</v>
      </c>
      <c r="S56" s="111">
        <v>0.0</v>
      </c>
      <c r="T56" s="111">
        <v>0.0</v>
      </c>
      <c r="U56" s="111">
        <v>0.0</v>
      </c>
      <c r="V56" s="111">
        <v>0.0</v>
      </c>
      <c r="W56" s="111">
        <v>0.0</v>
      </c>
      <c r="X56" s="41">
        <v>0.0</v>
      </c>
      <c r="Y56" s="41">
        <v>0.0</v>
      </c>
      <c r="Z56" s="41">
        <v>0.0</v>
      </c>
      <c r="AA56" s="41">
        <v>0.0</v>
      </c>
      <c r="AB56" s="41">
        <v>0.0</v>
      </c>
      <c r="AC56" s="140">
        <f t="shared" ref="AC56:AD56" si="59">SUM(AA56:AB56)</f>
        <v>0</v>
      </c>
      <c r="AD56" s="140">
        <f t="shared" si="59"/>
        <v>0</v>
      </c>
      <c r="AE56" s="140"/>
      <c r="AF56" s="140">
        <f t="shared" ref="AF56:AJ56" si="60">SUM(AD56:AE56)</f>
        <v>0</v>
      </c>
      <c r="AG56" s="140">
        <f t="shared" si="60"/>
        <v>0</v>
      </c>
      <c r="AH56" s="140">
        <f t="shared" si="60"/>
        <v>0</v>
      </c>
      <c r="AI56" s="140">
        <f t="shared" si="60"/>
        <v>0</v>
      </c>
      <c r="AJ56" s="140">
        <f t="shared" si="60"/>
        <v>0</v>
      </c>
      <c r="AK56" s="63"/>
      <c r="AL56" s="63"/>
    </row>
    <row r="57" ht="12.0" customHeight="1">
      <c r="A57" s="5"/>
      <c r="B57" s="93" t="s">
        <v>118</v>
      </c>
      <c r="C57" s="111">
        <v>0.0</v>
      </c>
      <c r="D57" s="111">
        <v>0.0</v>
      </c>
      <c r="E57" s="111">
        <v>0.0</v>
      </c>
      <c r="F57" s="111">
        <v>0.0</v>
      </c>
      <c r="G57" s="111">
        <v>0.0</v>
      </c>
      <c r="H57" s="111">
        <v>0.0</v>
      </c>
      <c r="I57" s="111">
        <v>0.0</v>
      </c>
      <c r="J57" s="111">
        <v>0.0</v>
      </c>
      <c r="K57" s="111">
        <v>0.0</v>
      </c>
      <c r="L57" s="111">
        <v>0.0</v>
      </c>
      <c r="M57" s="111">
        <v>0.0</v>
      </c>
      <c r="N57" s="111">
        <v>0.0</v>
      </c>
      <c r="O57" s="41">
        <v>0.0</v>
      </c>
      <c r="P57" s="141">
        <v>10323.0</v>
      </c>
      <c r="Q57" s="141">
        <v>26255.0</v>
      </c>
      <c r="R57" s="141">
        <v>36578.0</v>
      </c>
      <c r="S57" s="141">
        <v>26743.0</v>
      </c>
      <c r="T57" s="141">
        <v>63321.0</v>
      </c>
      <c r="U57" s="141">
        <v>24400.0</v>
      </c>
      <c r="V57" s="95">
        <v>87721.0</v>
      </c>
      <c r="W57" s="95">
        <v>14836.0</v>
      </c>
      <c r="X57" s="95">
        <v>15274.0</v>
      </c>
      <c r="Y57" s="95">
        <v>30110.0</v>
      </c>
      <c r="Z57" s="95">
        <v>9376.0</v>
      </c>
      <c r="AA57" s="95">
        <v>39486.0</v>
      </c>
      <c r="AB57" s="95">
        <v>11231.0</v>
      </c>
      <c r="AC57" s="95">
        <f t="shared" ref="AC57:AC58" si="61">SUM(AA57:AB57)</f>
        <v>50717</v>
      </c>
      <c r="AD57" s="95">
        <v>12144.0</v>
      </c>
      <c r="AE57" s="95">
        <v>12587.0</v>
      </c>
      <c r="AF57" s="95">
        <f>SUM(AD57:AE57)</f>
        <v>24731</v>
      </c>
      <c r="AG57" s="95">
        <v>15053.0</v>
      </c>
      <c r="AH57" s="95">
        <f>SUM(AF57:AG57)</f>
        <v>39784</v>
      </c>
      <c r="AI57" s="96">
        <v>5146.0</v>
      </c>
      <c r="AJ57" s="96">
        <v>44930.0</v>
      </c>
      <c r="AK57" s="63"/>
      <c r="AL57" s="63"/>
    </row>
    <row r="58" ht="12.0" customHeight="1">
      <c r="A58" s="5"/>
      <c r="B58" s="93" t="s">
        <v>119</v>
      </c>
      <c r="C58" s="111">
        <v>0.0</v>
      </c>
      <c r="D58" s="111">
        <v>0.0</v>
      </c>
      <c r="E58" s="111">
        <v>0.0</v>
      </c>
      <c r="F58" s="111">
        <v>0.0</v>
      </c>
      <c r="G58" s="111">
        <v>0.0</v>
      </c>
      <c r="H58" s="111">
        <v>0.0</v>
      </c>
      <c r="I58" s="111">
        <v>0.0</v>
      </c>
      <c r="J58" s="111">
        <v>0.0</v>
      </c>
      <c r="K58" s="111">
        <v>0.0</v>
      </c>
      <c r="L58" s="111">
        <v>0.0</v>
      </c>
      <c r="M58" s="111">
        <v>0.0</v>
      </c>
      <c r="N58" s="111">
        <v>0.0</v>
      </c>
      <c r="O58" s="111">
        <v>0.0</v>
      </c>
      <c r="P58" s="111">
        <v>0.0</v>
      </c>
      <c r="Q58" s="111">
        <v>0.0</v>
      </c>
      <c r="R58" s="111">
        <v>0.0</v>
      </c>
      <c r="S58" s="111">
        <v>0.0</v>
      </c>
      <c r="T58" s="111">
        <v>0.0</v>
      </c>
      <c r="U58" s="111">
        <v>0.0</v>
      </c>
      <c r="V58" s="111">
        <v>0.0</v>
      </c>
      <c r="W58" s="50" t="s">
        <v>43</v>
      </c>
      <c r="X58" s="50" t="s">
        <v>43</v>
      </c>
      <c r="Y58" s="41">
        <v>0.0</v>
      </c>
      <c r="Z58" s="50" t="s">
        <v>43</v>
      </c>
      <c r="AA58" s="140">
        <f>SUM(Y58:Z58)</f>
        <v>0</v>
      </c>
      <c r="AB58" s="95">
        <v>20997.0</v>
      </c>
      <c r="AC58" s="95">
        <f t="shared" si="61"/>
        <v>20997</v>
      </c>
      <c r="AD58" s="95">
        <v>5758.0</v>
      </c>
      <c r="AE58" s="95">
        <v>428.0</v>
      </c>
      <c r="AF58" s="95">
        <f>SUM(AD58:AE58)+1</f>
        <v>6187</v>
      </c>
      <c r="AG58" s="95">
        <v>5401.0</v>
      </c>
      <c r="AH58" s="95">
        <v>11587.0</v>
      </c>
      <c r="AI58" s="96">
        <v>5364.0</v>
      </c>
      <c r="AJ58" s="96">
        <v>16951.9</v>
      </c>
      <c r="AK58" s="63"/>
      <c r="AL58" s="63"/>
    </row>
    <row r="59" ht="12.0" customHeight="1">
      <c r="A59" s="5"/>
      <c r="B59" s="93" t="s">
        <v>114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>
        <f t="shared" ref="W59:AD59" si="62">W42</f>
        <v>5393.442</v>
      </c>
      <c r="X59" s="41">
        <f t="shared" si="62"/>
        <v>9719</v>
      </c>
      <c r="Y59" s="41">
        <f t="shared" si="62"/>
        <v>15112</v>
      </c>
      <c r="Z59" s="41">
        <f t="shared" si="62"/>
        <v>6627</v>
      </c>
      <c r="AA59" s="41">
        <f t="shared" si="62"/>
        <v>21740</v>
      </c>
      <c r="AB59" s="41">
        <f t="shared" si="62"/>
        <v>6376</v>
      </c>
      <c r="AC59" s="41">
        <f t="shared" si="62"/>
        <v>28116</v>
      </c>
      <c r="AD59" s="41">
        <f t="shared" si="62"/>
        <v>3772</v>
      </c>
      <c r="AE59" s="41">
        <v>6679.0</v>
      </c>
      <c r="AF59" s="41">
        <f t="shared" ref="AF59:AF61" si="63">SUM(AD59:AE59)</f>
        <v>10451</v>
      </c>
      <c r="AG59" s="41">
        <v>10848.0</v>
      </c>
      <c r="AH59" s="95">
        <f t="shared" ref="AH59:AH60" si="64">SUM(AF59:AG59)</f>
        <v>21299</v>
      </c>
      <c r="AI59" s="96">
        <v>9143.0</v>
      </c>
      <c r="AJ59" s="96">
        <v>30441.5</v>
      </c>
      <c r="AK59" s="63"/>
      <c r="AL59" s="63"/>
    </row>
    <row r="60" ht="12.0" customHeight="1">
      <c r="A60" s="5"/>
      <c r="B60" s="93" t="s">
        <v>124</v>
      </c>
      <c r="C60" s="111">
        <v>0.0</v>
      </c>
      <c r="D60" s="111">
        <v>0.0</v>
      </c>
      <c r="E60" s="111">
        <v>0.0</v>
      </c>
      <c r="F60" s="111">
        <v>0.0</v>
      </c>
      <c r="G60" s="111">
        <v>0.0</v>
      </c>
      <c r="H60" s="111">
        <v>0.0</v>
      </c>
      <c r="I60" s="111">
        <v>0.0</v>
      </c>
      <c r="J60" s="111">
        <v>0.0</v>
      </c>
      <c r="K60" s="111">
        <v>0.0</v>
      </c>
      <c r="L60" s="111">
        <v>0.0</v>
      </c>
      <c r="M60" s="111">
        <v>0.0</v>
      </c>
      <c r="N60" s="111">
        <v>0.0</v>
      </c>
      <c r="O60" s="111">
        <v>0.0</v>
      </c>
      <c r="P60" s="41"/>
      <c r="Q60" s="41"/>
      <c r="R60" s="41">
        <f>SUM(P60:Q60)</f>
        <v>0</v>
      </c>
      <c r="S60" s="41"/>
      <c r="T60" s="41">
        <f>SUM(R60:S60)</f>
        <v>0</v>
      </c>
      <c r="U60" s="41"/>
      <c r="V60" s="41">
        <v>-13970.0</v>
      </c>
      <c r="W60" s="41">
        <f>-1445850.6/1000</f>
        <v>-1445.8506</v>
      </c>
      <c r="X60" s="41">
        <f>(-2145567.86/1000)-2</f>
        <v>-2147.56786</v>
      </c>
      <c r="Y60" s="41">
        <f>SUM(W60:X60)</f>
        <v>-3593.41846</v>
      </c>
      <c r="Z60" s="41">
        <f>-523224.73/1000</f>
        <v>-523.22473</v>
      </c>
      <c r="AA60" s="41">
        <f>SUM(Y60:Z60)</f>
        <v>-4116.64319</v>
      </c>
      <c r="AB60" s="41">
        <f>-6275722.0624/1000</f>
        <v>-6275.722062</v>
      </c>
      <c r="AC60" s="44">
        <v>-10392.0</v>
      </c>
      <c r="AD60" s="41">
        <v>-2335.0</v>
      </c>
      <c r="AE60" s="41">
        <v>-2774.0</v>
      </c>
      <c r="AF60" s="41">
        <f t="shared" si="63"/>
        <v>-5109</v>
      </c>
      <c r="AG60" s="41">
        <v>-3359.0</v>
      </c>
      <c r="AH60" s="41">
        <f t="shared" si="64"/>
        <v>-8468</v>
      </c>
      <c r="AI60" s="44">
        <v>-3161.0</v>
      </c>
      <c r="AJ60" s="28">
        <v>-11629.2</v>
      </c>
      <c r="AK60" s="63"/>
      <c r="AL60" s="63"/>
    </row>
    <row r="61" ht="12.0" customHeight="1">
      <c r="A61" s="5"/>
      <c r="B61" s="93" t="s">
        <v>120</v>
      </c>
      <c r="C61" s="111">
        <v>14891.0</v>
      </c>
      <c r="D61" s="111">
        <v>0.0</v>
      </c>
      <c r="E61" s="111">
        <v>0.0</v>
      </c>
      <c r="F61" s="111">
        <v>0.0</v>
      </c>
      <c r="G61" s="111">
        <v>0.0</v>
      </c>
      <c r="H61" s="141">
        <v>-18.0</v>
      </c>
      <c r="I61" s="111">
        <v>0.0</v>
      </c>
      <c r="J61" s="111">
        <v>0.0</v>
      </c>
      <c r="K61" s="111">
        <v>0.0</v>
      </c>
      <c r="L61" s="111">
        <v>0.0</v>
      </c>
      <c r="M61" s="111">
        <v>0.0</v>
      </c>
      <c r="N61" s="111">
        <v>0.0</v>
      </c>
      <c r="O61" s="111">
        <v>0.0</v>
      </c>
      <c r="P61" s="111">
        <v>0.0</v>
      </c>
      <c r="Q61" s="111">
        <v>0.0</v>
      </c>
      <c r="R61" s="111">
        <v>0.0</v>
      </c>
      <c r="S61" s="111">
        <v>0.0</v>
      </c>
      <c r="T61" s="111">
        <v>0.0</v>
      </c>
      <c r="U61" s="111">
        <v>0.0</v>
      </c>
      <c r="V61" s="111">
        <v>0.0</v>
      </c>
      <c r="W61" s="111">
        <v>0.0</v>
      </c>
      <c r="X61" s="41">
        <v>0.0</v>
      </c>
      <c r="Y61" s="41">
        <v>0.0</v>
      </c>
      <c r="Z61" s="41">
        <v>0.0</v>
      </c>
      <c r="AA61" s="41">
        <v>0.0</v>
      </c>
      <c r="AB61" s="41">
        <v>0.0</v>
      </c>
      <c r="AC61" s="140">
        <f>SUM(AA61:AB61)</f>
        <v>0</v>
      </c>
      <c r="AD61" s="140">
        <v>0.0</v>
      </c>
      <c r="AE61" s="140">
        <v>0.0</v>
      </c>
      <c r="AF61" s="140">
        <f t="shared" si="63"/>
        <v>0</v>
      </c>
      <c r="AG61" s="140">
        <v>0.0</v>
      </c>
      <c r="AH61" s="140">
        <v>0.0</v>
      </c>
      <c r="AI61" s="140">
        <v>0.0</v>
      </c>
      <c r="AJ61" s="140">
        <v>0.0</v>
      </c>
      <c r="AK61" s="63"/>
      <c r="AL61" s="63"/>
    </row>
    <row r="62" ht="12.0" customHeight="1">
      <c r="A62" s="5"/>
      <c r="B62" s="33" t="s">
        <v>125</v>
      </c>
      <c r="C62" s="142">
        <f t="shared" ref="C62:K62" si="65">SUM(C53:C61)</f>
        <v>72318</v>
      </c>
      <c r="D62" s="142">
        <f t="shared" si="65"/>
        <v>58713.2</v>
      </c>
      <c r="E62" s="142">
        <f t="shared" si="65"/>
        <v>39858</v>
      </c>
      <c r="F62" s="142">
        <f t="shared" si="65"/>
        <v>98573</v>
      </c>
      <c r="G62" s="142">
        <f t="shared" si="65"/>
        <v>29509</v>
      </c>
      <c r="H62" s="142">
        <f t="shared" si="65"/>
        <v>128082</v>
      </c>
      <c r="I62" s="142">
        <f t="shared" si="65"/>
        <v>39840</v>
      </c>
      <c r="J62" s="142">
        <f t="shared" si="65"/>
        <v>44959</v>
      </c>
      <c r="K62" s="142">
        <f t="shared" si="65"/>
        <v>84799</v>
      </c>
      <c r="L62" s="142">
        <f>SUM(L53:L61)-1</f>
        <v>24504</v>
      </c>
      <c r="M62" s="142">
        <f t="shared" ref="M62:W62" si="66">SUM(M53:M61)</f>
        <v>109304</v>
      </c>
      <c r="N62" s="142">
        <f t="shared" si="66"/>
        <v>47726</v>
      </c>
      <c r="O62" s="142">
        <f t="shared" si="66"/>
        <v>150052</v>
      </c>
      <c r="P62" s="142">
        <f t="shared" si="66"/>
        <v>39546</v>
      </c>
      <c r="Q62" s="142">
        <f t="shared" si="66"/>
        <v>52254</v>
      </c>
      <c r="R62" s="142">
        <f t="shared" si="66"/>
        <v>91800</v>
      </c>
      <c r="S62" s="142">
        <f t="shared" si="66"/>
        <v>67351</v>
      </c>
      <c r="T62" s="142">
        <f t="shared" si="66"/>
        <v>159151</v>
      </c>
      <c r="U62" s="142">
        <f t="shared" si="66"/>
        <v>54486</v>
      </c>
      <c r="V62" s="142">
        <f t="shared" si="66"/>
        <v>169461</v>
      </c>
      <c r="W62" s="142">
        <f t="shared" si="66"/>
        <v>62417.5914</v>
      </c>
      <c r="X62" s="11">
        <f>SUM(X53:X61)+1</f>
        <v>61814.43214</v>
      </c>
      <c r="Y62" s="11">
        <f>SUM(Y53:Y61)-1</f>
        <v>124230.5815</v>
      </c>
      <c r="Z62" s="11">
        <f t="shared" ref="Z62:AA62" si="67">SUM(Z53:Z61)</f>
        <v>42526.77527</v>
      </c>
      <c r="AA62" s="11">
        <f t="shared" si="67"/>
        <v>166759.3568</v>
      </c>
      <c r="AB62" s="11">
        <f>SUM(AB53:AB61)-1</f>
        <v>55251.27794</v>
      </c>
      <c r="AC62" s="11">
        <f>SUM(AC53:AC61)</f>
        <v>222011</v>
      </c>
      <c r="AD62" s="11">
        <f>SUM(AD53:AD61)+1</f>
        <v>41749</v>
      </c>
      <c r="AE62" s="11">
        <f t="shared" ref="AE62:AJ62" si="68">SUM(AE53:AE61)</f>
        <v>65428</v>
      </c>
      <c r="AF62" s="11">
        <f t="shared" si="68"/>
        <v>107177</v>
      </c>
      <c r="AG62" s="11">
        <f t="shared" si="68"/>
        <v>56516</v>
      </c>
      <c r="AH62" s="11">
        <f t="shared" si="68"/>
        <v>163692</v>
      </c>
      <c r="AI62" s="11">
        <f t="shared" si="68"/>
        <v>78161</v>
      </c>
      <c r="AJ62" s="143">
        <f t="shared" si="68"/>
        <v>241853.2</v>
      </c>
      <c r="AK62" s="63"/>
      <c r="AL62" s="63"/>
    </row>
    <row r="63" ht="12.0" customHeight="1">
      <c r="A63" s="5"/>
      <c r="B63" s="33" t="s">
        <v>126</v>
      </c>
      <c r="C63" s="128">
        <f t="shared" ref="C63:AJ63" si="69">C62/C28</f>
        <v>0.1068002889</v>
      </c>
      <c r="D63" s="128">
        <f t="shared" si="69"/>
        <v>0.130981871</v>
      </c>
      <c r="E63" s="128">
        <f t="shared" si="69"/>
        <v>0.1640942457</v>
      </c>
      <c r="F63" s="128">
        <f t="shared" si="69"/>
        <v>0.1426213047</v>
      </c>
      <c r="G63" s="128">
        <f t="shared" si="69"/>
        <v>0.1112007145</v>
      </c>
      <c r="H63" s="128">
        <f t="shared" si="69"/>
        <v>0.1339042925</v>
      </c>
      <c r="I63" s="128">
        <f t="shared" si="69"/>
        <v>0.1344619497</v>
      </c>
      <c r="J63" s="128">
        <f t="shared" si="69"/>
        <v>0.1425803301</v>
      </c>
      <c r="K63" s="128">
        <f t="shared" si="69"/>
        <v>0.138647452</v>
      </c>
      <c r="L63" s="128">
        <f t="shared" si="69"/>
        <v>0.06517541293</v>
      </c>
      <c r="M63" s="128">
        <f t="shared" si="69"/>
        <v>0.1106779561</v>
      </c>
      <c r="N63" s="128">
        <f t="shared" si="69"/>
        <v>0.1044803566</v>
      </c>
      <c r="O63" s="128">
        <f t="shared" si="69"/>
        <v>0.1038867888</v>
      </c>
      <c r="P63" s="128">
        <f t="shared" si="69"/>
        <v>0.08039896558</v>
      </c>
      <c r="Q63" s="128">
        <f t="shared" si="69"/>
        <v>0.0995285849</v>
      </c>
      <c r="R63" s="128">
        <f t="shared" si="69"/>
        <v>0.09027551734</v>
      </c>
      <c r="S63" s="128">
        <f t="shared" si="69"/>
        <v>0.1204809147</v>
      </c>
      <c r="T63" s="128">
        <f t="shared" si="69"/>
        <v>0.1009902247</v>
      </c>
      <c r="U63" s="128">
        <f t="shared" si="69"/>
        <v>0.08905778802</v>
      </c>
      <c r="V63" s="128">
        <f t="shared" si="69"/>
        <v>0.07746044951</v>
      </c>
      <c r="W63" s="128">
        <f t="shared" si="69"/>
        <v>0.10232543</v>
      </c>
      <c r="X63" s="106">
        <f t="shared" si="69"/>
        <v>0.1080989384</v>
      </c>
      <c r="Y63" s="106">
        <f t="shared" si="69"/>
        <v>0.1051176669</v>
      </c>
      <c r="Z63" s="106">
        <f t="shared" si="69"/>
        <v>0.08037826819</v>
      </c>
      <c r="AA63" s="106">
        <f t="shared" si="69"/>
        <v>0.09746839355</v>
      </c>
      <c r="AB63" s="106">
        <f t="shared" si="69"/>
        <v>0.1057319311</v>
      </c>
      <c r="AC63" s="106">
        <f t="shared" si="69"/>
        <v>0.09940200567</v>
      </c>
      <c r="AD63" s="106">
        <f t="shared" si="69"/>
        <v>0.07974839019</v>
      </c>
      <c r="AE63" s="106">
        <f t="shared" si="69"/>
        <v>0.1156682908</v>
      </c>
      <c r="AF63" s="106">
        <f t="shared" si="69"/>
        <v>0.09840326637</v>
      </c>
      <c r="AG63" s="106">
        <f t="shared" si="69"/>
        <v>0.09083836955</v>
      </c>
      <c r="AH63" s="106">
        <f t="shared" si="69"/>
        <v>0.09565242289</v>
      </c>
      <c r="AI63" s="106">
        <f t="shared" si="69"/>
        <v>0.1190558517</v>
      </c>
      <c r="AJ63" s="106">
        <f t="shared" si="69"/>
        <v>0.1021413718</v>
      </c>
      <c r="AK63" s="63"/>
      <c r="AL63" s="63"/>
    </row>
    <row r="64" ht="12.0" customHeight="1">
      <c r="A64" s="85"/>
      <c r="B64" s="85"/>
      <c r="C64" s="144"/>
      <c r="D64" s="145"/>
      <c r="E64" s="145"/>
      <c r="F64" s="145"/>
      <c r="G64" s="144"/>
      <c r="H64" s="144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63"/>
      <c r="AL64" s="63"/>
    </row>
    <row r="65" ht="12.0" customHeight="1">
      <c r="A65" s="5"/>
      <c r="B65" s="4" t="s">
        <v>127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8"/>
      <c r="O65" s="58"/>
      <c r="P65" s="58"/>
      <c r="Q65" s="58"/>
      <c r="R65" s="58"/>
      <c r="S65" s="58"/>
      <c r="T65" s="58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63"/>
      <c r="AL65" s="63"/>
    </row>
    <row r="66" ht="12.0" customHeight="1">
      <c r="A66" s="5"/>
      <c r="B66" s="5" t="s">
        <v>128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0"/>
      <c r="O66" s="50"/>
      <c r="P66" s="50"/>
      <c r="Q66" s="50"/>
      <c r="R66" s="50"/>
      <c r="S66" s="95">
        <v>6887.0</v>
      </c>
      <c r="T66" s="95">
        <v>6887.0</v>
      </c>
      <c r="U66" s="95">
        <v>6904.0</v>
      </c>
      <c r="V66" s="95">
        <v>6904.0</v>
      </c>
      <c r="W66" s="95">
        <v>6522.0</v>
      </c>
      <c r="X66" s="95">
        <v>6195.0</v>
      </c>
      <c r="Y66" s="95">
        <v>6195.0</v>
      </c>
      <c r="Z66" s="95">
        <v>6114.0</v>
      </c>
      <c r="AA66" s="95">
        <v>6114.0</v>
      </c>
      <c r="AB66" s="95">
        <v>6111.0</v>
      </c>
      <c r="AC66" s="95">
        <v>6111.0</v>
      </c>
      <c r="AD66" s="95">
        <v>6086.0</v>
      </c>
      <c r="AE66" s="95">
        <v>6235.0</v>
      </c>
      <c r="AF66" s="95">
        <v>6235.0</v>
      </c>
      <c r="AG66" s="95">
        <v>6755.0</v>
      </c>
      <c r="AH66" s="95">
        <v>6755.0</v>
      </c>
      <c r="AI66" s="96">
        <v>6907.0</v>
      </c>
      <c r="AJ66" s="96">
        <v>6907.0</v>
      </c>
      <c r="AK66" s="63"/>
      <c r="AL66" s="63"/>
    </row>
    <row r="67" ht="12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63"/>
      <c r="AL67" s="63"/>
    </row>
    <row r="68" ht="12.0" customHeight="1">
      <c r="A68" s="5"/>
      <c r="B68" s="5" t="s">
        <v>129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63"/>
      <c r="AL68" s="63"/>
    </row>
    <row r="69" ht="12.0" customHeight="1">
      <c r="A69" s="5"/>
      <c r="B69" s="146" t="s">
        <v>130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</row>
    <row r="70" ht="12.0" customHeight="1">
      <c r="A70" s="5"/>
      <c r="B70" s="146" t="s">
        <v>131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</row>
    <row r="71" ht="15.75" customHeight="1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</row>
    <row r="72" ht="15.75" customHeight="1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</row>
    <row r="73" ht="15.75" customHeight="1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</row>
    <row r="74" ht="15.75" customHeight="1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</row>
    <row r="75" ht="15.75" customHeight="1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</row>
    <row r="76" ht="15.75" customHeight="1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</row>
    <row r="77" ht="15.75" customHeight="1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</row>
    <row r="78" ht="15.75" customHeight="1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</row>
    <row r="79" ht="15.75" customHeight="1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</row>
    <row r="80" ht="15.75" customHeight="1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</row>
    <row r="81" ht="15.75" customHeight="1">
      <c r="A81" s="14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</row>
    <row r="82" ht="15.75" customHeight="1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</row>
    <row r="83" ht="15.75" customHeight="1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</row>
    <row r="84" ht="15.75" customHeight="1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</row>
    <row r="85" ht="15.75" customHeight="1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</row>
    <row r="86" ht="15.75" customHeight="1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</row>
    <row r="87" ht="15.75" customHeight="1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</row>
    <row r="88" ht="15.75" customHeight="1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</row>
    <row r="89" ht="15.75" customHeight="1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</row>
    <row r="90" ht="15.75" customHeight="1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</row>
    <row r="91" ht="15.75" customHeight="1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</row>
    <row r="92" ht="15.75" customHeight="1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</row>
    <row r="93" ht="15.75" customHeight="1">
      <c r="A93" s="147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</row>
    <row r="94" ht="15.75" customHeight="1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</row>
    <row r="95" ht="15.75" customHeight="1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</row>
    <row r="96" ht="15.75" customHeight="1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</row>
    <row r="97" ht="15.75" customHeight="1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</row>
    <row r="98" ht="15.75" customHeight="1">
      <c r="A98" s="147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</row>
    <row r="99" ht="15.75" customHeight="1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</row>
    <row r="100" ht="15.75" customHeight="1">
      <c r="A100" s="147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</row>
    <row r="101" ht="15.75" customHeight="1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</row>
    <row r="102" ht="15.75" customHeight="1">
      <c r="A102" s="147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</row>
    <row r="103" ht="15.75" customHeight="1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</row>
    <row r="104" ht="15.75" customHeight="1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</row>
    <row r="105" ht="15.75" customHeight="1">
      <c r="A105" s="147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</row>
    <row r="106" ht="15.75" customHeight="1">
      <c r="A106" s="147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</row>
    <row r="107" ht="15.75" customHeight="1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</row>
    <row r="108" ht="15.75" customHeight="1">
      <c r="A108" s="147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</row>
    <row r="109" ht="15.75" customHeight="1">
      <c r="A109" s="147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</row>
    <row r="110" ht="15.75" customHeight="1">
      <c r="A110" s="147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</row>
    <row r="111" ht="15.75" customHeight="1">
      <c r="A111" s="147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</row>
    <row r="112" ht="15.75" customHeight="1">
      <c r="A112" s="147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</row>
    <row r="113" ht="15.75" customHeight="1">
      <c r="A113" s="147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</row>
    <row r="114" ht="15.75" customHeight="1">
      <c r="A114" s="147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</row>
    <row r="115" ht="15.75" customHeight="1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</row>
    <row r="116" ht="15.75" customHeight="1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</row>
    <row r="117" ht="15.75" customHeight="1">
      <c r="A117" s="147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</row>
    <row r="118" ht="15.75" customHeight="1">
      <c r="A118" s="147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</row>
    <row r="119" ht="15.75" customHeight="1">
      <c r="A119" s="147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</row>
    <row r="120" ht="15.75" customHeight="1">
      <c r="A120" s="147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</row>
    <row r="121" ht="15.75" customHeight="1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</row>
    <row r="122" ht="15.75" customHeight="1">
      <c r="A122" s="147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</row>
    <row r="123" ht="15.75" customHeight="1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</row>
    <row r="124" ht="15.75" customHeight="1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</row>
    <row r="125" ht="15.75" customHeight="1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</row>
    <row r="126" ht="15.75" customHeight="1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</row>
    <row r="127" ht="15.75" customHeight="1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</row>
    <row r="128" ht="15.75" customHeight="1">
      <c r="A128" s="147"/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</row>
    <row r="129" ht="15.75" customHeight="1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</row>
    <row r="130" ht="15.75" customHeight="1">
      <c r="A130" s="147"/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</row>
    <row r="131" ht="15.75" customHeight="1">
      <c r="A131" s="147"/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</row>
    <row r="132" ht="15.75" customHeight="1">
      <c r="A132" s="147"/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</row>
    <row r="133" ht="15.75" customHeight="1">
      <c r="A133" s="147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</row>
    <row r="134" ht="15.75" customHeight="1">
      <c r="A134" s="147"/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</row>
    <row r="135" ht="15.75" customHeight="1">
      <c r="A135" s="147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</row>
    <row r="136" ht="15.75" customHeight="1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</row>
    <row r="137" ht="15.75" customHeight="1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</row>
    <row r="138" ht="15.7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</row>
    <row r="139" ht="15.75" customHeight="1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</row>
    <row r="140" ht="15.75" customHeight="1">
      <c r="A140" s="147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</row>
    <row r="141" ht="15.75" customHeight="1">
      <c r="A141" s="147"/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</row>
    <row r="142" ht="15.75" customHeight="1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</row>
    <row r="143" ht="15.75" customHeight="1">
      <c r="A143" s="147"/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</row>
    <row r="144" ht="15.75" customHeight="1">
      <c r="A144" s="147"/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</row>
    <row r="145" ht="15.75" customHeight="1">
      <c r="A145" s="147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</row>
    <row r="146" ht="15.75" customHeight="1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</row>
    <row r="147" ht="15.75" customHeight="1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</row>
    <row r="148" ht="15.75" customHeight="1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</row>
    <row r="149" ht="15.75" customHeight="1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</row>
    <row r="150" ht="15.75" customHeight="1">
      <c r="A150" s="147"/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</row>
    <row r="151" ht="15.75" customHeight="1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</row>
    <row r="152" ht="15.75" customHeight="1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</row>
    <row r="153" ht="15.75" customHeight="1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</row>
    <row r="154" ht="15.75" customHeight="1">
      <c r="A154" s="147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</row>
    <row r="155" ht="15.75" customHeight="1">
      <c r="A155" s="147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</row>
    <row r="156" ht="15.75" customHeight="1">
      <c r="A156" s="147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</row>
    <row r="157" ht="15.75" customHeight="1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</row>
    <row r="158" ht="15.75" customHeight="1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</row>
    <row r="159" ht="15.75" customHeight="1">
      <c r="A159" s="147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</row>
    <row r="160" ht="15.75" customHeight="1">
      <c r="A160" s="14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</row>
    <row r="161" ht="15.75" customHeight="1">
      <c r="A161" s="147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</row>
    <row r="162" ht="15.75" customHeight="1">
      <c r="A162" s="147"/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</row>
    <row r="163" ht="15.75" customHeight="1">
      <c r="A163" s="147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</row>
    <row r="164" ht="15.75" customHeight="1">
      <c r="A164" s="147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</row>
    <row r="165" ht="15.75" customHeight="1">
      <c r="A165" s="147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</row>
    <row r="166" ht="15.75" customHeight="1">
      <c r="A166" s="147"/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</row>
    <row r="167" ht="15.75" customHeight="1">
      <c r="A167" s="147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</row>
    <row r="168" ht="15.75" customHeight="1">
      <c r="A168" s="147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</row>
    <row r="169" ht="15.75" customHeight="1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</row>
    <row r="170" ht="15.75" customHeight="1">
      <c r="A170" s="147"/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</row>
    <row r="171" ht="15.75" customHeight="1">
      <c r="A171" s="147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</row>
    <row r="172" ht="15.75" customHeight="1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</row>
    <row r="173" ht="15.75" customHeight="1">
      <c r="A173" s="147"/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</row>
    <row r="174" ht="15.75" customHeight="1">
      <c r="A174" s="147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</row>
    <row r="175" ht="15.75" customHeight="1">
      <c r="A175" s="147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</row>
    <row r="176" ht="15.75" customHeight="1">
      <c r="A176" s="147"/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</row>
    <row r="177" ht="15.75" customHeight="1">
      <c r="A177" s="147"/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</row>
    <row r="178" ht="15.75" customHeight="1">
      <c r="A178" s="147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</row>
    <row r="179" ht="15.75" customHeight="1">
      <c r="A179" s="147"/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</row>
    <row r="180" ht="15.75" customHeight="1">
      <c r="A180" s="147"/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</row>
    <row r="181" ht="15.75" customHeight="1">
      <c r="A181" s="147"/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</row>
    <row r="182" ht="15.75" customHeight="1">
      <c r="A182" s="147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</row>
    <row r="183" ht="15.75" customHeight="1">
      <c r="A183" s="147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</row>
    <row r="184" ht="15.75" customHeight="1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</row>
    <row r="185" ht="15.75" customHeight="1">
      <c r="A185" s="147"/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</row>
    <row r="186" ht="15.75" customHeight="1">
      <c r="A186" s="147"/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</row>
    <row r="187" ht="15.75" customHeight="1">
      <c r="A187" s="147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</row>
    <row r="188" ht="15.75" customHeight="1">
      <c r="A188" s="147"/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</row>
    <row r="189" ht="15.75" customHeight="1">
      <c r="A189" s="147"/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</row>
    <row r="190" ht="15.75" customHeight="1">
      <c r="A190" s="147"/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</row>
    <row r="191" ht="15.75" customHeight="1">
      <c r="A191" s="147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</row>
    <row r="192" ht="15.75" customHeight="1">
      <c r="A192" s="147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</row>
    <row r="193" ht="15.75" customHeight="1">
      <c r="A193" s="147"/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</row>
    <row r="194" ht="15.75" customHeight="1">
      <c r="A194" s="147"/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</row>
    <row r="195" ht="15.75" customHeight="1">
      <c r="A195" s="147"/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</row>
    <row r="196" ht="15.75" customHeight="1">
      <c r="A196" s="147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</row>
    <row r="197" ht="15.75" customHeight="1">
      <c r="A197" s="147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</row>
    <row r="198" ht="15.75" customHeight="1">
      <c r="A198" s="147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</row>
    <row r="199" ht="15.75" customHeight="1">
      <c r="A199" s="147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</row>
    <row r="200" ht="15.75" customHeight="1">
      <c r="A200" s="147"/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</row>
    <row r="201" ht="15.75" customHeight="1">
      <c r="A201" s="147"/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</row>
    <row r="202" ht="15.75" customHeight="1">
      <c r="A202" s="147"/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  <c r="AI202" s="147"/>
      <c r="AJ202" s="147"/>
      <c r="AK202" s="147"/>
      <c r="AL202" s="147"/>
    </row>
    <row r="203" ht="15.75" customHeight="1">
      <c r="A203" s="147"/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</row>
    <row r="204" ht="15.75" customHeight="1">
      <c r="A204" s="147"/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</row>
    <row r="205" ht="15.75" customHeight="1">
      <c r="A205" s="147"/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</row>
    <row r="206" ht="15.75" customHeight="1">
      <c r="A206" s="147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</row>
    <row r="207" ht="15.75" customHeight="1">
      <c r="A207" s="147"/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</row>
    <row r="208" ht="15.75" customHeight="1">
      <c r="A208" s="147"/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</row>
    <row r="209" ht="15.75" customHeight="1">
      <c r="A209" s="147"/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</row>
    <row r="210" ht="15.75" customHeight="1">
      <c r="A210" s="147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</row>
    <row r="211" ht="15.75" customHeight="1">
      <c r="A211" s="147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</row>
    <row r="212" ht="15.75" customHeight="1">
      <c r="A212" s="147"/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</row>
    <row r="213" ht="15.75" customHeight="1">
      <c r="A213" s="147"/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</row>
    <row r="214" ht="15.75" customHeight="1">
      <c r="A214" s="147"/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</row>
    <row r="215" ht="15.75" customHeight="1">
      <c r="A215" s="147"/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</row>
    <row r="216" ht="15.75" customHeight="1">
      <c r="A216" s="147"/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  <c r="AI216" s="147"/>
      <c r="AJ216" s="147"/>
      <c r="AK216" s="147"/>
      <c r="AL216" s="147"/>
    </row>
    <row r="217" ht="15.75" customHeight="1">
      <c r="A217" s="147"/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</row>
    <row r="218" ht="15.75" customHeight="1">
      <c r="A218" s="147"/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  <c r="AI218" s="147"/>
      <c r="AJ218" s="147"/>
      <c r="AK218" s="147"/>
      <c r="AL218" s="147"/>
    </row>
    <row r="219" ht="15.75" customHeight="1">
      <c r="A219" s="147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</row>
    <row r="220" ht="15.75" customHeight="1">
      <c r="A220" s="147"/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  <c r="AI220" s="147"/>
      <c r="AJ220" s="147"/>
      <c r="AK220" s="147"/>
      <c r="AL220" s="147"/>
    </row>
    <row r="221" ht="15.75" customHeight="1">
      <c r="A221" s="147"/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</row>
    <row r="222" ht="15.75" customHeight="1">
      <c r="A222" s="147"/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</row>
    <row r="223" ht="15.75" customHeight="1">
      <c r="A223" s="147"/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</row>
    <row r="224" ht="15.75" customHeight="1">
      <c r="A224" s="147"/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</row>
    <row r="225" ht="15.75" customHeight="1">
      <c r="A225" s="147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</row>
    <row r="226" ht="15.75" customHeight="1">
      <c r="A226" s="147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</row>
    <row r="227" ht="15.75" customHeight="1">
      <c r="A227" s="147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</row>
    <row r="228" ht="15.75" customHeight="1">
      <c r="A228" s="147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</row>
    <row r="229" ht="15.75" customHeight="1">
      <c r="A229" s="147"/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</row>
    <row r="230" ht="15.75" customHeight="1">
      <c r="A230" s="147"/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</row>
    <row r="231" ht="15.75" customHeight="1">
      <c r="A231" s="147"/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</row>
    <row r="232" ht="15.75" customHeight="1">
      <c r="A232" s="147"/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</row>
    <row r="233" ht="15.75" customHeight="1">
      <c r="A233" s="147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</row>
    <row r="234" ht="15.75" customHeight="1">
      <c r="A234" s="147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  <c r="AI234" s="147"/>
      <c r="AJ234" s="147"/>
      <c r="AK234" s="147"/>
      <c r="AL234" s="147"/>
    </row>
    <row r="235" ht="15.75" customHeight="1">
      <c r="A235" s="147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  <c r="AI235" s="147"/>
      <c r="AJ235" s="147"/>
      <c r="AK235" s="147"/>
      <c r="AL235" s="147"/>
    </row>
    <row r="236" ht="15.75" customHeight="1">
      <c r="A236" s="147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7"/>
      <c r="AK236" s="147"/>
      <c r="AL236" s="147"/>
    </row>
    <row r="237" ht="15.75" customHeight="1">
      <c r="A237" s="147"/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</row>
    <row r="238" ht="15.75" customHeight="1">
      <c r="A238" s="147"/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7"/>
      <c r="AK238" s="147"/>
      <c r="AL238" s="147"/>
    </row>
    <row r="239" ht="15.75" customHeight="1">
      <c r="A239" s="147"/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7"/>
      <c r="AK239" s="147"/>
      <c r="AL239" s="147"/>
    </row>
    <row r="240" ht="15.75" customHeight="1">
      <c r="A240" s="147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7"/>
      <c r="AK240" s="147"/>
      <c r="AL240" s="147"/>
    </row>
    <row r="241" ht="15.75" customHeight="1">
      <c r="A241" s="147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</row>
    <row r="242" ht="15.75" customHeight="1">
      <c r="A242" s="147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/>
      <c r="AH242" s="147"/>
      <c r="AI242" s="147"/>
      <c r="AJ242" s="147"/>
      <c r="AK242" s="147"/>
      <c r="AL242" s="147"/>
    </row>
    <row r="243" ht="15.75" customHeight="1">
      <c r="A243" s="147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/>
      <c r="AH243" s="147"/>
      <c r="AI243" s="147"/>
      <c r="AJ243" s="147"/>
      <c r="AK243" s="147"/>
      <c r="AL243" s="147"/>
    </row>
    <row r="244" ht="15.75" customHeight="1">
      <c r="A244" s="147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</row>
    <row r="245" ht="15.75" customHeight="1">
      <c r="A245" s="147"/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</row>
    <row r="246" ht="15.75" customHeight="1">
      <c r="A246" s="147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</row>
    <row r="247" ht="15.75" customHeight="1">
      <c r="A247" s="147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</row>
    <row r="248" ht="15.75" customHeight="1">
      <c r="A248" s="147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</row>
    <row r="249" ht="15.75" customHeight="1">
      <c r="A249" s="147"/>
      <c r="B249" s="147"/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</row>
    <row r="250" ht="15.75" customHeight="1">
      <c r="A250" s="147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</row>
    <row r="251" ht="15.75" customHeight="1">
      <c r="A251" s="147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</row>
    <row r="252" ht="15.75" customHeight="1">
      <c r="A252" s="147"/>
      <c r="B252" s="147"/>
      <c r="C252" s="147"/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</row>
    <row r="253" ht="15.75" customHeight="1">
      <c r="A253" s="147"/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</row>
    <row r="254" ht="15.75" customHeight="1">
      <c r="A254" s="147"/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</row>
    <row r="255" ht="15.75" customHeight="1">
      <c r="A255" s="147"/>
      <c r="B255" s="147"/>
      <c r="C255" s="147"/>
      <c r="D255" s="147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</row>
    <row r="256" ht="15.75" customHeight="1">
      <c r="A256" s="147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</row>
    <row r="257" ht="15.75" customHeight="1">
      <c r="A257" s="147"/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7"/>
      <c r="AK257" s="147"/>
      <c r="AL257" s="147"/>
    </row>
    <row r="258" ht="15.75" customHeight="1">
      <c r="A258" s="147"/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/>
      <c r="AH258" s="147"/>
      <c r="AI258" s="147"/>
      <c r="AJ258" s="147"/>
      <c r="AK258" s="147"/>
      <c r="AL258" s="147"/>
    </row>
    <row r="259" ht="15.75" customHeight="1">
      <c r="A259" s="147"/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7"/>
      <c r="AK259" s="147"/>
      <c r="AL259" s="147"/>
    </row>
    <row r="260" ht="15.75" customHeight="1">
      <c r="A260" s="147"/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7"/>
      <c r="AE260" s="147"/>
      <c r="AF260" s="147"/>
      <c r="AG260" s="147"/>
      <c r="AH260" s="147"/>
      <c r="AI260" s="147"/>
      <c r="AJ260" s="147"/>
      <c r="AK260" s="147"/>
      <c r="AL260" s="147"/>
    </row>
    <row r="261" ht="15.75" customHeight="1">
      <c r="A261" s="147"/>
      <c r="B261" s="147"/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/>
      <c r="AH261" s="147"/>
      <c r="AI261" s="147"/>
      <c r="AJ261" s="147"/>
      <c r="AK261" s="147"/>
      <c r="AL261" s="147"/>
    </row>
    <row r="262" ht="15.75" customHeight="1">
      <c r="A262" s="147"/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7"/>
      <c r="AK262" s="147"/>
      <c r="AL262" s="147"/>
    </row>
    <row r="263" ht="15.75" customHeight="1">
      <c r="A263" s="147"/>
      <c r="B263" s="147"/>
      <c r="C263" s="147"/>
      <c r="D263" s="147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7"/>
      <c r="AH263" s="147"/>
      <c r="AI263" s="147"/>
      <c r="AJ263" s="147"/>
      <c r="AK263" s="147"/>
      <c r="AL263" s="147"/>
    </row>
    <row r="264" ht="15.75" customHeight="1">
      <c r="A264" s="147"/>
      <c r="B264" s="147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7"/>
      <c r="AF264" s="147"/>
      <c r="AG264" s="147"/>
      <c r="AH264" s="147"/>
      <c r="AI264" s="147"/>
      <c r="AJ264" s="147"/>
      <c r="AK264" s="147"/>
      <c r="AL264" s="147"/>
    </row>
    <row r="265" ht="15.75" customHeight="1">
      <c r="A265" s="147"/>
      <c r="B265" s="147"/>
      <c r="C265" s="147"/>
      <c r="D265" s="147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</row>
    <row r="266" ht="15.75" customHeight="1">
      <c r="A266" s="147"/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7"/>
      <c r="AK266" s="147"/>
      <c r="AL266" s="147"/>
    </row>
    <row r="267" ht="15.75" customHeight="1">
      <c r="A267" s="147"/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7"/>
      <c r="AE267" s="147"/>
      <c r="AF267" s="147"/>
      <c r="AG267" s="147"/>
      <c r="AH267" s="147"/>
      <c r="AI267" s="147"/>
      <c r="AJ267" s="147"/>
      <c r="AK267" s="147"/>
      <c r="AL267" s="147"/>
    </row>
    <row r="268" ht="15.75" customHeight="1">
      <c r="A268" s="147"/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7"/>
      <c r="AK268" s="147"/>
      <c r="AL268" s="147"/>
    </row>
    <row r="269" ht="15.75" customHeight="1">
      <c r="A269" s="147"/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</row>
    <row r="270" ht="15.75" customHeight="1">
      <c r="A270" s="147"/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  <c r="AE270" s="147"/>
      <c r="AF270" s="147"/>
      <c r="AG270" s="147"/>
      <c r="AH270" s="147"/>
      <c r="AI270" s="147"/>
      <c r="AJ270" s="147"/>
      <c r="AK270" s="147"/>
      <c r="AL270" s="147"/>
    </row>
    <row r="271" ht="15.75" customHeight="1">
      <c r="A271" s="147"/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/>
      <c r="AH271" s="147"/>
      <c r="AI271" s="147"/>
      <c r="AJ271" s="147"/>
      <c r="AK271" s="147"/>
      <c r="AL271" s="147"/>
    </row>
    <row r="272" ht="15.75" customHeight="1">
      <c r="A272" s="147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7"/>
      <c r="AH272" s="147"/>
      <c r="AI272" s="147"/>
      <c r="AJ272" s="147"/>
      <c r="AK272" s="147"/>
      <c r="AL272" s="147"/>
    </row>
    <row r="273" ht="15.75" customHeight="1">
      <c r="A273" s="147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</row>
    <row r="274" ht="15.75" customHeight="1">
      <c r="A274" s="147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/>
      <c r="AH274" s="147"/>
      <c r="AI274" s="147"/>
      <c r="AJ274" s="147"/>
      <c r="AK274" s="147"/>
      <c r="AL274" s="147"/>
    </row>
    <row r="275" ht="15.75" customHeight="1">
      <c r="A275" s="147"/>
      <c r="B275" s="147"/>
      <c r="C275" s="147"/>
      <c r="D275" s="147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/>
      <c r="AH275" s="147"/>
      <c r="AI275" s="147"/>
      <c r="AJ275" s="147"/>
      <c r="AK275" s="147"/>
      <c r="AL275" s="147"/>
    </row>
    <row r="276" ht="15.75" customHeight="1">
      <c r="A276" s="147"/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/>
      <c r="AH276" s="147"/>
      <c r="AI276" s="147"/>
      <c r="AJ276" s="147"/>
      <c r="AK276" s="147"/>
      <c r="AL276" s="147"/>
    </row>
    <row r="277" ht="15.75" customHeight="1">
      <c r="A277" s="147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/>
      <c r="AH277" s="147"/>
      <c r="AI277" s="147"/>
      <c r="AJ277" s="147"/>
      <c r="AK277" s="147"/>
      <c r="AL277" s="147"/>
    </row>
    <row r="278" ht="15.75" customHeight="1">
      <c r="A278" s="147"/>
      <c r="B278" s="147"/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7"/>
      <c r="AF278" s="147"/>
      <c r="AG278" s="147"/>
      <c r="AH278" s="147"/>
      <c r="AI278" s="147"/>
      <c r="AJ278" s="147"/>
      <c r="AK278" s="147"/>
      <c r="AL278" s="147"/>
    </row>
    <row r="279" ht="15.75" customHeight="1">
      <c r="A279" s="147"/>
      <c r="B279" s="147"/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7"/>
      <c r="AE279" s="147"/>
      <c r="AF279" s="147"/>
      <c r="AG279" s="147"/>
      <c r="AH279" s="147"/>
      <c r="AI279" s="147"/>
      <c r="AJ279" s="147"/>
      <c r="AK279" s="147"/>
      <c r="AL279" s="147"/>
    </row>
    <row r="280" ht="15.75" customHeight="1">
      <c r="A280" s="147"/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/>
      <c r="AH280" s="147"/>
      <c r="AI280" s="147"/>
      <c r="AJ280" s="147"/>
      <c r="AK280" s="147"/>
      <c r="AL280" s="147"/>
    </row>
    <row r="281" ht="15.75" customHeight="1">
      <c r="A281" s="147"/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7"/>
      <c r="AH281" s="147"/>
      <c r="AI281" s="147"/>
      <c r="AJ281" s="147"/>
      <c r="AK281" s="147"/>
      <c r="AL281" s="147"/>
    </row>
    <row r="282" ht="15.75" customHeight="1">
      <c r="A282" s="147"/>
      <c r="B282" s="147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7"/>
      <c r="AE282" s="147"/>
      <c r="AF282" s="147"/>
      <c r="AG282" s="147"/>
      <c r="AH282" s="147"/>
      <c r="AI282" s="147"/>
      <c r="AJ282" s="147"/>
      <c r="AK282" s="147"/>
      <c r="AL282" s="147"/>
    </row>
    <row r="283" ht="15.75" customHeight="1">
      <c r="A283" s="147"/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/>
      <c r="AH283" s="147"/>
      <c r="AI283" s="147"/>
      <c r="AJ283" s="147"/>
      <c r="AK283" s="147"/>
      <c r="AL283" s="147"/>
    </row>
    <row r="284" ht="15.75" customHeight="1">
      <c r="A284" s="147"/>
      <c r="B284" s="147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47"/>
      <c r="AF284" s="147"/>
      <c r="AG284" s="147"/>
      <c r="AH284" s="147"/>
      <c r="AI284" s="147"/>
      <c r="AJ284" s="147"/>
      <c r="AK284" s="147"/>
      <c r="AL284" s="147"/>
    </row>
    <row r="285" ht="15.75" customHeight="1">
      <c r="A285" s="147"/>
      <c r="B285" s="147"/>
      <c r="C285" s="147"/>
      <c r="D285" s="147"/>
      <c r="E285" s="147"/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7"/>
      <c r="AE285" s="147"/>
      <c r="AF285" s="147"/>
      <c r="AG285" s="147"/>
      <c r="AH285" s="147"/>
      <c r="AI285" s="147"/>
      <c r="AJ285" s="147"/>
      <c r="AK285" s="147"/>
      <c r="AL285" s="147"/>
    </row>
    <row r="286" ht="15.75" customHeight="1">
      <c r="A286" s="147"/>
      <c r="B286" s="147"/>
      <c r="C286" s="147"/>
      <c r="D286" s="147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/>
      <c r="AH286" s="147"/>
      <c r="AI286" s="147"/>
      <c r="AJ286" s="147"/>
      <c r="AK286" s="147"/>
      <c r="AL286" s="147"/>
    </row>
    <row r="287" ht="15.75" customHeight="1">
      <c r="A287" s="147"/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7"/>
      <c r="AF287" s="147"/>
      <c r="AG287" s="147"/>
      <c r="AH287" s="147"/>
      <c r="AI287" s="147"/>
      <c r="AJ287" s="147"/>
      <c r="AK287" s="147"/>
      <c r="AL287" s="147"/>
    </row>
    <row r="288" ht="15.75" customHeight="1">
      <c r="A288" s="147"/>
      <c r="B288" s="147"/>
      <c r="C288" s="147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7"/>
      <c r="AF288" s="147"/>
      <c r="AG288" s="147"/>
      <c r="AH288" s="147"/>
      <c r="AI288" s="147"/>
      <c r="AJ288" s="147"/>
      <c r="AK288" s="147"/>
      <c r="AL288" s="147"/>
    </row>
    <row r="289" ht="15.75" customHeight="1">
      <c r="A289" s="147"/>
      <c r="B289" s="147"/>
      <c r="C289" s="147"/>
      <c r="D289" s="147"/>
      <c r="E289" s="147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</row>
    <row r="290" ht="15.75" customHeight="1">
      <c r="A290" s="147"/>
      <c r="B290" s="147"/>
      <c r="C290" s="147"/>
      <c r="D290" s="147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/>
      <c r="AH290" s="147"/>
      <c r="AI290" s="147"/>
      <c r="AJ290" s="147"/>
      <c r="AK290" s="147"/>
      <c r="AL290" s="147"/>
    </row>
    <row r="291" ht="15.75" customHeight="1">
      <c r="A291" s="147"/>
      <c r="B291" s="147"/>
      <c r="C291" s="147"/>
      <c r="D291" s="147"/>
      <c r="E291" s="147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7"/>
      <c r="AE291" s="147"/>
      <c r="AF291" s="147"/>
      <c r="AG291" s="147"/>
      <c r="AH291" s="147"/>
      <c r="AI291" s="147"/>
      <c r="AJ291" s="147"/>
      <c r="AK291" s="147"/>
      <c r="AL291" s="147"/>
    </row>
    <row r="292" ht="15.75" customHeight="1">
      <c r="A292" s="147"/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/>
      <c r="AH292" s="147"/>
      <c r="AI292" s="147"/>
      <c r="AJ292" s="147"/>
      <c r="AK292" s="147"/>
      <c r="AL292" s="147"/>
    </row>
    <row r="293" ht="15.75" customHeight="1">
      <c r="A293" s="147"/>
      <c r="B293" s="147"/>
      <c r="C293" s="147"/>
      <c r="D293" s="147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7"/>
      <c r="AE293" s="147"/>
      <c r="AF293" s="147"/>
      <c r="AG293" s="147"/>
      <c r="AH293" s="147"/>
      <c r="AI293" s="147"/>
      <c r="AJ293" s="147"/>
      <c r="AK293" s="147"/>
      <c r="AL293" s="147"/>
    </row>
    <row r="294" ht="15.75" customHeight="1">
      <c r="A294" s="147"/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7"/>
      <c r="AF294" s="147"/>
      <c r="AG294" s="147"/>
      <c r="AH294" s="147"/>
      <c r="AI294" s="147"/>
      <c r="AJ294" s="147"/>
      <c r="AK294" s="147"/>
      <c r="AL294" s="147"/>
    </row>
    <row r="295" ht="15.75" customHeight="1">
      <c r="A295" s="147"/>
      <c r="B295" s="147"/>
      <c r="C295" s="147"/>
      <c r="D295" s="147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</row>
    <row r="296" ht="15.75" customHeight="1">
      <c r="A296" s="147"/>
      <c r="B296" s="147"/>
      <c r="C296" s="147"/>
      <c r="D296" s="147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  <c r="AE296" s="147"/>
      <c r="AF296" s="147"/>
      <c r="AG296" s="147"/>
      <c r="AH296" s="147"/>
      <c r="AI296" s="147"/>
      <c r="AJ296" s="147"/>
      <c r="AK296" s="147"/>
      <c r="AL296" s="147"/>
    </row>
    <row r="297" ht="15.75" customHeight="1">
      <c r="A297" s="147"/>
      <c r="B297" s="147"/>
      <c r="C297" s="147"/>
      <c r="D297" s="147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7"/>
      <c r="AE297" s="147"/>
      <c r="AF297" s="147"/>
      <c r="AG297" s="147"/>
      <c r="AH297" s="147"/>
      <c r="AI297" s="147"/>
      <c r="AJ297" s="147"/>
      <c r="AK297" s="147"/>
      <c r="AL297" s="147"/>
    </row>
    <row r="298" ht="15.75" customHeight="1">
      <c r="A298" s="147"/>
      <c r="B298" s="147"/>
      <c r="C298" s="147"/>
      <c r="D298" s="147"/>
      <c r="E298" s="147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/>
      <c r="AH298" s="147"/>
      <c r="AI298" s="147"/>
      <c r="AJ298" s="147"/>
      <c r="AK298" s="147"/>
      <c r="AL298" s="147"/>
    </row>
    <row r="299" ht="15.75" customHeight="1">
      <c r="A299" s="147"/>
      <c r="B299" s="147"/>
      <c r="C299" s="147"/>
      <c r="D299" s="147"/>
      <c r="E299" s="147"/>
      <c r="F299" s="147"/>
      <c r="G299" s="147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/>
      <c r="AH299" s="147"/>
      <c r="AI299" s="147"/>
      <c r="AJ299" s="147"/>
      <c r="AK299" s="147"/>
      <c r="AL299" s="147"/>
    </row>
    <row r="300" ht="15.75" customHeight="1">
      <c r="A300" s="147"/>
      <c r="B300" s="147"/>
      <c r="C300" s="147"/>
      <c r="D300" s="147"/>
      <c r="E300" s="147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/>
      <c r="AH300" s="147"/>
      <c r="AI300" s="147"/>
      <c r="AJ300" s="147"/>
      <c r="AK300" s="147"/>
      <c r="AL300" s="147"/>
    </row>
    <row r="301" ht="15.75" customHeight="1">
      <c r="A301" s="147"/>
      <c r="B301" s="147"/>
      <c r="C301" s="147"/>
      <c r="D301" s="147"/>
      <c r="E301" s="147"/>
      <c r="F301" s="147"/>
      <c r="G301" s="147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</row>
    <row r="302" ht="15.75" customHeight="1">
      <c r="A302" s="147"/>
      <c r="B302" s="147"/>
      <c r="C302" s="147"/>
      <c r="D302" s="147"/>
      <c r="E302" s="147"/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/>
      <c r="AH302" s="147"/>
      <c r="AI302" s="147"/>
      <c r="AJ302" s="147"/>
      <c r="AK302" s="147"/>
      <c r="AL302" s="147"/>
    </row>
    <row r="303" ht="15.75" customHeight="1">
      <c r="A303" s="147"/>
      <c r="B303" s="147"/>
      <c r="C303" s="147"/>
      <c r="D303" s="147"/>
      <c r="E303" s="147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</row>
    <row r="304" ht="15.75" customHeight="1">
      <c r="A304" s="147"/>
      <c r="B304" s="147"/>
      <c r="C304" s="147"/>
      <c r="D304" s="147"/>
      <c r="E304" s="147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</row>
    <row r="305" ht="15.75" customHeight="1">
      <c r="A305" s="147"/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</row>
    <row r="306" ht="15.75" customHeight="1">
      <c r="A306" s="147"/>
      <c r="B306" s="147"/>
      <c r="C306" s="147"/>
      <c r="D306" s="147"/>
      <c r="E306" s="147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  <c r="AE306" s="147"/>
      <c r="AF306" s="147"/>
      <c r="AG306" s="147"/>
      <c r="AH306" s="147"/>
      <c r="AI306" s="147"/>
      <c r="AJ306" s="147"/>
      <c r="AK306" s="147"/>
      <c r="AL306" s="147"/>
    </row>
    <row r="307" ht="15.75" customHeight="1">
      <c r="A307" s="147"/>
      <c r="B307" s="147"/>
      <c r="C307" s="147"/>
      <c r="D307" s="147"/>
      <c r="E307" s="147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</row>
    <row r="308" ht="15.75" customHeight="1">
      <c r="A308" s="147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  <c r="AH308" s="147"/>
      <c r="AI308" s="147"/>
      <c r="AJ308" s="147"/>
      <c r="AK308" s="147"/>
      <c r="AL308" s="147"/>
    </row>
    <row r="309" ht="15.75" customHeight="1">
      <c r="A309" s="147"/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  <c r="AH309" s="147"/>
      <c r="AI309" s="147"/>
      <c r="AJ309" s="147"/>
      <c r="AK309" s="147"/>
      <c r="AL309" s="147"/>
    </row>
    <row r="310" ht="15.75" customHeight="1">
      <c r="A310" s="147"/>
      <c r="B310" s="147"/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/>
      <c r="AH310" s="147"/>
      <c r="AI310" s="147"/>
      <c r="AJ310" s="147"/>
      <c r="AK310" s="147"/>
      <c r="AL310" s="147"/>
    </row>
    <row r="311" ht="15.75" customHeight="1">
      <c r="A311" s="147"/>
      <c r="B311" s="147"/>
      <c r="C311" s="147"/>
      <c r="D311" s="147"/>
      <c r="E311" s="147"/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</row>
    <row r="312" ht="15.75" customHeight="1">
      <c r="A312" s="147"/>
      <c r="B312" s="147"/>
      <c r="C312" s="147"/>
      <c r="D312" s="147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7"/>
      <c r="AJ312" s="147"/>
      <c r="AK312" s="147"/>
      <c r="AL312" s="147"/>
    </row>
    <row r="313" ht="15.75" customHeight="1">
      <c r="A313" s="147"/>
      <c r="B313" s="147"/>
      <c r="C313" s="147"/>
      <c r="D313" s="147"/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</row>
    <row r="314" ht="15.75" customHeight="1">
      <c r="A314" s="147"/>
      <c r="B314" s="147"/>
      <c r="C314" s="147"/>
      <c r="D314" s="147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</row>
    <row r="315" ht="15.75" customHeight="1">
      <c r="A315" s="147"/>
      <c r="B315" s="147"/>
      <c r="C315" s="147"/>
      <c r="D315" s="147"/>
      <c r="E315" s="147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</row>
    <row r="316" ht="15.75" customHeight="1">
      <c r="A316" s="147"/>
      <c r="B316" s="147"/>
      <c r="C316" s="147"/>
      <c r="D316" s="147"/>
      <c r="E316" s="147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</row>
    <row r="317" ht="15.75" customHeight="1">
      <c r="A317" s="147"/>
      <c r="B317" s="147"/>
      <c r="C317" s="147"/>
      <c r="D317" s="147"/>
      <c r="E317" s="147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/>
      <c r="AH317" s="147"/>
      <c r="AI317" s="147"/>
      <c r="AJ317" s="147"/>
      <c r="AK317" s="147"/>
      <c r="AL317" s="147"/>
    </row>
    <row r="318" ht="15.75" customHeight="1">
      <c r="A318" s="147"/>
      <c r="B318" s="147"/>
      <c r="C318" s="147"/>
      <c r="D318" s="147"/>
      <c r="E318" s="147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/>
      <c r="AH318" s="147"/>
      <c r="AI318" s="147"/>
      <c r="AJ318" s="147"/>
      <c r="AK318" s="147"/>
      <c r="AL318" s="147"/>
    </row>
    <row r="319" ht="15.75" customHeight="1">
      <c r="A319" s="147"/>
      <c r="B319" s="147"/>
      <c r="C319" s="147"/>
      <c r="D319" s="147"/>
      <c r="E319" s="147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</row>
    <row r="320" ht="15.75" customHeight="1">
      <c r="A320" s="147"/>
      <c r="B320" s="147"/>
      <c r="C320" s="147"/>
      <c r="D320" s="147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7"/>
      <c r="AF320" s="147"/>
      <c r="AG320" s="147"/>
      <c r="AH320" s="147"/>
      <c r="AI320" s="147"/>
      <c r="AJ320" s="147"/>
      <c r="AK320" s="147"/>
      <c r="AL320" s="147"/>
    </row>
    <row r="321" ht="15.75" customHeight="1">
      <c r="A321" s="147"/>
      <c r="B321" s="147"/>
      <c r="C321" s="147"/>
      <c r="D321" s="147"/>
      <c r="E321" s="147"/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</row>
    <row r="322" ht="15.75" customHeight="1">
      <c r="A322" s="147"/>
      <c r="B322" s="147"/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/>
      <c r="AH322" s="147"/>
      <c r="AI322" s="147"/>
      <c r="AJ322" s="147"/>
      <c r="AK322" s="147"/>
      <c r="AL322" s="147"/>
    </row>
    <row r="323" ht="15.75" customHeight="1">
      <c r="A323" s="147"/>
      <c r="B323" s="147"/>
      <c r="C323" s="147"/>
      <c r="D323" s="147"/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</row>
    <row r="324" ht="15.75" customHeight="1">
      <c r="A324" s="147"/>
      <c r="B324" s="147"/>
      <c r="C324" s="147"/>
      <c r="D324" s="147"/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/>
      <c r="AH324" s="147"/>
      <c r="AI324" s="147"/>
      <c r="AJ324" s="147"/>
      <c r="AK324" s="147"/>
      <c r="AL324" s="147"/>
    </row>
    <row r="325" ht="15.75" customHeight="1">
      <c r="A325" s="147"/>
      <c r="B325" s="147"/>
      <c r="C325" s="147"/>
      <c r="D325" s="147"/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/>
      <c r="AH325" s="147"/>
      <c r="AI325" s="147"/>
      <c r="AJ325" s="147"/>
      <c r="AK325" s="147"/>
      <c r="AL325" s="147"/>
    </row>
    <row r="326" ht="15.75" customHeight="1">
      <c r="A326" s="147"/>
      <c r="B326" s="147"/>
      <c r="C326" s="147"/>
      <c r="D326" s="147"/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</row>
    <row r="327" ht="15.75" customHeight="1">
      <c r="A327" s="147"/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</row>
    <row r="328" ht="15.75" customHeight="1">
      <c r="A328" s="147"/>
      <c r="B328" s="147"/>
      <c r="C328" s="147"/>
      <c r="D328" s="147"/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  <c r="AI328" s="147"/>
      <c r="AJ328" s="147"/>
      <c r="AK328" s="147"/>
      <c r="AL328" s="147"/>
    </row>
    <row r="329" ht="15.75" customHeight="1">
      <c r="A329" s="147"/>
      <c r="B329" s="147"/>
      <c r="C329" s="147"/>
      <c r="D329" s="147"/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  <c r="AE329" s="147"/>
      <c r="AF329" s="147"/>
      <c r="AG329" s="147"/>
      <c r="AH329" s="147"/>
      <c r="AI329" s="147"/>
      <c r="AJ329" s="147"/>
      <c r="AK329" s="147"/>
      <c r="AL329" s="147"/>
    </row>
    <row r="330" ht="15.75" customHeight="1">
      <c r="A330" s="147"/>
      <c r="B330" s="147"/>
      <c r="C330" s="147"/>
      <c r="D330" s="147"/>
      <c r="E330" s="147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/>
      <c r="AL330" s="147"/>
    </row>
    <row r="331" ht="15.75" customHeight="1">
      <c r="A331" s="147"/>
      <c r="B331" s="147"/>
      <c r="C331" s="147"/>
      <c r="D331" s="147"/>
      <c r="E331" s="147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</row>
    <row r="332" ht="15.75" customHeight="1">
      <c r="A332" s="147"/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</row>
    <row r="333" ht="15.75" customHeight="1">
      <c r="A333" s="147"/>
      <c r="B333" s="147"/>
      <c r="C333" s="147"/>
      <c r="D333" s="147"/>
      <c r="E333" s="147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</row>
    <row r="334" ht="15.75" customHeight="1">
      <c r="A334" s="147"/>
      <c r="B334" s="147"/>
      <c r="C334" s="147"/>
      <c r="D334" s="147"/>
      <c r="E334" s="147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</row>
    <row r="335" ht="15.75" customHeight="1">
      <c r="A335" s="147"/>
      <c r="B335" s="147"/>
      <c r="C335" s="147"/>
      <c r="D335" s="147"/>
      <c r="E335" s="147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</row>
    <row r="336" ht="15.75" customHeight="1">
      <c r="A336" s="147"/>
      <c r="B336" s="147"/>
      <c r="C336" s="147"/>
      <c r="D336" s="147"/>
      <c r="E336" s="147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</row>
    <row r="337" ht="15.75" customHeight="1">
      <c r="A337" s="147"/>
      <c r="B337" s="147"/>
      <c r="C337" s="147"/>
      <c r="D337" s="147"/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</row>
    <row r="338" ht="15.75" customHeight="1">
      <c r="A338" s="147"/>
      <c r="B338" s="147"/>
      <c r="C338" s="147"/>
      <c r="D338" s="147"/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/>
      <c r="AL338" s="147"/>
    </row>
    <row r="339" ht="15.75" customHeight="1">
      <c r="A339" s="147"/>
      <c r="B339" s="147"/>
      <c r="C339" s="147"/>
      <c r="D339" s="147"/>
      <c r="E339" s="147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</row>
    <row r="340" ht="15.75" customHeight="1">
      <c r="A340" s="147"/>
      <c r="B340" s="147"/>
      <c r="C340" s="147"/>
      <c r="D340" s="147"/>
      <c r="E340" s="147"/>
      <c r="F340" s="147"/>
      <c r="G340" s="147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</row>
    <row r="341" ht="15.75" customHeight="1">
      <c r="A341" s="147"/>
      <c r="B341" s="147"/>
      <c r="C341" s="147"/>
      <c r="D341" s="147"/>
      <c r="E341" s="147"/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/>
      <c r="AH341" s="147"/>
      <c r="AI341" s="147"/>
      <c r="AJ341" s="147"/>
      <c r="AK341" s="147"/>
      <c r="AL341" s="147"/>
    </row>
    <row r="342" ht="15.75" customHeight="1">
      <c r="A342" s="147"/>
      <c r="B342" s="147"/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/>
      <c r="AH342" s="147"/>
      <c r="AI342" s="147"/>
      <c r="AJ342" s="147"/>
      <c r="AK342" s="147"/>
      <c r="AL342" s="147"/>
    </row>
    <row r="343" ht="15.75" customHeight="1">
      <c r="A343" s="147"/>
      <c r="B343" s="147"/>
      <c r="C343" s="147"/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</row>
    <row r="344" ht="15.75" customHeight="1">
      <c r="A344" s="147"/>
      <c r="B344" s="147"/>
      <c r="C344" s="147"/>
      <c r="D344" s="147"/>
      <c r="E344" s="147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</row>
    <row r="345" ht="15.75" customHeight="1">
      <c r="A345" s="147"/>
      <c r="B345" s="147"/>
      <c r="C345" s="147"/>
      <c r="D345" s="147"/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147"/>
    </row>
    <row r="346" ht="15.75" customHeight="1">
      <c r="A346" s="147"/>
      <c r="B346" s="147"/>
      <c r="C346" s="147"/>
      <c r="D346" s="147"/>
      <c r="E346" s="147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7"/>
      <c r="AJ346" s="147"/>
      <c r="AK346" s="147"/>
      <c r="AL346" s="147"/>
    </row>
    <row r="347" ht="15.75" customHeight="1">
      <c r="A347" s="147"/>
      <c r="B347" s="147"/>
      <c r="C347" s="147"/>
      <c r="D347" s="147"/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</row>
    <row r="348" ht="15.75" customHeight="1">
      <c r="A348" s="147"/>
      <c r="B348" s="147"/>
      <c r="C348" s="147"/>
      <c r="D348" s="14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</row>
    <row r="349" ht="15.75" customHeight="1">
      <c r="A349" s="147"/>
      <c r="B349" s="147"/>
      <c r="C349" s="147"/>
      <c r="D349" s="147"/>
      <c r="E349" s="147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</row>
    <row r="350" ht="15.75" customHeight="1">
      <c r="A350" s="147"/>
      <c r="B350" s="147"/>
      <c r="C350" s="147"/>
      <c r="D350" s="147"/>
      <c r="E350" s="147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</row>
    <row r="351" ht="15.75" customHeight="1">
      <c r="A351" s="147"/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</row>
    <row r="352" ht="15.75" customHeight="1">
      <c r="A352" s="147"/>
      <c r="B352" s="147"/>
      <c r="C352" s="147"/>
      <c r="D352" s="147"/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</row>
    <row r="353" ht="15.75" customHeight="1">
      <c r="A353" s="147"/>
      <c r="B353" s="147"/>
      <c r="C353" s="147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7"/>
      <c r="AH353" s="147"/>
      <c r="AI353" s="147"/>
      <c r="AJ353" s="147"/>
      <c r="AK353" s="147"/>
      <c r="AL353" s="147"/>
    </row>
    <row r="354" ht="15.75" customHeight="1">
      <c r="A354" s="147"/>
      <c r="B354" s="147"/>
      <c r="C354" s="147"/>
      <c r="D354" s="147"/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  <c r="AE354" s="147"/>
      <c r="AF354" s="147"/>
      <c r="AG354" s="147"/>
      <c r="AH354" s="147"/>
      <c r="AI354" s="147"/>
      <c r="AJ354" s="147"/>
      <c r="AK354" s="147"/>
      <c r="AL354" s="147"/>
    </row>
    <row r="355" ht="15.75" customHeight="1">
      <c r="A355" s="147"/>
      <c r="B355" s="147"/>
      <c r="C355" s="147"/>
      <c r="D355" s="147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</row>
    <row r="356" ht="15.75" customHeight="1">
      <c r="A356" s="147"/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</row>
    <row r="357" ht="15.75" customHeight="1">
      <c r="A357" s="147"/>
      <c r="B357" s="147"/>
      <c r="C357" s="147"/>
      <c r="D357" s="147"/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/>
      <c r="AH357" s="147"/>
      <c r="AI357" s="147"/>
      <c r="AJ357" s="147"/>
      <c r="AK357" s="147"/>
      <c r="AL357" s="147"/>
    </row>
    <row r="358" ht="15.75" customHeight="1">
      <c r="A358" s="147"/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</row>
    <row r="359" ht="15.75" customHeight="1">
      <c r="A359" s="147"/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</row>
    <row r="360" ht="15.75" customHeight="1">
      <c r="A360" s="147"/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</row>
    <row r="361" ht="15.75" customHeight="1">
      <c r="A361" s="147"/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</row>
    <row r="362" ht="15.75" customHeight="1">
      <c r="A362" s="147"/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</row>
    <row r="363" ht="15.75" customHeight="1">
      <c r="A363" s="147"/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</row>
    <row r="364" ht="15.75" customHeight="1">
      <c r="A364" s="147"/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7"/>
      <c r="AF364" s="147"/>
      <c r="AG364" s="147"/>
      <c r="AH364" s="147"/>
      <c r="AI364" s="147"/>
      <c r="AJ364" s="147"/>
      <c r="AK364" s="147"/>
      <c r="AL364" s="147"/>
    </row>
    <row r="365" ht="15.75" customHeight="1">
      <c r="A365" s="147"/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7"/>
      <c r="AF365" s="147"/>
      <c r="AG365" s="147"/>
      <c r="AH365" s="147"/>
      <c r="AI365" s="147"/>
      <c r="AJ365" s="147"/>
      <c r="AK365" s="147"/>
      <c r="AL365" s="147"/>
    </row>
    <row r="366" ht="15.75" customHeight="1">
      <c r="A366" s="147"/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/>
      <c r="AL366" s="147"/>
    </row>
    <row r="367" ht="15.75" customHeight="1">
      <c r="A367" s="147"/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</row>
    <row r="368" ht="15.75" customHeight="1">
      <c r="A368" s="147"/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</row>
    <row r="369" ht="15.75" customHeight="1">
      <c r="A369" s="147"/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</row>
    <row r="370" ht="15.75" customHeight="1">
      <c r="A370" s="147"/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</row>
    <row r="371" ht="15.75" customHeight="1">
      <c r="A371" s="147"/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</row>
    <row r="372" ht="15.75" customHeight="1">
      <c r="A372" s="147"/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</row>
    <row r="373" ht="15.75" customHeight="1">
      <c r="A373" s="147"/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</row>
    <row r="374" ht="15.75" customHeight="1">
      <c r="A374" s="147"/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7"/>
      <c r="AF374" s="147"/>
      <c r="AG374" s="147"/>
      <c r="AH374" s="147"/>
      <c r="AI374" s="147"/>
      <c r="AJ374" s="147"/>
      <c r="AK374" s="147"/>
      <c r="AL374" s="147"/>
    </row>
    <row r="375" ht="15.75" customHeight="1">
      <c r="A375" s="147"/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</row>
    <row r="376" ht="15.75" customHeight="1">
      <c r="A376" s="147"/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7"/>
      <c r="AF376" s="147"/>
      <c r="AG376" s="147"/>
      <c r="AH376" s="147"/>
      <c r="AI376" s="147"/>
      <c r="AJ376" s="147"/>
      <c r="AK376" s="147"/>
      <c r="AL376" s="147"/>
    </row>
    <row r="377" ht="15.75" customHeight="1">
      <c r="A377" s="147"/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7"/>
      <c r="AF377" s="147"/>
      <c r="AG377" s="147"/>
      <c r="AH377" s="147"/>
      <c r="AI377" s="147"/>
      <c r="AJ377" s="147"/>
      <c r="AK377" s="147"/>
      <c r="AL377" s="147"/>
    </row>
    <row r="378" ht="15.75" customHeight="1">
      <c r="A378" s="147"/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</row>
    <row r="379" ht="15.75" customHeight="1">
      <c r="A379" s="147"/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7"/>
      <c r="AF379" s="147"/>
      <c r="AG379" s="147"/>
      <c r="AH379" s="147"/>
      <c r="AI379" s="147"/>
      <c r="AJ379" s="147"/>
      <c r="AK379" s="147"/>
      <c r="AL379" s="147"/>
    </row>
    <row r="380" ht="15.75" customHeight="1">
      <c r="A380" s="147"/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  <c r="AL380" s="147"/>
    </row>
    <row r="381" ht="15.75" customHeight="1">
      <c r="A381" s="147"/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7"/>
      <c r="AF381" s="147"/>
      <c r="AG381" s="147"/>
      <c r="AH381" s="147"/>
      <c r="AI381" s="147"/>
      <c r="AJ381" s="147"/>
      <c r="AK381" s="147"/>
      <c r="AL381" s="147"/>
    </row>
    <row r="382" ht="15.75" customHeight="1">
      <c r="A382" s="147"/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7"/>
      <c r="AF382" s="147"/>
      <c r="AG382" s="147"/>
      <c r="AH382" s="147"/>
      <c r="AI382" s="147"/>
      <c r="AJ382" s="147"/>
      <c r="AK382" s="147"/>
      <c r="AL382" s="147"/>
    </row>
    <row r="383" ht="15.75" customHeight="1">
      <c r="A383" s="147"/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7"/>
      <c r="AF383" s="147"/>
      <c r="AG383" s="147"/>
      <c r="AH383" s="147"/>
      <c r="AI383" s="147"/>
      <c r="AJ383" s="147"/>
      <c r="AK383" s="147"/>
      <c r="AL383" s="147"/>
    </row>
    <row r="384" ht="15.75" customHeight="1">
      <c r="A384" s="147"/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7"/>
      <c r="AF384" s="147"/>
      <c r="AG384" s="147"/>
      <c r="AH384" s="147"/>
      <c r="AI384" s="147"/>
      <c r="AJ384" s="147"/>
      <c r="AK384" s="147"/>
      <c r="AL384" s="147"/>
    </row>
    <row r="385" ht="15.75" customHeight="1">
      <c r="A385" s="147"/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</row>
    <row r="386" ht="15.75" customHeight="1">
      <c r="A386" s="147"/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</row>
    <row r="387" ht="15.75" customHeight="1">
      <c r="A387" s="147"/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</row>
    <row r="388" ht="15.75" customHeight="1">
      <c r="A388" s="147"/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</row>
    <row r="389" ht="15.75" customHeight="1">
      <c r="A389" s="147"/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</row>
    <row r="390" ht="15.75" customHeight="1">
      <c r="A390" s="147"/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</row>
    <row r="391" ht="15.75" customHeight="1">
      <c r="A391" s="147"/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</row>
    <row r="392" ht="15.75" customHeight="1">
      <c r="A392" s="147"/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</row>
    <row r="393" ht="15.75" customHeight="1">
      <c r="A393" s="147"/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</row>
    <row r="394" ht="15.75" customHeight="1">
      <c r="A394" s="147"/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7"/>
      <c r="AF394" s="147"/>
      <c r="AG394" s="147"/>
      <c r="AH394" s="147"/>
      <c r="AI394" s="147"/>
      <c r="AJ394" s="147"/>
      <c r="AK394" s="147"/>
      <c r="AL394" s="147"/>
    </row>
    <row r="395" ht="15.75" customHeight="1">
      <c r="A395" s="147"/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</row>
    <row r="396" ht="15.75" customHeight="1">
      <c r="A396" s="147"/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7"/>
      <c r="AF396" s="147"/>
      <c r="AG396" s="147"/>
      <c r="AH396" s="147"/>
      <c r="AI396" s="147"/>
      <c r="AJ396" s="147"/>
      <c r="AK396" s="147"/>
      <c r="AL396" s="147"/>
    </row>
    <row r="397" ht="15.75" customHeight="1">
      <c r="A397" s="147"/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</row>
    <row r="398" ht="15.75" customHeight="1">
      <c r="A398" s="147"/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7"/>
      <c r="AH398" s="147"/>
      <c r="AI398" s="147"/>
      <c r="AJ398" s="147"/>
      <c r="AK398" s="147"/>
      <c r="AL398" s="147"/>
    </row>
    <row r="399" ht="15.75" customHeight="1">
      <c r="A399" s="147"/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7"/>
      <c r="AF399" s="147"/>
      <c r="AG399" s="147"/>
      <c r="AH399" s="147"/>
      <c r="AI399" s="147"/>
      <c r="AJ399" s="147"/>
      <c r="AK399" s="147"/>
      <c r="AL399" s="147"/>
    </row>
    <row r="400" ht="15.75" customHeight="1">
      <c r="A400" s="147"/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7"/>
      <c r="AF400" s="147"/>
      <c r="AG400" s="147"/>
      <c r="AH400" s="147"/>
      <c r="AI400" s="147"/>
      <c r="AJ400" s="147"/>
      <c r="AK400" s="147"/>
      <c r="AL400" s="147"/>
    </row>
    <row r="401" ht="15.75" customHeight="1">
      <c r="A401" s="147"/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</row>
    <row r="402" ht="15.75" customHeight="1">
      <c r="A402" s="147"/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7"/>
      <c r="AF402" s="147"/>
      <c r="AG402" s="147"/>
      <c r="AH402" s="147"/>
      <c r="AI402" s="147"/>
      <c r="AJ402" s="147"/>
      <c r="AK402" s="147"/>
      <c r="AL402" s="147"/>
    </row>
    <row r="403" ht="15.75" customHeight="1">
      <c r="A403" s="147"/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7"/>
      <c r="AF403" s="147"/>
      <c r="AG403" s="147"/>
      <c r="AH403" s="147"/>
      <c r="AI403" s="147"/>
      <c r="AJ403" s="147"/>
      <c r="AK403" s="147"/>
      <c r="AL403" s="147"/>
    </row>
    <row r="404" ht="15.75" customHeight="1">
      <c r="A404" s="147"/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7"/>
      <c r="AF404" s="147"/>
      <c r="AG404" s="147"/>
      <c r="AH404" s="147"/>
      <c r="AI404" s="147"/>
      <c r="AJ404" s="147"/>
      <c r="AK404" s="147"/>
      <c r="AL404" s="147"/>
    </row>
    <row r="405" ht="15.75" customHeight="1">
      <c r="A405" s="147"/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</row>
    <row r="406" ht="15.75" customHeight="1">
      <c r="A406" s="147"/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7"/>
      <c r="AF406" s="147"/>
      <c r="AG406" s="147"/>
      <c r="AH406" s="147"/>
      <c r="AI406" s="147"/>
      <c r="AJ406" s="147"/>
      <c r="AK406" s="147"/>
      <c r="AL406" s="147"/>
    </row>
    <row r="407" ht="15.75" customHeight="1">
      <c r="A407" s="147"/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7"/>
      <c r="AH407" s="147"/>
      <c r="AI407" s="147"/>
      <c r="AJ407" s="147"/>
      <c r="AK407" s="147"/>
      <c r="AL407" s="147"/>
    </row>
    <row r="408" ht="15.75" customHeight="1">
      <c r="A408" s="147"/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7"/>
      <c r="AF408" s="147"/>
      <c r="AG408" s="147"/>
      <c r="AH408" s="147"/>
      <c r="AI408" s="147"/>
      <c r="AJ408" s="147"/>
      <c r="AK408" s="147"/>
      <c r="AL408" s="147"/>
    </row>
    <row r="409" ht="15.75" customHeight="1">
      <c r="A409" s="147"/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</row>
    <row r="410" ht="15.75" customHeight="1">
      <c r="A410" s="147"/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7"/>
      <c r="AF410" s="147"/>
      <c r="AG410" s="147"/>
      <c r="AH410" s="147"/>
      <c r="AI410" s="147"/>
      <c r="AJ410" s="147"/>
      <c r="AK410" s="147"/>
      <c r="AL410" s="147"/>
    </row>
    <row r="411" ht="15.75" customHeight="1">
      <c r="A411" s="147"/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7"/>
      <c r="AF411" s="147"/>
      <c r="AG411" s="147"/>
      <c r="AH411" s="147"/>
      <c r="AI411" s="147"/>
      <c r="AJ411" s="147"/>
      <c r="AK411" s="147"/>
      <c r="AL411" s="147"/>
    </row>
    <row r="412" ht="15.75" customHeight="1">
      <c r="A412" s="147"/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7"/>
      <c r="AF412" s="147"/>
      <c r="AG412" s="147"/>
      <c r="AH412" s="147"/>
      <c r="AI412" s="147"/>
      <c r="AJ412" s="147"/>
      <c r="AK412" s="147"/>
      <c r="AL412" s="147"/>
    </row>
    <row r="413" ht="15.75" customHeight="1">
      <c r="A413" s="147"/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</row>
    <row r="414" ht="15.75" customHeight="1">
      <c r="A414" s="147"/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7"/>
      <c r="AF414" s="147"/>
      <c r="AG414" s="147"/>
      <c r="AH414" s="147"/>
      <c r="AI414" s="147"/>
      <c r="AJ414" s="147"/>
      <c r="AK414" s="147"/>
      <c r="AL414" s="147"/>
    </row>
    <row r="415" ht="15.75" customHeight="1">
      <c r="A415" s="147"/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7"/>
      <c r="AF415" s="147"/>
      <c r="AG415" s="147"/>
      <c r="AH415" s="147"/>
      <c r="AI415" s="147"/>
      <c r="AJ415" s="147"/>
      <c r="AK415" s="147"/>
      <c r="AL415" s="147"/>
    </row>
    <row r="416" ht="15.75" customHeight="1">
      <c r="A416" s="147"/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7"/>
      <c r="AH416" s="147"/>
      <c r="AI416" s="147"/>
      <c r="AJ416" s="147"/>
      <c r="AK416" s="147"/>
      <c r="AL416" s="147"/>
    </row>
    <row r="417" ht="15.75" customHeight="1">
      <c r="A417" s="147"/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</row>
    <row r="418" ht="15.75" customHeight="1">
      <c r="A418" s="147"/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7"/>
      <c r="AF418" s="147"/>
      <c r="AG418" s="147"/>
      <c r="AH418" s="147"/>
      <c r="AI418" s="147"/>
      <c r="AJ418" s="147"/>
      <c r="AK418" s="147"/>
      <c r="AL418" s="147"/>
    </row>
    <row r="419" ht="15.75" customHeight="1">
      <c r="A419" s="147"/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7"/>
      <c r="AF419" s="147"/>
      <c r="AG419" s="147"/>
      <c r="AH419" s="147"/>
      <c r="AI419" s="147"/>
      <c r="AJ419" s="147"/>
      <c r="AK419" s="147"/>
      <c r="AL419" s="147"/>
    </row>
    <row r="420" ht="15.75" customHeight="1">
      <c r="A420" s="147"/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7"/>
      <c r="AF420" s="147"/>
      <c r="AG420" s="147"/>
      <c r="AH420" s="147"/>
      <c r="AI420" s="147"/>
      <c r="AJ420" s="147"/>
      <c r="AK420" s="147"/>
      <c r="AL420" s="147"/>
    </row>
    <row r="421" ht="15.75" customHeight="1">
      <c r="A421" s="147"/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</row>
    <row r="422" ht="15.75" customHeight="1">
      <c r="A422" s="147"/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</row>
    <row r="423" ht="15.75" customHeight="1">
      <c r="A423" s="147"/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</row>
    <row r="424" ht="15.75" customHeight="1">
      <c r="A424" s="147"/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</row>
    <row r="425" ht="15.75" customHeight="1">
      <c r="A425" s="147"/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</row>
    <row r="426" ht="15.75" customHeight="1">
      <c r="A426" s="147"/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</row>
    <row r="427" ht="15.75" customHeight="1">
      <c r="A427" s="147"/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</row>
    <row r="428" ht="15.75" customHeight="1">
      <c r="A428" s="147"/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</row>
    <row r="429" ht="15.75" customHeight="1">
      <c r="A429" s="147"/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</row>
    <row r="430" ht="15.75" customHeight="1">
      <c r="A430" s="147"/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</row>
    <row r="431" ht="15.75" customHeight="1">
      <c r="A431" s="147"/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</row>
    <row r="432" ht="15.75" customHeight="1">
      <c r="A432" s="147"/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7"/>
      <c r="AF432" s="147"/>
      <c r="AG432" s="147"/>
      <c r="AH432" s="147"/>
      <c r="AI432" s="147"/>
      <c r="AJ432" s="147"/>
      <c r="AK432" s="147"/>
      <c r="AL432" s="147"/>
    </row>
    <row r="433" ht="15.75" customHeight="1">
      <c r="A433" s="147"/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</row>
    <row r="434" ht="15.75" customHeight="1">
      <c r="A434" s="147"/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</row>
    <row r="435" ht="15.75" customHeight="1">
      <c r="A435" s="147"/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7"/>
      <c r="AF435" s="147"/>
      <c r="AG435" s="147"/>
      <c r="AH435" s="147"/>
      <c r="AI435" s="147"/>
      <c r="AJ435" s="147"/>
      <c r="AK435" s="147"/>
      <c r="AL435" s="147"/>
    </row>
    <row r="436" ht="15.75" customHeight="1">
      <c r="A436" s="147"/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7"/>
      <c r="AF436" s="147"/>
      <c r="AG436" s="147"/>
      <c r="AH436" s="147"/>
      <c r="AI436" s="147"/>
      <c r="AJ436" s="147"/>
      <c r="AK436" s="147"/>
      <c r="AL436" s="147"/>
    </row>
    <row r="437" ht="15.75" customHeight="1">
      <c r="A437" s="147"/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</row>
    <row r="438" ht="15.75" customHeight="1">
      <c r="A438" s="147"/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7"/>
      <c r="AF438" s="147"/>
      <c r="AG438" s="147"/>
      <c r="AH438" s="147"/>
      <c r="AI438" s="147"/>
      <c r="AJ438" s="147"/>
      <c r="AK438" s="147"/>
      <c r="AL438" s="147"/>
    </row>
    <row r="439" ht="15.75" customHeight="1">
      <c r="A439" s="147"/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7"/>
      <c r="AF439" s="147"/>
      <c r="AG439" s="147"/>
      <c r="AH439" s="147"/>
      <c r="AI439" s="147"/>
      <c r="AJ439" s="147"/>
      <c r="AK439" s="147"/>
      <c r="AL439" s="147"/>
    </row>
    <row r="440" ht="15.75" customHeight="1">
      <c r="A440" s="147"/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</row>
    <row r="441" ht="15.75" customHeight="1">
      <c r="A441" s="147"/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</row>
    <row r="442" ht="15.75" customHeight="1">
      <c r="A442" s="147"/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</row>
    <row r="443" ht="15.75" customHeight="1">
      <c r="A443" s="147"/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</row>
    <row r="444" ht="15.75" customHeight="1">
      <c r="A444" s="147"/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</row>
    <row r="445" ht="15.75" customHeight="1">
      <c r="A445" s="147"/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</row>
    <row r="446" ht="15.75" customHeight="1">
      <c r="A446" s="147"/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</row>
    <row r="447" ht="15.75" customHeight="1">
      <c r="A447" s="147"/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</row>
    <row r="448" ht="15.75" customHeight="1">
      <c r="A448" s="147"/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</row>
    <row r="449" ht="15.75" customHeight="1">
      <c r="A449" s="147"/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</row>
    <row r="450" ht="15.75" customHeight="1">
      <c r="A450" s="147"/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</row>
    <row r="451" ht="15.75" customHeight="1">
      <c r="A451" s="147"/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7"/>
      <c r="AF451" s="147"/>
      <c r="AG451" s="147"/>
      <c r="AH451" s="147"/>
      <c r="AI451" s="147"/>
      <c r="AJ451" s="147"/>
      <c r="AK451" s="147"/>
      <c r="AL451" s="147"/>
    </row>
    <row r="452" ht="15.75" customHeight="1">
      <c r="A452" s="147"/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7"/>
      <c r="AF452" s="147"/>
      <c r="AG452" s="147"/>
      <c r="AH452" s="147"/>
      <c r="AI452" s="147"/>
      <c r="AJ452" s="147"/>
      <c r="AK452" s="147"/>
      <c r="AL452" s="147"/>
    </row>
    <row r="453" ht="15.75" customHeight="1">
      <c r="A453" s="147"/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</row>
    <row r="454" ht="15.75" customHeight="1">
      <c r="A454" s="147"/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7"/>
      <c r="AF454" s="147"/>
      <c r="AG454" s="147"/>
      <c r="AH454" s="147"/>
      <c r="AI454" s="147"/>
      <c r="AJ454" s="147"/>
      <c r="AK454" s="147"/>
      <c r="AL454" s="147"/>
    </row>
    <row r="455" ht="15.75" customHeight="1">
      <c r="A455" s="147"/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7"/>
      <c r="AF455" s="147"/>
      <c r="AG455" s="147"/>
      <c r="AH455" s="147"/>
      <c r="AI455" s="147"/>
      <c r="AJ455" s="147"/>
      <c r="AK455" s="147"/>
      <c r="AL455" s="147"/>
    </row>
    <row r="456" ht="15.75" customHeight="1">
      <c r="A456" s="147"/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7"/>
      <c r="AF456" s="147"/>
      <c r="AG456" s="147"/>
      <c r="AH456" s="147"/>
      <c r="AI456" s="147"/>
      <c r="AJ456" s="147"/>
      <c r="AK456" s="147"/>
      <c r="AL456" s="147"/>
    </row>
    <row r="457" ht="15.75" customHeight="1">
      <c r="A457" s="147"/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</row>
    <row r="458" ht="15.75" customHeight="1">
      <c r="A458" s="147"/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</row>
    <row r="459" ht="15.75" customHeight="1">
      <c r="A459" s="147"/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</row>
    <row r="460" ht="15.75" customHeight="1">
      <c r="A460" s="147"/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</row>
    <row r="461" ht="15.75" customHeight="1">
      <c r="A461" s="147"/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</row>
    <row r="462" ht="15.75" customHeight="1">
      <c r="A462" s="147"/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</row>
    <row r="463" ht="15.75" customHeight="1">
      <c r="A463" s="147"/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</row>
    <row r="464" ht="15.75" customHeight="1">
      <c r="A464" s="147"/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</row>
    <row r="465" ht="15.75" customHeight="1">
      <c r="A465" s="147"/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</row>
    <row r="466" ht="15.75" customHeight="1">
      <c r="A466" s="147"/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</row>
    <row r="467" ht="15.75" customHeight="1">
      <c r="A467" s="147"/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</row>
    <row r="468" ht="15.75" customHeight="1">
      <c r="A468" s="147"/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</row>
    <row r="469" ht="15.75" customHeight="1">
      <c r="A469" s="147"/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</row>
    <row r="470" ht="15.75" customHeight="1">
      <c r="A470" s="147"/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</row>
    <row r="471" ht="15.75" customHeight="1">
      <c r="A471" s="147"/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  <c r="AL471" s="147"/>
    </row>
    <row r="472" ht="15.75" customHeight="1">
      <c r="A472" s="147"/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7"/>
      <c r="AF472" s="147"/>
      <c r="AG472" s="147"/>
      <c r="AH472" s="147"/>
      <c r="AI472" s="147"/>
      <c r="AJ472" s="147"/>
      <c r="AK472" s="147"/>
      <c r="AL472" s="147"/>
    </row>
    <row r="473" ht="15.75" customHeight="1">
      <c r="A473" s="147"/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7"/>
      <c r="AF473" s="147"/>
      <c r="AG473" s="147"/>
      <c r="AH473" s="147"/>
      <c r="AI473" s="147"/>
      <c r="AJ473" s="147"/>
      <c r="AK473" s="147"/>
      <c r="AL473" s="147"/>
    </row>
    <row r="474" ht="15.75" customHeight="1">
      <c r="A474" s="147"/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7"/>
      <c r="AF474" s="147"/>
      <c r="AG474" s="147"/>
      <c r="AH474" s="147"/>
      <c r="AI474" s="147"/>
      <c r="AJ474" s="147"/>
      <c r="AK474" s="147"/>
      <c r="AL474" s="147"/>
    </row>
    <row r="475" ht="15.75" customHeight="1">
      <c r="A475" s="147"/>
      <c r="B475" s="147"/>
      <c r="C475" s="147"/>
      <c r="D475" s="147"/>
      <c r="E475" s="147"/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</row>
    <row r="476" ht="15.75" customHeight="1">
      <c r="A476" s="147"/>
      <c r="B476" s="147"/>
      <c r="C476" s="147"/>
      <c r="D476" s="147"/>
      <c r="E476" s="147"/>
      <c r="F476" s="147"/>
      <c r="G476" s="147"/>
      <c r="H476" s="147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  <c r="AL476" s="147"/>
    </row>
    <row r="477" ht="15.75" customHeight="1">
      <c r="A477" s="147"/>
      <c r="B477" s="147"/>
      <c r="C477" s="147"/>
      <c r="D477" s="147"/>
      <c r="E477" s="147"/>
      <c r="F477" s="147"/>
      <c r="G477" s="147"/>
      <c r="H477" s="147"/>
      <c r="I477" s="147"/>
      <c r="J477" s="147"/>
      <c r="K477" s="147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</row>
    <row r="478" ht="15.75" customHeight="1">
      <c r="A478" s="147"/>
      <c r="B478" s="147"/>
      <c r="C478" s="147"/>
      <c r="D478" s="147"/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  <c r="AL478" s="147"/>
    </row>
    <row r="479" ht="15.75" customHeight="1">
      <c r="A479" s="147"/>
      <c r="B479" s="147"/>
      <c r="C479" s="147"/>
      <c r="D479" s="147"/>
      <c r="E479" s="147"/>
      <c r="F479" s="147"/>
      <c r="G479" s="147"/>
      <c r="H479" s="147"/>
      <c r="I479" s="147"/>
      <c r="J479" s="147"/>
      <c r="K479" s="147"/>
      <c r="L479" s="147"/>
      <c r="M479" s="147"/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</row>
    <row r="480" ht="15.75" customHeight="1">
      <c r="A480" s="147"/>
      <c r="B480" s="147"/>
      <c r="C480" s="147"/>
      <c r="D480" s="147"/>
      <c r="E480" s="147"/>
      <c r="F480" s="147"/>
      <c r="G480" s="147"/>
      <c r="H480" s="147"/>
      <c r="I480" s="147"/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/>
      <c r="AH480" s="147"/>
      <c r="AI480" s="147"/>
      <c r="AJ480" s="147"/>
      <c r="AK480" s="147"/>
      <c r="AL480" s="147"/>
    </row>
    <row r="481" ht="15.75" customHeight="1">
      <c r="A481" s="147"/>
      <c r="B481" s="147"/>
      <c r="C481" s="147"/>
      <c r="D481" s="147"/>
      <c r="E481" s="147"/>
      <c r="F481" s="147"/>
      <c r="G481" s="147"/>
      <c r="H481" s="147"/>
      <c r="I481" s="147"/>
      <c r="J481" s="147"/>
      <c r="K481" s="147"/>
      <c r="L481" s="147"/>
      <c r="M481" s="147"/>
      <c r="N481" s="147"/>
      <c r="O481" s="147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  <c r="AL481" s="147"/>
    </row>
    <row r="482" ht="15.75" customHeight="1">
      <c r="A482" s="147"/>
      <c r="B482" s="147"/>
      <c r="C482" s="147"/>
      <c r="D482" s="147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</row>
    <row r="483" ht="15.75" customHeight="1">
      <c r="A483" s="147"/>
      <c r="B483" s="147"/>
      <c r="C483" s="147"/>
      <c r="D483" s="147"/>
      <c r="E483" s="147"/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</row>
    <row r="484" ht="15.75" customHeight="1">
      <c r="A484" s="147"/>
      <c r="B484" s="147"/>
      <c r="C484" s="147"/>
      <c r="D484" s="147"/>
      <c r="E484" s="147"/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7"/>
      <c r="AF484" s="147"/>
      <c r="AG484" s="147"/>
      <c r="AH484" s="147"/>
      <c r="AI484" s="147"/>
      <c r="AJ484" s="147"/>
      <c r="AK484" s="147"/>
      <c r="AL484" s="147"/>
    </row>
    <row r="485" ht="15.75" customHeight="1">
      <c r="A485" s="147"/>
      <c r="B485" s="147"/>
      <c r="C485" s="147"/>
      <c r="D485" s="147"/>
      <c r="E485" s="147"/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7"/>
      <c r="AE485" s="147"/>
      <c r="AF485" s="147"/>
      <c r="AG485" s="147"/>
      <c r="AH485" s="147"/>
      <c r="AI485" s="147"/>
      <c r="AJ485" s="147"/>
      <c r="AK485" s="147"/>
      <c r="AL485" s="147"/>
    </row>
    <row r="486" ht="15.75" customHeight="1">
      <c r="A486" s="147"/>
      <c r="B486" s="147"/>
      <c r="C486" s="147"/>
      <c r="D486" s="147"/>
      <c r="E486" s="147"/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7"/>
      <c r="AE486" s="147"/>
      <c r="AF486" s="147"/>
      <c r="AG486" s="147"/>
      <c r="AH486" s="147"/>
      <c r="AI486" s="147"/>
      <c r="AJ486" s="147"/>
      <c r="AK486" s="147"/>
      <c r="AL486" s="147"/>
    </row>
    <row r="487" ht="15.75" customHeight="1">
      <c r="A487" s="147"/>
      <c r="B487" s="147"/>
      <c r="C487" s="147"/>
      <c r="D487" s="147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  <c r="AI487" s="147"/>
      <c r="AJ487" s="147"/>
      <c r="AK487" s="147"/>
      <c r="AL487" s="147"/>
    </row>
    <row r="488" ht="15.75" customHeight="1">
      <c r="A488" s="147"/>
      <c r="B488" s="147"/>
      <c r="C488" s="147"/>
      <c r="D488" s="147"/>
      <c r="E488" s="147"/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7"/>
      <c r="AE488" s="147"/>
      <c r="AF488" s="147"/>
      <c r="AG488" s="147"/>
      <c r="AH488" s="147"/>
      <c r="AI488" s="147"/>
      <c r="AJ488" s="147"/>
      <c r="AK488" s="147"/>
      <c r="AL488" s="147"/>
    </row>
    <row r="489" ht="15.75" customHeight="1">
      <c r="A489" s="147"/>
      <c r="B489" s="147"/>
      <c r="C489" s="147"/>
      <c r="D489" s="147"/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7"/>
      <c r="AE489" s="147"/>
      <c r="AF489" s="147"/>
      <c r="AG489" s="147"/>
      <c r="AH489" s="147"/>
      <c r="AI489" s="147"/>
      <c r="AJ489" s="147"/>
      <c r="AK489" s="147"/>
      <c r="AL489" s="147"/>
    </row>
    <row r="490" ht="15.75" customHeight="1">
      <c r="A490" s="147"/>
      <c r="B490" s="147"/>
      <c r="C490" s="147"/>
      <c r="D490" s="147"/>
      <c r="E490" s="147"/>
      <c r="F490" s="147"/>
      <c r="G490" s="147"/>
      <c r="H490" s="147"/>
      <c r="I490" s="147"/>
      <c r="J490" s="147"/>
      <c r="K490" s="147"/>
      <c r="L490" s="147"/>
      <c r="M490" s="147"/>
      <c r="N490" s="147"/>
      <c r="O490" s="147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7"/>
      <c r="AE490" s="147"/>
      <c r="AF490" s="147"/>
      <c r="AG490" s="147"/>
      <c r="AH490" s="147"/>
      <c r="AI490" s="147"/>
      <c r="AJ490" s="147"/>
      <c r="AK490" s="147"/>
      <c r="AL490" s="147"/>
    </row>
    <row r="491" ht="15.75" customHeight="1">
      <c r="A491" s="147"/>
      <c r="B491" s="147"/>
      <c r="C491" s="147"/>
      <c r="D491" s="147"/>
      <c r="E491" s="147"/>
      <c r="F491" s="147"/>
      <c r="G491" s="147"/>
      <c r="H491" s="147"/>
      <c r="I491" s="147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/>
      <c r="AH491" s="147"/>
      <c r="AI491" s="147"/>
      <c r="AJ491" s="147"/>
      <c r="AK491" s="147"/>
      <c r="AL491" s="147"/>
    </row>
    <row r="492" ht="15.75" customHeight="1">
      <c r="A492" s="147"/>
      <c r="B492" s="147"/>
      <c r="C492" s="147"/>
      <c r="D492" s="147"/>
      <c r="E492" s="147"/>
      <c r="F492" s="147"/>
      <c r="G492" s="147"/>
      <c r="H492" s="147"/>
      <c r="I492" s="147"/>
      <c r="J492" s="147"/>
      <c r="K492" s="147"/>
      <c r="L492" s="147"/>
      <c r="M492" s="147"/>
      <c r="N492" s="147"/>
      <c r="O492" s="147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7"/>
      <c r="AE492" s="147"/>
      <c r="AF492" s="147"/>
      <c r="AG492" s="147"/>
      <c r="AH492" s="147"/>
      <c r="AI492" s="147"/>
      <c r="AJ492" s="147"/>
      <c r="AK492" s="147"/>
      <c r="AL492" s="147"/>
    </row>
    <row r="493" ht="15.75" customHeight="1">
      <c r="A493" s="147"/>
      <c r="B493" s="147"/>
      <c r="C493" s="147"/>
      <c r="D493" s="147"/>
      <c r="E493" s="147"/>
      <c r="F493" s="147"/>
      <c r="G493" s="147"/>
      <c r="H493" s="147"/>
      <c r="I493" s="147"/>
      <c r="J493" s="147"/>
      <c r="K493" s="147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7"/>
      <c r="AE493" s="147"/>
      <c r="AF493" s="147"/>
      <c r="AG493" s="147"/>
      <c r="AH493" s="147"/>
      <c r="AI493" s="147"/>
      <c r="AJ493" s="147"/>
      <c r="AK493" s="147"/>
      <c r="AL493" s="147"/>
    </row>
    <row r="494" ht="15.75" customHeight="1">
      <c r="A494" s="147"/>
      <c r="B494" s="147"/>
      <c r="C494" s="147"/>
      <c r="D494" s="147"/>
      <c r="E494" s="147"/>
      <c r="F494" s="147"/>
      <c r="G494" s="147"/>
      <c r="H494" s="147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147"/>
      <c r="AH494" s="147"/>
      <c r="AI494" s="147"/>
      <c r="AJ494" s="147"/>
      <c r="AK494" s="147"/>
      <c r="AL494" s="147"/>
    </row>
    <row r="495" ht="15.75" customHeight="1">
      <c r="A495" s="147"/>
      <c r="B495" s="147"/>
      <c r="C495" s="147"/>
      <c r="D495" s="147"/>
      <c r="E495" s="147"/>
      <c r="F495" s="147"/>
      <c r="G495" s="147"/>
      <c r="H495" s="147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  <c r="AL495" s="147"/>
    </row>
    <row r="496" ht="15.75" customHeight="1">
      <c r="A496" s="147"/>
      <c r="B496" s="147"/>
      <c r="C496" s="147"/>
      <c r="D496" s="147"/>
      <c r="E496" s="147"/>
      <c r="F496" s="147"/>
      <c r="G496" s="147"/>
      <c r="H496" s="147"/>
      <c r="I496" s="147"/>
      <c r="J496" s="147"/>
      <c r="K496" s="147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/>
      <c r="AH496" s="147"/>
      <c r="AI496" s="147"/>
      <c r="AJ496" s="147"/>
      <c r="AK496" s="147"/>
      <c r="AL496" s="147"/>
    </row>
    <row r="497" ht="15.75" customHeight="1">
      <c r="A497" s="147"/>
      <c r="B497" s="147"/>
      <c r="C497" s="147"/>
      <c r="D497" s="147"/>
      <c r="E497" s="147"/>
      <c r="F497" s="147"/>
      <c r="G497" s="147"/>
      <c r="H497" s="147"/>
      <c r="I497" s="147"/>
      <c r="J497" s="147"/>
      <c r="K497" s="147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/>
      <c r="AH497" s="147"/>
      <c r="AI497" s="147"/>
      <c r="AJ497" s="147"/>
      <c r="AK497" s="147"/>
      <c r="AL497" s="147"/>
    </row>
    <row r="498" ht="15.75" customHeight="1">
      <c r="A498" s="147"/>
      <c r="B498" s="147"/>
      <c r="C498" s="147"/>
      <c r="D498" s="147"/>
      <c r="E498" s="147"/>
      <c r="F498" s="147"/>
      <c r="G498" s="147"/>
      <c r="H498" s="147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/>
      <c r="AH498" s="147"/>
      <c r="AI498" s="147"/>
      <c r="AJ498" s="147"/>
      <c r="AK498" s="147"/>
      <c r="AL498" s="147"/>
    </row>
    <row r="499" ht="15.75" customHeight="1">
      <c r="A499" s="147"/>
      <c r="B499" s="147"/>
      <c r="C499" s="147"/>
      <c r="D499" s="147"/>
      <c r="E499" s="147"/>
      <c r="F499" s="147"/>
      <c r="G499" s="147"/>
      <c r="H499" s="147"/>
      <c r="I499" s="147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  <c r="AL499" s="147"/>
    </row>
    <row r="500" ht="15.75" customHeight="1">
      <c r="A500" s="147"/>
      <c r="B500" s="147"/>
      <c r="C500" s="147"/>
      <c r="D500" s="147"/>
      <c r="E500" s="147"/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/>
      <c r="AH500" s="147"/>
      <c r="AI500" s="147"/>
      <c r="AJ500" s="147"/>
      <c r="AK500" s="147"/>
      <c r="AL500" s="147"/>
    </row>
    <row r="501" ht="15.75" customHeight="1">
      <c r="A501" s="147"/>
      <c r="B501" s="147"/>
      <c r="C501" s="147"/>
      <c r="D501" s="147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7"/>
      <c r="AE501" s="147"/>
      <c r="AF501" s="147"/>
      <c r="AG501" s="147"/>
      <c r="AH501" s="147"/>
      <c r="AI501" s="147"/>
      <c r="AJ501" s="147"/>
      <c r="AK501" s="147"/>
      <c r="AL501" s="147"/>
    </row>
    <row r="502" ht="15.75" customHeight="1">
      <c r="A502" s="147"/>
      <c r="B502" s="147"/>
      <c r="C502" s="147"/>
      <c r="D502" s="147"/>
      <c r="E502" s="147"/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/>
      <c r="AH502" s="147"/>
      <c r="AI502" s="147"/>
      <c r="AJ502" s="147"/>
      <c r="AK502" s="147"/>
      <c r="AL502" s="147"/>
    </row>
    <row r="503" ht="15.75" customHeight="1">
      <c r="A503" s="147"/>
      <c r="B503" s="147"/>
      <c r="C503" s="147"/>
      <c r="D503" s="147"/>
      <c r="E503" s="147"/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  <c r="AI503" s="147"/>
      <c r="AJ503" s="147"/>
      <c r="AK503" s="147"/>
      <c r="AL503" s="147"/>
    </row>
    <row r="504" ht="15.75" customHeight="1">
      <c r="A504" s="147"/>
      <c r="B504" s="147"/>
      <c r="C504" s="147"/>
      <c r="D504" s="147"/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  <c r="AH504" s="147"/>
      <c r="AI504" s="147"/>
      <c r="AJ504" s="147"/>
      <c r="AK504" s="147"/>
      <c r="AL504" s="147"/>
    </row>
    <row r="505" ht="15.75" customHeight="1">
      <c r="A505" s="147"/>
      <c r="B505" s="147"/>
      <c r="C505" s="147"/>
      <c r="D505" s="147"/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  <c r="AH505" s="147"/>
      <c r="AI505" s="147"/>
      <c r="AJ505" s="147"/>
      <c r="AK505" s="147"/>
      <c r="AL505" s="147"/>
    </row>
    <row r="506" ht="15.75" customHeight="1">
      <c r="A506" s="147"/>
      <c r="B506" s="147"/>
      <c r="C506" s="147"/>
      <c r="D506" s="147"/>
      <c r="E506" s="147"/>
      <c r="F506" s="147"/>
      <c r="G506" s="147"/>
      <c r="H506" s="147"/>
      <c r="I506" s="147"/>
      <c r="J506" s="147"/>
      <c r="K506" s="147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  <c r="AH506" s="147"/>
      <c r="AI506" s="147"/>
      <c r="AJ506" s="147"/>
      <c r="AK506" s="147"/>
      <c r="AL506" s="147"/>
    </row>
    <row r="507" ht="15.75" customHeight="1">
      <c r="A507" s="147"/>
      <c r="B507" s="147"/>
      <c r="C507" s="147"/>
      <c r="D507" s="147"/>
      <c r="E507" s="147"/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  <c r="AH507" s="147"/>
      <c r="AI507" s="147"/>
      <c r="AJ507" s="147"/>
      <c r="AK507" s="147"/>
      <c r="AL507" s="147"/>
    </row>
    <row r="508" ht="15.75" customHeight="1">
      <c r="A508" s="147"/>
      <c r="B508" s="147"/>
      <c r="C508" s="147"/>
      <c r="D508" s="147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  <c r="AH508" s="147"/>
      <c r="AI508" s="147"/>
      <c r="AJ508" s="147"/>
      <c r="AK508" s="147"/>
      <c r="AL508" s="147"/>
    </row>
    <row r="509" ht="15.75" customHeight="1">
      <c r="A509" s="147"/>
      <c r="B509" s="147"/>
      <c r="C509" s="147"/>
      <c r="D509" s="147"/>
      <c r="E509" s="147"/>
      <c r="F509" s="147"/>
      <c r="G509" s="147"/>
      <c r="H509" s="147"/>
      <c r="I509" s="147"/>
      <c r="J509" s="147"/>
      <c r="K509" s="147"/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  <c r="AH509" s="147"/>
      <c r="AI509" s="147"/>
      <c r="AJ509" s="147"/>
      <c r="AK509" s="147"/>
      <c r="AL509" s="147"/>
    </row>
    <row r="510" ht="15.75" customHeight="1">
      <c r="A510" s="147"/>
      <c r="B510" s="147"/>
      <c r="C510" s="147"/>
      <c r="D510" s="147"/>
      <c r="E510" s="147"/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  <c r="AH510" s="147"/>
      <c r="AI510" s="147"/>
      <c r="AJ510" s="147"/>
      <c r="AK510" s="147"/>
      <c r="AL510" s="147"/>
    </row>
    <row r="511" ht="15.75" customHeight="1">
      <c r="A511" s="147"/>
      <c r="B511" s="147"/>
      <c r="C511" s="147"/>
      <c r="D511" s="147"/>
      <c r="E511" s="147"/>
      <c r="F511" s="147"/>
      <c r="G511" s="147"/>
      <c r="H511" s="147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  <c r="AH511" s="147"/>
      <c r="AI511" s="147"/>
      <c r="AJ511" s="147"/>
      <c r="AK511" s="147"/>
      <c r="AL511" s="147"/>
    </row>
    <row r="512" ht="15.75" customHeight="1">
      <c r="A512" s="147"/>
      <c r="B512" s="147"/>
      <c r="C512" s="147"/>
      <c r="D512" s="147"/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  <c r="AH512" s="147"/>
      <c r="AI512" s="147"/>
      <c r="AJ512" s="147"/>
      <c r="AK512" s="147"/>
      <c r="AL512" s="147"/>
    </row>
    <row r="513" ht="15.75" customHeight="1">
      <c r="A513" s="147"/>
      <c r="B513" s="147"/>
      <c r="C513" s="147"/>
      <c r="D513" s="147"/>
      <c r="E513" s="147"/>
      <c r="F513" s="147"/>
      <c r="G513" s="147"/>
      <c r="H513" s="147"/>
      <c r="I513" s="147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  <c r="AH513" s="147"/>
      <c r="AI513" s="147"/>
      <c r="AJ513" s="147"/>
      <c r="AK513" s="147"/>
      <c r="AL513" s="147"/>
    </row>
    <row r="514" ht="15.75" customHeight="1">
      <c r="A514" s="147"/>
      <c r="B514" s="147"/>
      <c r="C514" s="147"/>
      <c r="D514" s="147"/>
      <c r="E514" s="147"/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  <c r="AH514" s="147"/>
      <c r="AI514" s="147"/>
      <c r="AJ514" s="147"/>
      <c r="AK514" s="147"/>
      <c r="AL514" s="147"/>
    </row>
    <row r="515" ht="15.75" customHeight="1">
      <c r="A515" s="147"/>
      <c r="B515" s="147"/>
      <c r="C515" s="147"/>
      <c r="D515" s="147"/>
      <c r="E515" s="147"/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  <c r="AI515" s="147"/>
      <c r="AJ515" s="147"/>
      <c r="AK515" s="147"/>
      <c r="AL515" s="147"/>
    </row>
    <row r="516" ht="15.75" customHeight="1">
      <c r="A516" s="147"/>
      <c r="B516" s="147"/>
      <c r="C516" s="147"/>
      <c r="D516" s="147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</row>
    <row r="517" ht="15.75" customHeight="1">
      <c r="A517" s="147"/>
      <c r="B517" s="147"/>
      <c r="C517" s="147"/>
      <c r="D517" s="147"/>
      <c r="E517" s="147"/>
      <c r="F517" s="147"/>
      <c r="G517" s="147"/>
      <c r="H517" s="147"/>
      <c r="I517" s="147"/>
      <c r="J517" s="147"/>
      <c r="K517" s="147"/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  <c r="AL517" s="147"/>
    </row>
    <row r="518" ht="15.75" customHeight="1">
      <c r="A518" s="147"/>
      <c r="B518" s="147"/>
      <c r="C518" s="147"/>
      <c r="D518" s="147"/>
      <c r="E518" s="147"/>
      <c r="F518" s="147"/>
      <c r="G518" s="147"/>
      <c r="H518" s="147"/>
      <c r="I518" s="147"/>
      <c r="J518" s="147"/>
      <c r="K518" s="147"/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</row>
    <row r="519" ht="15.75" customHeight="1">
      <c r="A519" s="147"/>
      <c r="B519" s="147"/>
      <c r="C519" s="147"/>
      <c r="D519" s="147"/>
      <c r="E519" s="147"/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</row>
    <row r="520" ht="15.75" customHeight="1">
      <c r="A520" s="147"/>
      <c r="B520" s="147"/>
      <c r="C520" s="147"/>
      <c r="D520" s="147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</row>
    <row r="521" ht="15.75" customHeight="1">
      <c r="A521" s="147"/>
      <c r="B521" s="147"/>
      <c r="C521" s="147"/>
      <c r="D521" s="147"/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  <c r="AI521" s="147"/>
      <c r="AJ521" s="147"/>
      <c r="AK521" s="147"/>
      <c r="AL521" s="147"/>
    </row>
    <row r="522" ht="15.75" customHeight="1">
      <c r="A522" s="147"/>
      <c r="B522" s="147"/>
      <c r="C522" s="147"/>
      <c r="D522" s="147"/>
      <c r="E522" s="147"/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  <c r="AI522" s="147"/>
      <c r="AJ522" s="147"/>
      <c r="AK522" s="147"/>
      <c r="AL522" s="147"/>
    </row>
    <row r="523" ht="15.75" customHeight="1">
      <c r="A523" s="147"/>
      <c r="B523" s="147"/>
      <c r="C523" s="147"/>
      <c r="D523" s="147"/>
      <c r="E523" s="147"/>
      <c r="F523" s="147"/>
      <c r="G523" s="147"/>
      <c r="H523" s="147"/>
      <c r="I523" s="147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</row>
    <row r="524" ht="15.75" customHeight="1">
      <c r="A524" s="147"/>
      <c r="B524" s="147"/>
      <c r="C524" s="147"/>
      <c r="D524" s="147"/>
      <c r="E524" s="147"/>
      <c r="F524" s="147"/>
      <c r="G524" s="147"/>
      <c r="H524" s="147"/>
      <c r="I524" s="147"/>
      <c r="J524" s="147"/>
      <c r="K524" s="147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  <c r="AH524" s="147"/>
      <c r="AI524" s="147"/>
      <c r="AJ524" s="147"/>
      <c r="AK524" s="147"/>
      <c r="AL524" s="147"/>
    </row>
    <row r="525" ht="15.75" customHeight="1">
      <c r="A525" s="147"/>
      <c r="B525" s="147"/>
      <c r="C525" s="147"/>
      <c r="D525" s="147"/>
      <c r="E525" s="147"/>
      <c r="F525" s="147"/>
      <c r="G525" s="147"/>
      <c r="H525" s="147"/>
      <c r="I525" s="147"/>
      <c r="J525" s="147"/>
      <c r="K525" s="147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  <c r="AH525" s="147"/>
      <c r="AI525" s="147"/>
      <c r="AJ525" s="147"/>
      <c r="AK525" s="147"/>
      <c r="AL525" s="147"/>
    </row>
    <row r="526" ht="15.75" customHeight="1">
      <c r="A526" s="147"/>
      <c r="B526" s="147"/>
      <c r="C526" s="147"/>
      <c r="D526" s="147"/>
      <c r="E526" s="147"/>
      <c r="F526" s="147"/>
      <c r="G526" s="147"/>
      <c r="H526" s="147"/>
      <c r="I526" s="147"/>
      <c r="J526" s="147"/>
      <c r="K526" s="147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  <c r="AH526" s="147"/>
      <c r="AI526" s="147"/>
      <c r="AJ526" s="147"/>
      <c r="AK526" s="147"/>
      <c r="AL526" s="147"/>
    </row>
    <row r="527" ht="15.75" customHeight="1">
      <c r="A527" s="147"/>
      <c r="B527" s="147"/>
      <c r="C527" s="147"/>
      <c r="D527" s="147"/>
      <c r="E527" s="147"/>
      <c r="F527" s="147"/>
      <c r="G527" s="147"/>
      <c r="H527" s="147"/>
      <c r="I527" s="147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  <c r="AH527" s="147"/>
      <c r="AI527" s="147"/>
      <c r="AJ527" s="147"/>
      <c r="AK527" s="147"/>
      <c r="AL527" s="147"/>
    </row>
    <row r="528" ht="15.75" customHeight="1">
      <c r="A528" s="147"/>
      <c r="B528" s="147"/>
      <c r="C528" s="147"/>
      <c r="D528" s="147"/>
      <c r="E528" s="147"/>
      <c r="F528" s="147"/>
      <c r="G528" s="147"/>
      <c r="H528" s="147"/>
      <c r="I528" s="147"/>
      <c r="J528" s="147"/>
      <c r="K528" s="147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  <c r="AH528" s="147"/>
      <c r="AI528" s="147"/>
      <c r="AJ528" s="147"/>
      <c r="AK528" s="147"/>
      <c r="AL528" s="147"/>
    </row>
    <row r="529" ht="15.75" customHeight="1">
      <c r="A529" s="147"/>
      <c r="B529" s="147"/>
      <c r="C529" s="147"/>
      <c r="D529" s="147"/>
      <c r="E529" s="147"/>
      <c r="F529" s="147"/>
      <c r="G529" s="147"/>
      <c r="H529" s="147"/>
      <c r="I529" s="147"/>
      <c r="J529" s="147"/>
      <c r="K529" s="147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  <c r="AH529" s="147"/>
      <c r="AI529" s="147"/>
      <c r="AJ529" s="147"/>
      <c r="AK529" s="147"/>
      <c r="AL529" s="147"/>
    </row>
    <row r="530" ht="15.75" customHeight="1">
      <c r="A530" s="147"/>
      <c r="B530" s="147"/>
      <c r="C530" s="147"/>
      <c r="D530" s="147"/>
      <c r="E530" s="147"/>
      <c r="F530" s="147"/>
      <c r="G530" s="147"/>
      <c r="H530" s="147"/>
      <c r="I530" s="147"/>
      <c r="J530" s="147"/>
      <c r="K530" s="147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  <c r="AH530" s="147"/>
      <c r="AI530" s="147"/>
      <c r="AJ530" s="147"/>
      <c r="AK530" s="147"/>
      <c r="AL530" s="147"/>
    </row>
    <row r="531" ht="15.75" customHeight="1">
      <c r="A531" s="147"/>
      <c r="B531" s="147"/>
      <c r="C531" s="147"/>
      <c r="D531" s="147"/>
      <c r="E531" s="147"/>
      <c r="F531" s="147"/>
      <c r="G531" s="147"/>
      <c r="H531" s="147"/>
      <c r="I531" s="147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</row>
    <row r="532" ht="15.75" customHeight="1">
      <c r="A532" s="147"/>
      <c r="B532" s="147"/>
      <c r="C532" s="147"/>
      <c r="D532" s="147"/>
      <c r="E532" s="147"/>
      <c r="F532" s="147"/>
      <c r="G532" s="147"/>
      <c r="H532" s="147"/>
      <c r="I532" s="147"/>
      <c r="J532" s="147"/>
      <c r="K532" s="147"/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  <c r="AH532" s="147"/>
      <c r="AI532" s="147"/>
      <c r="AJ532" s="147"/>
      <c r="AK532" s="147"/>
      <c r="AL532" s="147"/>
    </row>
    <row r="533" ht="15.75" customHeight="1">
      <c r="A533" s="147"/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  <c r="AH533" s="147"/>
      <c r="AI533" s="147"/>
      <c r="AJ533" s="147"/>
      <c r="AK533" s="147"/>
      <c r="AL533" s="147"/>
    </row>
    <row r="534" ht="15.75" customHeight="1">
      <c r="A534" s="147"/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  <c r="AL534" s="147"/>
    </row>
    <row r="535" ht="15.75" customHeight="1">
      <c r="A535" s="147"/>
      <c r="B535" s="147"/>
      <c r="C535" s="147"/>
      <c r="D535" s="147"/>
      <c r="E535" s="147"/>
      <c r="F535" s="147"/>
      <c r="G535" s="147"/>
      <c r="H535" s="147"/>
      <c r="I535" s="147"/>
      <c r="J535" s="147"/>
      <c r="K535" s="147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</row>
    <row r="536" ht="15.75" customHeight="1">
      <c r="A536" s="147"/>
      <c r="B536" s="147"/>
      <c r="C536" s="147"/>
      <c r="D536" s="147"/>
      <c r="E536" s="147"/>
      <c r="F536" s="147"/>
      <c r="G536" s="147"/>
      <c r="H536" s="147"/>
      <c r="I536" s="147"/>
      <c r="J536" s="147"/>
      <c r="K536" s="147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/>
      <c r="AL536" s="147"/>
    </row>
    <row r="537" ht="15.75" customHeight="1">
      <c r="A537" s="147"/>
      <c r="B537" s="147"/>
      <c r="C537" s="147"/>
      <c r="D537" s="147"/>
      <c r="E537" s="147"/>
      <c r="F537" s="147"/>
      <c r="G537" s="147"/>
      <c r="H537" s="147"/>
      <c r="I537" s="147"/>
      <c r="J537" s="147"/>
      <c r="K537" s="147"/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  <c r="AH537" s="147"/>
      <c r="AI537" s="147"/>
      <c r="AJ537" s="147"/>
      <c r="AK537" s="147"/>
      <c r="AL537" s="147"/>
    </row>
    <row r="538" ht="15.75" customHeight="1">
      <c r="A538" s="147"/>
      <c r="B538" s="147"/>
      <c r="C538" s="147"/>
      <c r="D538" s="147"/>
      <c r="E538" s="147"/>
      <c r="F538" s="147"/>
      <c r="G538" s="147"/>
      <c r="H538" s="147"/>
      <c r="I538" s="147"/>
      <c r="J538" s="147"/>
      <c r="K538" s="147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/>
      <c r="AL538" s="147"/>
    </row>
    <row r="539" ht="15.75" customHeight="1">
      <c r="A539" s="147"/>
      <c r="B539" s="147"/>
      <c r="C539" s="147"/>
      <c r="D539" s="147"/>
      <c r="E539" s="147"/>
      <c r="F539" s="147"/>
      <c r="G539" s="147"/>
      <c r="H539" s="147"/>
      <c r="I539" s="147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/>
      <c r="AL539" s="147"/>
    </row>
    <row r="540" ht="15.75" customHeight="1">
      <c r="A540" s="147"/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</row>
    <row r="541" ht="15.75" customHeight="1">
      <c r="A541" s="147"/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  <c r="AL541" s="147"/>
    </row>
    <row r="542" ht="15.75" customHeight="1">
      <c r="A542" s="147"/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</row>
    <row r="543" ht="15.75" customHeight="1">
      <c r="A543" s="147"/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  <c r="AL543" s="147"/>
    </row>
    <row r="544" ht="15.75" customHeight="1">
      <c r="A544" s="147"/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  <c r="AH544" s="147"/>
      <c r="AI544" s="147"/>
      <c r="AJ544" s="147"/>
      <c r="AK544" s="147"/>
      <c r="AL544" s="147"/>
    </row>
    <row r="545" ht="15.75" customHeight="1">
      <c r="A545" s="147"/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/>
      <c r="AL545" s="147"/>
    </row>
    <row r="546" ht="15.75" customHeight="1">
      <c r="A546" s="147"/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  <c r="AH546" s="147"/>
      <c r="AI546" s="147"/>
      <c r="AJ546" s="147"/>
      <c r="AK546" s="147"/>
      <c r="AL546" s="147"/>
    </row>
    <row r="547" ht="15.75" customHeight="1">
      <c r="A547" s="147"/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  <c r="AL547" s="147"/>
    </row>
    <row r="548" ht="15.75" customHeight="1">
      <c r="A548" s="147"/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  <c r="AH548" s="147"/>
      <c r="AI548" s="147"/>
      <c r="AJ548" s="147"/>
      <c r="AK548" s="147"/>
      <c r="AL548" s="147"/>
    </row>
    <row r="549" ht="15.75" customHeight="1">
      <c r="A549" s="147"/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  <c r="AH549" s="147"/>
      <c r="AI549" s="147"/>
      <c r="AJ549" s="147"/>
      <c r="AK549" s="147"/>
      <c r="AL549" s="147"/>
    </row>
    <row r="550" ht="15.75" customHeight="1">
      <c r="A550" s="147"/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  <c r="AH550" s="147"/>
      <c r="AI550" s="147"/>
      <c r="AJ550" s="147"/>
      <c r="AK550" s="147"/>
      <c r="AL550" s="147"/>
    </row>
    <row r="551" ht="15.75" customHeight="1">
      <c r="A551" s="147"/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</row>
    <row r="552" ht="15.75" customHeight="1">
      <c r="A552" s="147"/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  <c r="AH552" s="147"/>
      <c r="AI552" s="147"/>
      <c r="AJ552" s="147"/>
      <c r="AK552" s="147"/>
      <c r="AL552" s="147"/>
    </row>
    <row r="553" ht="15.75" customHeight="1">
      <c r="A553" s="147"/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</row>
    <row r="554" ht="15.75" customHeight="1">
      <c r="A554" s="147"/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  <c r="AH554" s="147"/>
      <c r="AI554" s="147"/>
      <c r="AJ554" s="147"/>
      <c r="AK554" s="147"/>
      <c r="AL554" s="147"/>
    </row>
    <row r="555" ht="15.75" customHeight="1">
      <c r="A555" s="147"/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</row>
    <row r="556" ht="15.75" customHeight="1">
      <c r="A556" s="147"/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</row>
    <row r="557" ht="15.75" customHeight="1">
      <c r="A557" s="147"/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</row>
    <row r="558" ht="15.75" customHeight="1">
      <c r="A558" s="147"/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</row>
    <row r="559" ht="15.75" customHeight="1">
      <c r="A559" s="147"/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/>
      <c r="AL559" s="147"/>
    </row>
    <row r="560" ht="15.75" customHeight="1">
      <c r="A560" s="147"/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/>
      <c r="AL560" s="147"/>
    </row>
    <row r="561" ht="15.75" customHeight="1">
      <c r="A561" s="147"/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/>
      <c r="AL561" s="147"/>
    </row>
    <row r="562" ht="15.75" customHeight="1">
      <c r="A562" s="147"/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/>
      <c r="AL562" s="147"/>
    </row>
    <row r="563" ht="15.75" customHeight="1">
      <c r="A563" s="147"/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</row>
    <row r="564" ht="15.75" customHeight="1">
      <c r="A564" s="147"/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  <c r="AH564" s="147"/>
      <c r="AI564" s="147"/>
      <c r="AJ564" s="147"/>
      <c r="AK564" s="147"/>
      <c r="AL564" s="147"/>
    </row>
    <row r="565" ht="15.75" customHeight="1">
      <c r="A565" s="147"/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  <c r="AH565" s="147"/>
      <c r="AI565" s="147"/>
      <c r="AJ565" s="147"/>
      <c r="AK565" s="147"/>
      <c r="AL565" s="147"/>
    </row>
    <row r="566" ht="15.75" customHeight="1">
      <c r="A566" s="147"/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  <c r="AH566" s="147"/>
      <c r="AI566" s="147"/>
      <c r="AJ566" s="147"/>
      <c r="AK566" s="147"/>
      <c r="AL566" s="147"/>
    </row>
    <row r="567" ht="15.75" customHeight="1">
      <c r="A567" s="147"/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  <c r="AH567" s="147"/>
      <c r="AI567" s="147"/>
      <c r="AJ567" s="147"/>
      <c r="AK567" s="147"/>
      <c r="AL567" s="147"/>
    </row>
    <row r="568" ht="15.75" customHeight="1">
      <c r="A568" s="147"/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  <c r="AH568" s="147"/>
      <c r="AI568" s="147"/>
      <c r="AJ568" s="147"/>
      <c r="AK568" s="147"/>
      <c r="AL568" s="147"/>
    </row>
    <row r="569" ht="15.75" customHeight="1">
      <c r="A569" s="147"/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  <c r="AH569" s="147"/>
      <c r="AI569" s="147"/>
      <c r="AJ569" s="147"/>
      <c r="AK569" s="147"/>
      <c r="AL569" s="147"/>
    </row>
    <row r="570" ht="15.75" customHeight="1">
      <c r="A570" s="147"/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  <c r="AL570" s="147"/>
    </row>
    <row r="571" ht="15.75" customHeight="1">
      <c r="A571" s="147"/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</row>
    <row r="572" ht="15.75" customHeight="1">
      <c r="A572" s="147"/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</row>
    <row r="573" ht="15.75" customHeight="1">
      <c r="A573" s="147"/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/>
      <c r="AL573" s="147"/>
    </row>
    <row r="574" ht="15.75" customHeight="1">
      <c r="A574" s="147"/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/>
      <c r="AL574" s="147"/>
    </row>
    <row r="575" ht="15.75" customHeight="1">
      <c r="A575" s="147"/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  <c r="AH575" s="147"/>
      <c r="AI575" s="147"/>
      <c r="AJ575" s="147"/>
      <c r="AK575" s="147"/>
      <c r="AL575" s="147"/>
    </row>
    <row r="576" ht="15.75" customHeight="1">
      <c r="A576" s="147"/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  <c r="AH576" s="147"/>
      <c r="AI576" s="147"/>
      <c r="AJ576" s="147"/>
      <c r="AK576" s="147"/>
      <c r="AL576" s="147"/>
    </row>
    <row r="577" ht="15.75" customHeight="1">
      <c r="A577" s="147"/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/>
      <c r="AL577" s="147"/>
    </row>
    <row r="578" ht="15.75" customHeight="1">
      <c r="A578" s="147"/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  <c r="AH578" s="147"/>
      <c r="AI578" s="147"/>
      <c r="AJ578" s="147"/>
      <c r="AK578" s="147"/>
      <c r="AL578" s="147"/>
    </row>
    <row r="579" ht="15.75" customHeight="1">
      <c r="A579" s="147"/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  <c r="AH579" s="147"/>
      <c r="AI579" s="147"/>
      <c r="AJ579" s="147"/>
      <c r="AK579" s="147"/>
      <c r="AL579" s="147"/>
    </row>
    <row r="580" ht="15.75" customHeight="1">
      <c r="A580" s="147"/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  <c r="AH580" s="147"/>
      <c r="AI580" s="147"/>
      <c r="AJ580" s="147"/>
      <c r="AK580" s="147"/>
      <c r="AL580" s="147"/>
    </row>
    <row r="581" ht="15.75" customHeight="1">
      <c r="A581" s="147"/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/>
      <c r="AL581" s="147"/>
    </row>
    <row r="582" ht="15.75" customHeight="1">
      <c r="A582" s="147"/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  <c r="AH582" s="147"/>
      <c r="AI582" s="147"/>
      <c r="AJ582" s="147"/>
      <c r="AK582" s="147"/>
      <c r="AL582" s="147"/>
    </row>
    <row r="583" ht="15.75" customHeight="1">
      <c r="A583" s="147"/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  <c r="AI583" s="147"/>
      <c r="AJ583" s="147"/>
      <c r="AK583" s="147"/>
      <c r="AL583" s="147"/>
    </row>
    <row r="584" ht="15.75" customHeight="1">
      <c r="A584" s="147"/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</row>
    <row r="585" ht="15.75" customHeight="1">
      <c r="A585" s="147"/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</row>
    <row r="586" ht="15.75" customHeight="1">
      <c r="A586" s="147"/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  <c r="AH586" s="147"/>
      <c r="AI586" s="147"/>
      <c r="AJ586" s="147"/>
      <c r="AK586" s="147"/>
      <c r="AL586" s="147"/>
    </row>
    <row r="587" ht="15.75" customHeight="1">
      <c r="A587" s="147"/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  <c r="AH587" s="147"/>
      <c r="AI587" s="147"/>
      <c r="AJ587" s="147"/>
      <c r="AK587" s="147"/>
      <c r="AL587" s="147"/>
    </row>
    <row r="588" ht="15.75" customHeight="1">
      <c r="A588" s="147"/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  <c r="AH588" s="147"/>
      <c r="AI588" s="147"/>
      <c r="AJ588" s="147"/>
      <c r="AK588" s="147"/>
      <c r="AL588" s="147"/>
    </row>
    <row r="589" ht="15.75" customHeight="1">
      <c r="A589" s="147"/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</row>
    <row r="590" ht="15.75" customHeight="1">
      <c r="A590" s="147"/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  <c r="AH590" s="147"/>
      <c r="AI590" s="147"/>
      <c r="AJ590" s="147"/>
      <c r="AK590" s="147"/>
      <c r="AL590" s="147"/>
    </row>
    <row r="591" ht="15.75" customHeight="1">
      <c r="A591" s="147"/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</row>
    <row r="592" ht="15.75" customHeight="1">
      <c r="A592" s="147"/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</row>
    <row r="593" ht="15.75" customHeight="1">
      <c r="A593" s="147"/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</row>
    <row r="594" ht="15.75" customHeight="1">
      <c r="A594" s="147"/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</row>
    <row r="595" ht="15.75" customHeight="1">
      <c r="A595" s="147"/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</row>
    <row r="596" ht="15.75" customHeight="1">
      <c r="A596" s="147"/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</row>
    <row r="597" ht="15.75" customHeight="1">
      <c r="A597" s="147"/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</row>
    <row r="598" ht="15.75" customHeight="1">
      <c r="A598" s="147"/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</row>
    <row r="599" ht="15.75" customHeight="1">
      <c r="A599" s="147"/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  <c r="AH599" s="147"/>
      <c r="AI599" s="147"/>
      <c r="AJ599" s="147"/>
      <c r="AK599" s="147"/>
      <c r="AL599" s="147"/>
    </row>
    <row r="600" ht="15.75" customHeight="1">
      <c r="A600" s="147"/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  <c r="AH600" s="147"/>
      <c r="AI600" s="147"/>
      <c r="AJ600" s="147"/>
      <c r="AK600" s="147"/>
      <c r="AL600" s="147"/>
    </row>
    <row r="601" ht="15.75" customHeight="1">
      <c r="A601" s="147"/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</row>
    <row r="602" ht="15.75" customHeight="1">
      <c r="A602" s="147"/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  <c r="AH602" s="147"/>
      <c r="AI602" s="147"/>
      <c r="AJ602" s="147"/>
      <c r="AK602" s="147"/>
      <c r="AL602" s="147"/>
    </row>
    <row r="603" ht="15.75" customHeight="1">
      <c r="A603" s="147"/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  <c r="AH603" s="147"/>
      <c r="AI603" s="147"/>
      <c r="AJ603" s="147"/>
      <c r="AK603" s="147"/>
      <c r="AL603" s="147"/>
    </row>
    <row r="604" ht="15.75" customHeight="1">
      <c r="A604" s="147"/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  <c r="AH604" s="147"/>
      <c r="AI604" s="147"/>
      <c r="AJ604" s="147"/>
      <c r="AK604" s="147"/>
      <c r="AL604" s="147"/>
    </row>
    <row r="605" ht="15.75" customHeight="1">
      <c r="A605" s="147"/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</row>
    <row r="606" ht="15.75" customHeight="1">
      <c r="A606" s="147"/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  <c r="AH606" s="147"/>
      <c r="AI606" s="147"/>
      <c r="AJ606" s="147"/>
      <c r="AK606" s="147"/>
      <c r="AL606" s="147"/>
    </row>
    <row r="607" ht="15.75" customHeight="1">
      <c r="A607" s="147"/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  <c r="AH607" s="147"/>
      <c r="AI607" s="147"/>
      <c r="AJ607" s="147"/>
      <c r="AK607" s="147"/>
      <c r="AL607" s="147"/>
    </row>
    <row r="608" ht="15.75" customHeight="1">
      <c r="A608" s="147"/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  <c r="AH608" s="147"/>
      <c r="AI608" s="147"/>
      <c r="AJ608" s="147"/>
      <c r="AK608" s="147"/>
      <c r="AL608" s="147"/>
    </row>
    <row r="609" ht="15.75" customHeight="1">
      <c r="A609" s="147"/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/>
      <c r="AL609" s="147"/>
    </row>
    <row r="610" ht="15.75" customHeight="1">
      <c r="A610" s="147"/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  <c r="AH610" s="147"/>
      <c r="AI610" s="147"/>
      <c r="AJ610" s="147"/>
      <c r="AK610" s="147"/>
      <c r="AL610" s="147"/>
    </row>
    <row r="611" ht="15.75" customHeight="1">
      <c r="A611" s="147"/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  <c r="AH611" s="147"/>
      <c r="AI611" s="147"/>
      <c r="AJ611" s="147"/>
      <c r="AK611" s="147"/>
      <c r="AL611" s="147"/>
    </row>
    <row r="612" ht="15.75" customHeight="1">
      <c r="A612" s="147"/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  <c r="AH612" s="147"/>
      <c r="AI612" s="147"/>
      <c r="AJ612" s="147"/>
      <c r="AK612" s="147"/>
      <c r="AL612" s="147"/>
    </row>
    <row r="613" ht="15.75" customHeight="1">
      <c r="A613" s="147"/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  <c r="AH613" s="147"/>
      <c r="AI613" s="147"/>
      <c r="AJ613" s="147"/>
      <c r="AK613" s="147"/>
      <c r="AL613" s="147"/>
    </row>
    <row r="614" ht="15.75" customHeight="1">
      <c r="A614" s="147"/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  <c r="AH614" s="147"/>
      <c r="AI614" s="147"/>
      <c r="AJ614" s="147"/>
      <c r="AK614" s="147"/>
      <c r="AL614" s="147"/>
    </row>
    <row r="615" ht="15.75" customHeight="1">
      <c r="A615" s="147"/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  <c r="AH615" s="147"/>
      <c r="AI615" s="147"/>
      <c r="AJ615" s="147"/>
      <c r="AK615" s="147"/>
      <c r="AL615" s="147"/>
    </row>
    <row r="616" ht="15.75" customHeight="1">
      <c r="A616" s="147"/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  <c r="AH616" s="147"/>
      <c r="AI616" s="147"/>
      <c r="AJ616" s="147"/>
      <c r="AK616" s="147"/>
      <c r="AL616" s="147"/>
    </row>
    <row r="617" ht="15.75" customHeight="1">
      <c r="A617" s="147"/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  <c r="AH617" s="147"/>
      <c r="AI617" s="147"/>
      <c r="AJ617" s="147"/>
      <c r="AK617" s="147"/>
      <c r="AL617" s="147"/>
    </row>
    <row r="618" ht="15.75" customHeight="1">
      <c r="A618" s="147"/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  <c r="AH618" s="147"/>
      <c r="AI618" s="147"/>
      <c r="AJ618" s="147"/>
      <c r="AK618" s="147"/>
      <c r="AL618" s="147"/>
    </row>
    <row r="619" ht="15.75" customHeight="1">
      <c r="A619" s="147"/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</row>
    <row r="620" ht="15.75" customHeight="1">
      <c r="A620" s="147"/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</row>
    <row r="621" ht="15.75" customHeight="1">
      <c r="A621" s="147"/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</row>
    <row r="622" ht="15.75" customHeight="1">
      <c r="A622" s="147"/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</row>
    <row r="623" ht="15.75" customHeight="1">
      <c r="A623" s="147"/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</row>
    <row r="624" ht="15.75" customHeight="1">
      <c r="A624" s="147"/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</row>
    <row r="625" ht="15.75" customHeight="1">
      <c r="A625" s="147"/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</row>
    <row r="626" ht="15.75" customHeight="1">
      <c r="A626" s="147"/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</row>
    <row r="627" ht="15.75" customHeight="1">
      <c r="A627" s="147"/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</row>
    <row r="628" ht="15.75" customHeight="1">
      <c r="A628" s="147"/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  <c r="AH628" s="147"/>
      <c r="AI628" s="147"/>
      <c r="AJ628" s="147"/>
      <c r="AK628" s="147"/>
      <c r="AL628" s="147"/>
    </row>
    <row r="629" ht="15.75" customHeight="1">
      <c r="A629" s="147"/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  <c r="AH629" s="147"/>
      <c r="AI629" s="147"/>
      <c r="AJ629" s="147"/>
      <c r="AK629" s="147"/>
      <c r="AL629" s="147"/>
    </row>
    <row r="630" ht="15.75" customHeight="1">
      <c r="A630" s="147"/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147"/>
      <c r="AH630" s="147"/>
      <c r="AI630" s="147"/>
      <c r="AJ630" s="147"/>
      <c r="AK630" s="147"/>
      <c r="AL630" s="147"/>
    </row>
    <row r="631" ht="15.75" customHeight="1">
      <c r="A631" s="147"/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</row>
    <row r="632" ht="15.75" customHeight="1">
      <c r="A632" s="147"/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</row>
    <row r="633" ht="15.75" customHeight="1">
      <c r="A633" s="147"/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</row>
    <row r="634" ht="15.75" customHeight="1">
      <c r="A634" s="147"/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</row>
    <row r="635" ht="15.75" customHeight="1">
      <c r="A635" s="147"/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</row>
    <row r="636" ht="15.75" customHeight="1">
      <c r="A636" s="147"/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</row>
    <row r="637" ht="15.75" customHeight="1">
      <c r="A637" s="147"/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</row>
    <row r="638" ht="15.75" customHeight="1">
      <c r="A638" s="147"/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</row>
    <row r="639" ht="15.75" customHeight="1">
      <c r="A639" s="147"/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</row>
    <row r="640" ht="15.75" customHeight="1">
      <c r="A640" s="147"/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</row>
    <row r="641" ht="15.75" customHeight="1">
      <c r="A641" s="147"/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</row>
    <row r="642" ht="15.75" customHeight="1">
      <c r="A642" s="147"/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</row>
    <row r="643" ht="15.75" customHeight="1">
      <c r="A643" s="147"/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</row>
    <row r="644" ht="15.75" customHeight="1">
      <c r="A644" s="147"/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</row>
    <row r="645" ht="15.75" customHeight="1">
      <c r="A645" s="147"/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</row>
    <row r="646" ht="15.75" customHeight="1">
      <c r="A646" s="147"/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</row>
    <row r="647" ht="15.75" customHeight="1">
      <c r="A647" s="147"/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</row>
    <row r="648" ht="15.75" customHeight="1">
      <c r="A648" s="147"/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</row>
    <row r="649" ht="15.75" customHeight="1">
      <c r="A649" s="147"/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</row>
    <row r="650" ht="15.75" customHeight="1">
      <c r="A650" s="147"/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</row>
    <row r="651" ht="15.75" customHeight="1">
      <c r="A651" s="147"/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</row>
    <row r="652" ht="15.75" customHeight="1">
      <c r="A652" s="147"/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</row>
    <row r="653" ht="15.75" customHeight="1">
      <c r="A653" s="147"/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</row>
    <row r="654" ht="15.75" customHeight="1">
      <c r="A654" s="147"/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</row>
    <row r="655" ht="15.75" customHeight="1">
      <c r="A655" s="147"/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</row>
    <row r="656" ht="15.75" customHeight="1">
      <c r="A656" s="147"/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</row>
    <row r="657" ht="15.75" customHeight="1">
      <c r="A657" s="147"/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</row>
    <row r="658" ht="15.75" customHeight="1">
      <c r="A658" s="147"/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</row>
    <row r="659" ht="15.75" customHeight="1">
      <c r="A659" s="147"/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</row>
    <row r="660" ht="15.75" customHeight="1">
      <c r="A660" s="147"/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</row>
    <row r="661" ht="15.75" customHeight="1">
      <c r="A661" s="147"/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</row>
    <row r="662" ht="15.75" customHeight="1">
      <c r="A662" s="147"/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</row>
    <row r="663" ht="15.75" customHeight="1">
      <c r="A663" s="147"/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</row>
    <row r="664" ht="15.75" customHeight="1">
      <c r="A664" s="147"/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</row>
    <row r="665" ht="15.75" customHeight="1">
      <c r="A665" s="147"/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</row>
    <row r="666" ht="15.75" customHeight="1">
      <c r="A666" s="147"/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</row>
    <row r="667" ht="15.75" customHeight="1">
      <c r="A667" s="147"/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</row>
    <row r="668" ht="15.75" customHeight="1">
      <c r="A668" s="147"/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</row>
    <row r="669" ht="15.75" customHeight="1">
      <c r="A669" s="147"/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</row>
    <row r="670" ht="15.75" customHeight="1">
      <c r="A670" s="147"/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</row>
    <row r="671" ht="15.75" customHeight="1">
      <c r="A671" s="147"/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</row>
    <row r="672" ht="15.75" customHeight="1">
      <c r="A672" s="147"/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</row>
    <row r="673" ht="15.75" customHeight="1">
      <c r="A673" s="147"/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</row>
    <row r="674" ht="15.75" customHeight="1">
      <c r="A674" s="147"/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</row>
    <row r="675" ht="15.75" customHeight="1">
      <c r="A675" s="147"/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</row>
    <row r="676" ht="15.75" customHeight="1">
      <c r="A676" s="147"/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</row>
    <row r="677" ht="15.75" customHeight="1">
      <c r="A677" s="147"/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</row>
    <row r="678" ht="15.75" customHeight="1">
      <c r="A678" s="147"/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</row>
    <row r="679" ht="15.75" customHeight="1">
      <c r="A679" s="147"/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</row>
    <row r="680" ht="15.75" customHeight="1">
      <c r="A680" s="147"/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</row>
    <row r="681" ht="15.75" customHeight="1">
      <c r="A681" s="147"/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</row>
    <row r="682" ht="15.75" customHeight="1">
      <c r="A682" s="147"/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</row>
    <row r="683" ht="15.75" customHeight="1">
      <c r="A683" s="147"/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</row>
    <row r="684" ht="15.75" customHeight="1">
      <c r="A684" s="147"/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</row>
    <row r="685" ht="15.75" customHeight="1">
      <c r="A685" s="147"/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</row>
    <row r="686" ht="15.75" customHeight="1">
      <c r="A686" s="147"/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</row>
    <row r="687" ht="15.75" customHeight="1">
      <c r="A687" s="147"/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</row>
    <row r="688" ht="15.75" customHeight="1">
      <c r="A688" s="147"/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</row>
    <row r="689" ht="15.75" customHeight="1">
      <c r="A689" s="147"/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</row>
    <row r="690" ht="15.75" customHeight="1">
      <c r="A690" s="147"/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</row>
    <row r="691" ht="15.75" customHeight="1">
      <c r="A691" s="147"/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</row>
    <row r="692" ht="15.75" customHeight="1">
      <c r="A692" s="147"/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</row>
    <row r="693" ht="15.75" customHeight="1">
      <c r="A693" s="147"/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</row>
    <row r="694" ht="15.75" customHeight="1">
      <c r="A694" s="147"/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</row>
    <row r="695" ht="15.75" customHeight="1">
      <c r="A695" s="147"/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</row>
    <row r="696" ht="15.75" customHeight="1">
      <c r="A696" s="147"/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</row>
    <row r="697" ht="15.75" customHeight="1">
      <c r="A697" s="147"/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</row>
    <row r="698" ht="15.75" customHeight="1">
      <c r="A698" s="147"/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</row>
    <row r="699" ht="15.75" customHeight="1">
      <c r="A699" s="147"/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</row>
    <row r="700" ht="15.75" customHeight="1">
      <c r="A700" s="147"/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</row>
    <row r="701" ht="15.75" customHeight="1">
      <c r="A701" s="147"/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</row>
    <row r="702" ht="15.75" customHeight="1">
      <c r="A702" s="147"/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</row>
    <row r="703" ht="15.75" customHeight="1">
      <c r="A703" s="147"/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</row>
    <row r="704" ht="15.75" customHeight="1">
      <c r="A704" s="147"/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</row>
    <row r="705" ht="15.75" customHeight="1">
      <c r="A705" s="147"/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</row>
    <row r="706" ht="15.75" customHeight="1">
      <c r="A706" s="147"/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</row>
    <row r="707" ht="15.75" customHeight="1">
      <c r="A707" s="147"/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</row>
    <row r="708" ht="15.75" customHeight="1">
      <c r="A708" s="147"/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</row>
    <row r="709" ht="15.75" customHeight="1">
      <c r="A709" s="147"/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</row>
    <row r="710" ht="15.75" customHeight="1">
      <c r="A710" s="147"/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</row>
    <row r="711" ht="15.75" customHeight="1">
      <c r="A711" s="147"/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</row>
    <row r="712" ht="15.75" customHeight="1">
      <c r="A712" s="147"/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</row>
    <row r="713" ht="15.75" customHeight="1">
      <c r="A713" s="147"/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</row>
    <row r="714" ht="15.75" customHeight="1">
      <c r="A714" s="147"/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</row>
    <row r="715" ht="15.75" customHeight="1">
      <c r="A715" s="147"/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</row>
    <row r="716" ht="15.75" customHeight="1">
      <c r="A716" s="147"/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</row>
    <row r="717" ht="15.75" customHeight="1">
      <c r="A717" s="147"/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</row>
    <row r="718" ht="15.75" customHeight="1">
      <c r="A718" s="147"/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</row>
    <row r="719" ht="15.75" customHeight="1">
      <c r="A719" s="147"/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</row>
    <row r="720" ht="15.75" customHeight="1">
      <c r="A720" s="147"/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</row>
    <row r="721" ht="15.75" customHeight="1">
      <c r="A721" s="147"/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</row>
    <row r="722" ht="15.75" customHeight="1">
      <c r="A722" s="147"/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</row>
    <row r="723" ht="15.75" customHeight="1">
      <c r="A723" s="147"/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</row>
    <row r="724" ht="15.75" customHeight="1">
      <c r="A724" s="147"/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</row>
    <row r="725" ht="15.75" customHeight="1">
      <c r="A725" s="147"/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</row>
    <row r="726" ht="15.75" customHeight="1">
      <c r="A726" s="147"/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</row>
    <row r="727" ht="15.75" customHeight="1">
      <c r="A727" s="147"/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</row>
    <row r="728" ht="15.75" customHeight="1">
      <c r="A728" s="147"/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</row>
    <row r="729" ht="15.75" customHeight="1">
      <c r="A729" s="147"/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</row>
    <row r="730" ht="15.75" customHeight="1">
      <c r="A730" s="147"/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</row>
    <row r="731" ht="15.75" customHeight="1">
      <c r="A731" s="147"/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</row>
    <row r="732" ht="15.75" customHeight="1">
      <c r="A732" s="147"/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</row>
    <row r="733" ht="15.75" customHeight="1">
      <c r="A733" s="147"/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</row>
    <row r="734" ht="15.75" customHeight="1">
      <c r="A734" s="147"/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</row>
    <row r="735" ht="15.75" customHeight="1">
      <c r="A735" s="147"/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</row>
    <row r="736" ht="15.75" customHeight="1">
      <c r="A736" s="147"/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</row>
    <row r="737" ht="15.75" customHeight="1">
      <c r="A737" s="147"/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</row>
    <row r="738" ht="15.75" customHeight="1">
      <c r="A738" s="147"/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</row>
    <row r="739" ht="15.75" customHeight="1">
      <c r="A739" s="147"/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</row>
    <row r="740" ht="15.75" customHeight="1">
      <c r="A740" s="147"/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</row>
    <row r="741" ht="15.75" customHeight="1">
      <c r="A741" s="147"/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</row>
    <row r="742" ht="15.75" customHeight="1">
      <c r="A742" s="147"/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</row>
    <row r="743" ht="15.75" customHeight="1">
      <c r="A743" s="147"/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</row>
    <row r="744" ht="15.75" customHeight="1">
      <c r="A744" s="147"/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</row>
    <row r="745" ht="15.75" customHeight="1">
      <c r="A745" s="147"/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</row>
    <row r="746" ht="15.75" customHeight="1">
      <c r="A746" s="147"/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</row>
    <row r="747" ht="15.75" customHeight="1">
      <c r="A747" s="147"/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</row>
    <row r="748" ht="15.75" customHeight="1">
      <c r="A748" s="147"/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</row>
    <row r="749" ht="15.75" customHeight="1">
      <c r="A749" s="147"/>
      <c r="B749" s="147"/>
      <c r="C749" s="147"/>
      <c r="D749" s="147"/>
      <c r="E749" s="147"/>
      <c r="F749" s="147"/>
      <c r="G749" s="147"/>
      <c r="H749" s="147"/>
      <c r="I749" s="147"/>
      <c r="J749" s="147"/>
      <c r="K749" s="147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/>
      <c r="AG749" s="147"/>
      <c r="AH749" s="147"/>
      <c r="AI749" s="147"/>
      <c r="AJ749" s="147"/>
      <c r="AK749" s="147"/>
      <c r="AL749" s="147"/>
    </row>
    <row r="750" ht="15.75" customHeight="1">
      <c r="A750" s="147"/>
      <c r="B750" s="147"/>
      <c r="C750" s="147"/>
      <c r="D750" s="147"/>
      <c r="E750" s="147"/>
      <c r="F750" s="147"/>
      <c r="G750" s="147"/>
      <c r="H750" s="147"/>
      <c r="I750" s="147"/>
      <c r="J750" s="147"/>
      <c r="K750" s="147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  <c r="AH750" s="147"/>
      <c r="AI750" s="147"/>
      <c r="AJ750" s="147"/>
      <c r="AK750" s="147"/>
      <c r="AL750" s="147"/>
    </row>
    <row r="751" ht="15.75" customHeight="1">
      <c r="A751" s="147"/>
      <c r="B751" s="147"/>
      <c r="C751" s="147"/>
      <c r="D751" s="147"/>
      <c r="E751" s="147"/>
      <c r="F751" s="147"/>
      <c r="G751" s="147"/>
      <c r="H751" s="147"/>
      <c r="I751" s="147"/>
      <c r="J751" s="147"/>
      <c r="K751" s="147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  <c r="AH751" s="147"/>
      <c r="AI751" s="147"/>
      <c r="AJ751" s="147"/>
      <c r="AK751" s="147"/>
      <c r="AL751" s="147"/>
    </row>
    <row r="752" ht="15.75" customHeight="1">
      <c r="A752" s="147"/>
      <c r="B752" s="147"/>
      <c r="C752" s="147"/>
      <c r="D752" s="147"/>
      <c r="E752" s="147"/>
      <c r="F752" s="147"/>
      <c r="G752" s="147"/>
      <c r="H752" s="147"/>
      <c r="I752" s="147"/>
      <c r="J752" s="147"/>
      <c r="K752" s="147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/>
      <c r="AG752" s="147"/>
      <c r="AH752" s="147"/>
      <c r="AI752" s="147"/>
      <c r="AJ752" s="147"/>
      <c r="AK752" s="147"/>
      <c r="AL752" s="147"/>
    </row>
    <row r="753" ht="15.75" customHeight="1">
      <c r="A753" s="147"/>
      <c r="B753" s="147"/>
      <c r="C753" s="147"/>
      <c r="D753" s="147"/>
      <c r="E753" s="147"/>
      <c r="F753" s="147"/>
      <c r="G753" s="147"/>
      <c r="H753" s="147"/>
      <c r="I753" s="147"/>
      <c r="J753" s="147"/>
      <c r="K753" s="147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/>
      <c r="AG753" s="147"/>
      <c r="AH753" s="147"/>
      <c r="AI753" s="147"/>
      <c r="AJ753" s="147"/>
      <c r="AK753" s="147"/>
      <c r="AL753" s="147"/>
    </row>
    <row r="754" ht="15.75" customHeight="1">
      <c r="A754" s="147"/>
      <c r="B754" s="147"/>
      <c r="C754" s="147"/>
      <c r="D754" s="147"/>
      <c r="E754" s="147"/>
      <c r="F754" s="147"/>
      <c r="G754" s="147"/>
      <c r="H754" s="147"/>
      <c r="I754" s="147"/>
      <c r="J754" s="147"/>
      <c r="K754" s="147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  <c r="AH754" s="147"/>
      <c r="AI754" s="147"/>
      <c r="AJ754" s="147"/>
      <c r="AK754" s="147"/>
      <c r="AL754" s="147"/>
    </row>
    <row r="755" ht="15.75" customHeight="1">
      <c r="A755" s="147"/>
      <c r="B755" s="147"/>
      <c r="C755" s="147"/>
      <c r="D755" s="147"/>
      <c r="E755" s="147"/>
      <c r="F755" s="147"/>
      <c r="G755" s="147"/>
      <c r="H755" s="147"/>
      <c r="I755" s="147"/>
      <c r="J755" s="147"/>
      <c r="K755" s="147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  <c r="AH755" s="147"/>
      <c r="AI755" s="147"/>
      <c r="AJ755" s="147"/>
      <c r="AK755" s="147"/>
      <c r="AL755" s="147"/>
    </row>
    <row r="756" ht="15.75" customHeight="1">
      <c r="A756" s="147"/>
      <c r="B756" s="147"/>
      <c r="C756" s="147"/>
      <c r="D756" s="147"/>
      <c r="E756" s="147"/>
      <c r="F756" s="147"/>
      <c r="G756" s="147"/>
      <c r="H756" s="147"/>
      <c r="I756" s="147"/>
      <c r="J756" s="147"/>
      <c r="K756" s="147"/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  <c r="AH756" s="147"/>
      <c r="AI756" s="147"/>
      <c r="AJ756" s="147"/>
      <c r="AK756" s="147"/>
      <c r="AL756" s="147"/>
    </row>
    <row r="757" ht="15.75" customHeight="1">
      <c r="A757" s="147"/>
      <c r="B757" s="147"/>
      <c r="C757" s="147"/>
      <c r="D757" s="147"/>
      <c r="E757" s="147"/>
      <c r="F757" s="147"/>
      <c r="G757" s="147"/>
      <c r="H757" s="147"/>
      <c r="I757" s="147"/>
      <c r="J757" s="147"/>
      <c r="K757" s="147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  <c r="AH757" s="147"/>
      <c r="AI757" s="147"/>
      <c r="AJ757" s="147"/>
      <c r="AK757" s="147"/>
      <c r="AL757" s="147"/>
    </row>
    <row r="758" ht="15.75" customHeight="1">
      <c r="A758" s="147"/>
      <c r="B758" s="147"/>
      <c r="C758" s="147"/>
      <c r="D758" s="147"/>
      <c r="E758" s="147"/>
      <c r="F758" s="147"/>
      <c r="G758" s="147"/>
      <c r="H758" s="147"/>
      <c r="I758" s="147"/>
      <c r="J758" s="147"/>
      <c r="K758" s="147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  <c r="AH758" s="147"/>
      <c r="AI758" s="147"/>
      <c r="AJ758" s="147"/>
      <c r="AK758" s="147"/>
      <c r="AL758" s="147"/>
    </row>
    <row r="759" ht="15.75" customHeight="1">
      <c r="A759" s="147"/>
      <c r="B759" s="147"/>
      <c r="C759" s="147"/>
      <c r="D759" s="147"/>
      <c r="E759" s="147"/>
      <c r="F759" s="147"/>
      <c r="G759" s="147"/>
      <c r="H759" s="147"/>
      <c r="I759" s="147"/>
      <c r="J759" s="147"/>
      <c r="K759" s="147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  <c r="AH759" s="147"/>
      <c r="AI759" s="147"/>
      <c r="AJ759" s="147"/>
      <c r="AK759" s="147"/>
      <c r="AL759" s="147"/>
    </row>
    <row r="760" ht="15.75" customHeight="1">
      <c r="A760" s="147"/>
      <c r="B760" s="147"/>
      <c r="C760" s="147"/>
      <c r="D760" s="147"/>
      <c r="E760" s="147"/>
      <c r="F760" s="147"/>
      <c r="G760" s="147"/>
      <c r="H760" s="147"/>
      <c r="I760" s="147"/>
      <c r="J760" s="147"/>
      <c r="K760" s="147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  <c r="AH760" s="147"/>
      <c r="AI760" s="147"/>
      <c r="AJ760" s="147"/>
      <c r="AK760" s="147"/>
      <c r="AL760" s="147"/>
    </row>
    <row r="761" ht="15.75" customHeight="1">
      <c r="A761" s="147"/>
      <c r="B761" s="147"/>
      <c r="C761" s="147"/>
      <c r="D761" s="147"/>
      <c r="E761" s="147"/>
      <c r="F761" s="147"/>
      <c r="G761" s="147"/>
      <c r="H761" s="147"/>
      <c r="I761" s="147"/>
      <c r="J761" s="147"/>
      <c r="K761" s="147"/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  <c r="AH761" s="147"/>
      <c r="AI761" s="147"/>
      <c r="AJ761" s="147"/>
      <c r="AK761" s="147"/>
      <c r="AL761" s="147"/>
    </row>
    <row r="762" ht="15.75" customHeight="1">
      <c r="A762" s="147"/>
      <c r="B762" s="147"/>
      <c r="C762" s="147"/>
      <c r="D762" s="147"/>
      <c r="E762" s="147"/>
      <c r="F762" s="147"/>
      <c r="G762" s="147"/>
      <c r="H762" s="147"/>
      <c r="I762" s="147"/>
      <c r="J762" s="147"/>
      <c r="K762" s="147"/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  <c r="AH762" s="147"/>
      <c r="AI762" s="147"/>
      <c r="AJ762" s="147"/>
      <c r="AK762" s="147"/>
      <c r="AL762" s="147"/>
    </row>
    <row r="763" ht="15.75" customHeight="1">
      <c r="A763" s="147"/>
      <c r="B763" s="147"/>
      <c r="C763" s="147"/>
      <c r="D763" s="147"/>
      <c r="E763" s="147"/>
      <c r="F763" s="147"/>
      <c r="G763" s="147"/>
      <c r="H763" s="147"/>
      <c r="I763" s="147"/>
      <c r="J763" s="147"/>
      <c r="K763" s="147"/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  <c r="AH763" s="147"/>
      <c r="AI763" s="147"/>
      <c r="AJ763" s="147"/>
      <c r="AK763" s="147"/>
      <c r="AL763" s="147"/>
    </row>
    <row r="764" ht="15.75" customHeight="1">
      <c r="A764" s="147"/>
      <c r="B764" s="147"/>
      <c r="C764" s="147"/>
      <c r="D764" s="147"/>
      <c r="E764" s="147"/>
      <c r="F764" s="147"/>
      <c r="G764" s="147"/>
      <c r="H764" s="147"/>
      <c r="I764" s="147"/>
      <c r="J764" s="147"/>
      <c r="K764" s="147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  <c r="AH764" s="147"/>
      <c r="AI764" s="147"/>
      <c r="AJ764" s="147"/>
      <c r="AK764" s="147"/>
      <c r="AL764" s="147"/>
    </row>
    <row r="765" ht="15.75" customHeight="1">
      <c r="A765" s="147"/>
      <c r="B765" s="147"/>
      <c r="C765" s="147"/>
      <c r="D765" s="147"/>
      <c r="E765" s="147"/>
      <c r="F765" s="147"/>
      <c r="G765" s="147"/>
      <c r="H765" s="147"/>
      <c r="I765" s="147"/>
      <c r="J765" s="147"/>
      <c r="K765" s="147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  <c r="AH765" s="147"/>
      <c r="AI765" s="147"/>
      <c r="AJ765" s="147"/>
      <c r="AK765" s="147"/>
      <c r="AL765" s="147"/>
    </row>
    <row r="766" ht="15.75" customHeight="1">
      <c r="A766" s="147"/>
      <c r="B766" s="147"/>
      <c r="C766" s="147"/>
      <c r="D766" s="147"/>
      <c r="E766" s="147"/>
      <c r="F766" s="147"/>
      <c r="G766" s="147"/>
      <c r="H766" s="147"/>
      <c r="I766" s="147"/>
      <c r="J766" s="147"/>
      <c r="K766" s="147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  <c r="AH766" s="147"/>
      <c r="AI766" s="147"/>
      <c r="AJ766" s="147"/>
      <c r="AK766" s="147"/>
      <c r="AL766" s="147"/>
    </row>
    <row r="767" ht="15.75" customHeight="1">
      <c r="A767" s="147"/>
      <c r="B767" s="147"/>
      <c r="C767" s="147"/>
      <c r="D767" s="147"/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  <c r="AH767" s="147"/>
      <c r="AI767" s="147"/>
      <c r="AJ767" s="147"/>
      <c r="AK767" s="147"/>
      <c r="AL767" s="147"/>
    </row>
    <row r="768" ht="15.75" customHeight="1">
      <c r="A768" s="147"/>
      <c r="B768" s="147"/>
      <c r="C768" s="147"/>
      <c r="D768" s="147"/>
      <c r="E768" s="147"/>
      <c r="F768" s="147"/>
      <c r="G768" s="147"/>
      <c r="H768" s="147"/>
      <c r="I768" s="147"/>
      <c r="J768" s="147"/>
      <c r="K768" s="147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  <c r="AH768" s="147"/>
      <c r="AI768" s="147"/>
      <c r="AJ768" s="147"/>
      <c r="AK768" s="147"/>
      <c r="AL768" s="147"/>
    </row>
    <row r="769" ht="15.75" customHeight="1">
      <c r="A769" s="147"/>
      <c r="B769" s="147"/>
      <c r="C769" s="147"/>
      <c r="D769" s="147"/>
      <c r="E769" s="147"/>
      <c r="F769" s="147"/>
      <c r="G769" s="147"/>
      <c r="H769" s="147"/>
      <c r="I769" s="147"/>
      <c r="J769" s="147"/>
      <c r="K769" s="147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  <c r="AH769" s="147"/>
      <c r="AI769" s="147"/>
      <c r="AJ769" s="147"/>
      <c r="AK769" s="147"/>
      <c r="AL769" s="147"/>
    </row>
    <row r="770" ht="15.75" customHeight="1">
      <c r="A770" s="147"/>
      <c r="B770" s="147"/>
      <c r="C770" s="147"/>
      <c r="D770" s="147"/>
      <c r="E770" s="147"/>
      <c r="F770" s="147"/>
      <c r="G770" s="147"/>
      <c r="H770" s="147"/>
      <c r="I770" s="147"/>
      <c r="J770" s="147"/>
      <c r="K770" s="147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/>
      <c r="AG770" s="147"/>
      <c r="AH770" s="147"/>
      <c r="AI770" s="147"/>
      <c r="AJ770" s="147"/>
      <c r="AK770" s="147"/>
      <c r="AL770" s="147"/>
    </row>
    <row r="771" ht="15.75" customHeight="1">
      <c r="A771" s="147"/>
      <c r="B771" s="147"/>
      <c r="C771" s="147"/>
      <c r="D771" s="147"/>
      <c r="E771" s="147"/>
      <c r="F771" s="147"/>
      <c r="G771" s="147"/>
      <c r="H771" s="147"/>
      <c r="I771" s="147"/>
      <c r="J771" s="147"/>
      <c r="K771" s="147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7"/>
      <c r="AE771" s="147"/>
      <c r="AF771" s="147"/>
      <c r="AG771" s="147"/>
      <c r="AH771" s="147"/>
      <c r="AI771" s="147"/>
      <c r="AJ771" s="147"/>
      <c r="AK771" s="147"/>
      <c r="AL771" s="147"/>
    </row>
    <row r="772" ht="15.75" customHeight="1">
      <c r="A772" s="147"/>
      <c r="B772" s="147"/>
      <c r="C772" s="147"/>
      <c r="D772" s="147"/>
      <c r="E772" s="147"/>
      <c r="F772" s="147"/>
      <c r="G772" s="147"/>
      <c r="H772" s="147"/>
      <c r="I772" s="147"/>
      <c r="J772" s="147"/>
      <c r="K772" s="147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/>
      <c r="AG772" s="147"/>
      <c r="AH772" s="147"/>
      <c r="AI772" s="147"/>
      <c r="AJ772" s="147"/>
      <c r="AK772" s="147"/>
      <c r="AL772" s="147"/>
    </row>
    <row r="773" ht="15.75" customHeight="1">
      <c r="A773" s="147"/>
      <c r="B773" s="147"/>
      <c r="C773" s="147"/>
      <c r="D773" s="147"/>
      <c r="E773" s="147"/>
      <c r="F773" s="147"/>
      <c r="G773" s="147"/>
      <c r="H773" s="147"/>
      <c r="I773" s="147"/>
      <c r="J773" s="147"/>
      <c r="K773" s="147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147"/>
      <c r="AH773" s="147"/>
      <c r="AI773" s="147"/>
      <c r="AJ773" s="147"/>
      <c r="AK773" s="147"/>
      <c r="AL773" s="147"/>
    </row>
    <row r="774" ht="15.75" customHeight="1">
      <c r="A774" s="147"/>
      <c r="B774" s="147"/>
      <c r="C774" s="147"/>
      <c r="D774" s="147"/>
      <c r="E774" s="147"/>
      <c r="F774" s="147"/>
      <c r="G774" s="147"/>
      <c r="H774" s="147"/>
      <c r="I774" s="147"/>
      <c r="J774" s="147"/>
      <c r="K774" s="147"/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7"/>
      <c r="AE774" s="147"/>
      <c r="AF774" s="147"/>
      <c r="AG774" s="147"/>
      <c r="AH774" s="147"/>
      <c r="AI774" s="147"/>
      <c r="AJ774" s="147"/>
      <c r="AK774" s="147"/>
      <c r="AL774" s="147"/>
    </row>
    <row r="775" ht="15.75" customHeight="1">
      <c r="A775" s="147"/>
      <c r="B775" s="147"/>
      <c r="C775" s="147"/>
      <c r="D775" s="147"/>
      <c r="E775" s="147"/>
      <c r="F775" s="147"/>
      <c r="G775" s="147"/>
      <c r="H775" s="147"/>
      <c r="I775" s="147"/>
      <c r="J775" s="147"/>
      <c r="K775" s="147"/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7"/>
      <c r="AE775" s="147"/>
      <c r="AF775" s="147"/>
      <c r="AG775" s="147"/>
      <c r="AH775" s="147"/>
      <c r="AI775" s="147"/>
      <c r="AJ775" s="147"/>
      <c r="AK775" s="147"/>
      <c r="AL775" s="147"/>
    </row>
    <row r="776" ht="15.75" customHeight="1">
      <c r="A776" s="147"/>
      <c r="B776" s="147"/>
      <c r="C776" s="147"/>
      <c r="D776" s="147"/>
      <c r="E776" s="147"/>
      <c r="F776" s="147"/>
      <c r="G776" s="147"/>
      <c r="H776" s="147"/>
      <c r="I776" s="147"/>
      <c r="J776" s="147"/>
      <c r="K776" s="147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7"/>
      <c r="AE776" s="147"/>
      <c r="AF776" s="147"/>
      <c r="AG776" s="147"/>
      <c r="AH776" s="147"/>
      <c r="AI776" s="147"/>
      <c r="AJ776" s="147"/>
      <c r="AK776" s="147"/>
      <c r="AL776" s="147"/>
    </row>
    <row r="777" ht="15.75" customHeight="1">
      <c r="A777" s="147"/>
      <c r="B777" s="147"/>
      <c r="C777" s="147"/>
      <c r="D777" s="147"/>
      <c r="E777" s="147"/>
      <c r="F777" s="147"/>
      <c r="G777" s="147"/>
      <c r="H777" s="147"/>
      <c r="I777" s="147"/>
      <c r="J777" s="147"/>
      <c r="K777" s="147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/>
      <c r="AG777" s="147"/>
      <c r="AH777" s="147"/>
      <c r="AI777" s="147"/>
      <c r="AJ777" s="147"/>
      <c r="AK777" s="147"/>
      <c r="AL777" s="147"/>
    </row>
    <row r="778" ht="15.75" customHeight="1">
      <c r="A778" s="147"/>
      <c r="B778" s="147"/>
      <c r="C778" s="147"/>
      <c r="D778" s="147"/>
      <c r="E778" s="147"/>
      <c r="F778" s="147"/>
      <c r="G778" s="147"/>
      <c r="H778" s="147"/>
      <c r="I778" s="147"/>
      <c r="J778" s="147"/>
      <c r="K778" s="147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7"/>
      <c r="AE778" s="147"/>
      <c r="AF778" s="147"/>
      <c r="AG778" s="147"/>
      <c r="AH778" s="147"/>
      <c r="AI778" s="147"/>
      <c r="AJ778" s="147"/>
      <c r="AK778" s="147"/>
      <c r="AL778" s="147"/>
    </row>
    <row r="779" ht="15.75" customHeight="1">
      <c r="A779" s="147"/>
      <c r="B779" s="147"/>
      <c r="C779" s="147"/>
      <c r="D779" s="147"/>
      <c r="E779" s="147"/>
      <c r="F779" s="147"/>
      <c r="G779" s="147"/>
      <c r="H779" s="147"/>
      <c r="I779" s="147"/>
      <c r="J779" s="147"/>
      <c r="K779" s="147"/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7"/>
      <c r="AE779" s="147"/>
      <c r="AF779" s="147"/>
      <c r="AG779" s="147"/>
      <c r="AH779" s="147"/>
      <c r="AI779" s="147"/>
      <c r="AJ779" s="147"/>
      <c r="AK779" s="147"/>
      <c r="AL779" s="147"/>
    </row>
    <row r="780" ht="15.75" customHeight="1">
      <c r="A780" s="147"/>
      <c r="B780" s="147"/>
      <c r="C780" s="147"/>
      <c r="D780" s="147"/>
      <c r="E780" s="147"/>
      <c r="F780" s="147"/>
      <c r="G780" s="147"/>
      <c r="H780" s="147"/>
      <c r="I780" s="147"/>
      <c r="J780" s="147"/>
      <c r="K780" s="147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7"/>
      <c r="AE780" s="147"/>
      <c r="AF780" s="147"/>
      <c r="AG780" s="147"/>
      <c r="AH780" s="147"/>
      <c r="AI780" s="147"/>
      <c r="AJ780" s="147"/>
      <c r="AK780" s="147"/>
      <c r="AL780" s="147"/>
    </row>
    <row r="781" ht="15.75" customHeight="1">
      <c r="A781" s="147"/>
      <c r="B781" s="147"/>
      <c r="C781" s="147"/>
      <c r="D781" s="147"/>
      <c r="E781" s="147"/>
      <c r="F781" s="147"/>
      <c r="G781" s="147"/>
      <c r="H781" s="147"/>
      <c r="I781" s="147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147"/>
      <c r="AH781" s="147"/>
      <c r="AI781" s="147"/>
      <c r="AJ781" s="147"/>
      <c r="AK781" s="147"/>
      <c r="AL781" s="147"/>
    </row>
    <row r="782" ht="15.75" customHeight="1">
      <c r="A782" s="147"/>
      <c r="B782" s="147"/>
      <c r="C782" s="147"/>
      <c r="D782" s="147"/>
      <c r="E782" s="147"/>
      <c r="F782" s="147"/>
      <c r="G782" s="147"/>
      <c r="H782" s="147"/>
      <c r="I782" s="147"/>
      <c r="J782" s="147"/>
      <c r="K782" s="147"/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7"/>
      <c r="AE782" s="147"/>
      <c r="AF782" s="147"/>
      <c r="AG782" s="147"/>
      <c r="AH782" s="147"/>
      <c r="AI782" s="147"/>
      <c r="AJ782" s="147"/>
      <c r="AK782" s="147"/>
      <c r="AL782" s="147"/>
    </row>
    <row r="783" ht="15.75" customHeight="1">
      <c r="A783" s="147"/>
      <c r="B783" s="147"/>
      <c r="C783" s="147"/>
      <c r="D783" s="147"/>
      <c r="E783" s="147"/>
      <c r="F783" s="147"/>
      <c r="G783" s="147"/>
      <c r="H783" s="147"/>
      <c r="I783" s="147"/>
      <c r="J783" s="147"/>
      <c r="K783" s="147"/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7"/>
      <c r="AE783" s="147"/>
      <c r="AF783" s="147"/>
      <c r="AG783" s="147"/>
      <c r="AH783" s="147"/>
      <c r="AI783" s="147"/>
      <c r="AJ783" s="147"/>
      <c r="AK783" s="147"/>
      <c r="AL783" s="147"/>
    </row>
    <row r="784" ht="15.75" customHeight="1">
      <c r="A784" s="147"/>
      <c r="B784" s="147"/>
      <c r="C784" s="147"/>
      <c r="D784" s="147"/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7"/>
      <c r="AE784" s="147"/>
      <c r="AF784" s="147"/>
      <c r="AG784" s="147"/>
      <c r="AH784" s="147"/>
      <c r="AI784" s="147"/>
      <c r="AJ784" s="147"/>
      <c r="AK784" s="147"/>
      <c r="AL784" s="147"/>
    </row>
    <row r="785" ht="15.75" customHeight="1">
      <c r="A785" s="147"/>
      <c r="B785" s="147"/>
      <c r="C785" s="147"/>
      <c r="D785" s="147"/>
      <c r="E785" s="147"/>
      <c r="F785" s="147"/>
      <c r="G785" s="147"/>
      <c r="H785" s="147"/>
      <c r="I785" s="147"/>
      <c r="J785" s="147"/>
      <c r="K785" s="147"/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/>
      <c r="AG785" s="147"/>
      <c r="AH785" s="147"/>
      <c r="AI785" s="147"/>
      <c r="AJ785" s="147"/>
      <c r="AK785" s="147"/>
      <c r="AL785" s="147"/>
    </row>
    <row r="786" ht="15.75" customHeight="1">
      <c r="A786" s="147"/>
      <c r="B786" s="147"/>
      <c r="C786" s="147"/>
      <c r="D786" s="147"/>
      <c r="E786" s="147"/>
      <c r="F786" s="147"/>
      <c r="G786" s="147"/>
      <c r="H786" s="147"/>
      <c r="I786" s="147"/>
      <c r="J786" s="147"/>
      <c r="K786" s="147"/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7"/>
      <c r="AE786" s="147"/>
      <c r="AF786" s="147"/>
      <c r="AG786" s="147"/>
      <c r="AH786" s="147"/>
      <c r="AI786" s="147"/>
      <c r="AJ786" s="147"/>
      <c r="AK786" s="147"/>
      <c r="AL786" s="147"/>
    </row>
    <row r="787" ht="15.75" customHeight="1">
      <c r="A787" s="147"/>
      <c r="B787" s="147"/>
      <c r="C787" s="147"/>
      <c r="D787" s="147"/>
      <c r="E787" s="147"/>
      <c r="F787" s="147"/>
      <c r="G787" s="147"/>
      <c r="H787" s="147"/>
      <c r="I787" s="147"/>
      <c r="J787" s="147"/>
      <c r="K787" s="147"/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7"/>
      <c r="AE787" s="147"/>
      <c r="AF787" s="147"/>
      <c r="AG787" s="147"/>
      <c r="AH787" s="147"/>
      <c r="AI787" s="147"/>
      <c r="AJ787" s="147"/>
      <c r="AK787" s="147"/>
      <c r="AL787" s="147"/>
    </row>
    <row r="788" ht="15.75" customHeight="1">
      <c r="A788" s="147"/>
      <c r="B788" s="147"/>
      <c r="C788" s="147"/>
      <c r="D788" s="147"/>
      <c r="E788" s="147"/>
      <c r="F788" s="147"/>
      <c r="G788" s="147"/>
      <c r="H788" s="147"/>
      <c r="I788" s="147"/>
      <c r="J788" s="147"/>
      <c r="K788" s="147"/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7"/>
      <c r="AE788" s="147"/>
      <c r="AF788" s="147"/>
      <c r="AG788" s="147"/>
      <c r="AH788" s="147"/>
      <c r="AI788" s="147"/>
      <c r="AJ788" s="147"/>
      <c r="AK788" s="147"/>
      <c r="AL788" s="147"/>
    </row>
    <row r="789" ht="15.75" customHeight="1">
      <c r="A789" s="147"/>
      <c r="B789" s="147"/>
      <c r="C789" s="147"/>
      <c r="D789" s="147"/>
      <c r="E789" s="147"/>
      <c r="F789" s="147"/>
      <c r="G789" s="147"/>
      <c r="H789" s="147"/>
      <c r="I789" s="147"/>
      <c r="J789" s="147"/>
      <c r="K789" s="147"/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/>
      <c r="AG789" s="147"/>
      <c r="AH789" s="147"/>
      <c r="AI789" s="147"/>
      <c r="AJ789" s="147"/>
      <c r="AK789" s="147"/>
      <c r="AL789" s="147"/>
    </row>
    <row r="790" ht="15.75" customHeight="1">
      <c r="A790" s="147"/>
      <c r="B790" s="147"/>
      <c r="C790" s="147"/>
      <c r="D790" s="147"/>
      <c r="E790" s="147"/>
      <c r="F790" s="147"/>
      <c r="G790" s="147"/>
      <c r="H790" s="147"/>
      <c r="I790" s="147"/>
      <c r="J790" s="147"/>
      <c r="K790" s="147"/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7"/>
      <c r="AE790" s="147"/>
      <c r="AF790" s="147"/>
      <c r="AG790" s="147"/>
      <c r="AH790" s="147"/>
      <c r="AI790" s="147"/>
      <c r="AJ790" s="147"/>
      <c r="AK790" s="147"/>
      <c r="AL790" s="147"/>
    </row>
    <row r="791" ht="15.75" customHeight="1">
      <c r="A791" s="147"/>
      <c r="B791" s="147"/>
      <c r="C791" s="147"/>
      <c r="D791" s="147"/>
      <c r="E791" s="147"/>
      <c r="F791" s="147"/>
      <c r="G791" s="147"/>
      <c r="H791" s="147"/>
      <c r="I791" s="147"/>
      <c r="J791" s="147"/>
      <c r="K791" s="147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/>
      <c r="AG791" s="147"/>
      <c r="AH791" s="147"/>
      <c r="AI791" s="147"/>
      <c r="AJ791" s="147"/>
      <c r="AK791" s="147"/>
      <c r="AL791" s="147"/>
    </row>
    <row r="792" ht="15.75" customHeight="1">
      <c r="A792" s="147"/>
      <c r="B792" s="147"/>
      <c r="C792" s="147"/>
      <c r="D792" s="147"/>
      <c r="E792" s="147"/>
      <c r="F792" s="147"/>
      <c r="G792" s="147"/>
      <c r="H792" s="147"/>
      <c r="I792" s="147"/>
      <c r="J792" s="147"/>
      <c r="K792" s="147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7"/>
      <c r="AE792" s="147"/>
      <c r="AF792" s="147"/>
      <c r="AG792" s="147"/>
      <c r="AH792" s="147"/>
      <c r="AI792" s="147"/>
      <c r="AJ792" s="147"/>
      <c r="AK792" s="147"/>
      <c r="AL792" s="147"/>
    </row>
    <row r="793" ht="15.75" customHeight="1">
      <c r="A793" s="147"/>
      <c r="B793" s="147"/>
      <c r="C793" s="147"/>
      <c r="D793" s="147"/>
      <c r="E793" s="147"/>
      <c r="F793" s="147"/>
      <c r="G793" s="147"/>
      <c r="H793" s="147"/>
      <c r="I793" s="147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/>
      <c r="AG793" s="147"/>
      <c r="AH793" s="147"/>
      <c r="AI793" s="147"/>
      <c r="AJ793" s="147"/>
      <c r="AK793" s="147"/>
      <c r="AL793" s="147"/>
    </row>
    <row r="794" ht="15.75" customHeight="1">
      <c r="A794" s="147"/>
      <c r="B794" s="147"/>
      <c r="C794" s="147"/>
      <c r="D794" s="147"/>
      <c r="E794" s="147"/>
      <c r="F794" s="147"/>
      <c r="G794" s="147"/>
      <c r="H794" s="147"/>
      <c r="I794" s="147"/>
      <c r="J794" s="147"/>
      <c r="K794" s="147"/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7"/>
      <c r="AE794" s="147"/>
      <c r="AF794" s="147"/>
      <c r="AG794" s="147"/>
      <c r="AH794" s="147"/>
      <c r="AI794" s="147"/>
      <c r="AJ794" s="147"/>
      <c r="AK794" s="147"/>
      <c r="AL794" s="147"/>
    </row>
    <row r="795" ht="15.75" customHeight="1">
      <c r="A795" s="147"/>
      <c r="B795" s="147"/>
      <c r="C795" s="147"/>
      <c r="D795" s="147"/>
      <c r="E795" s="147"/>
      <c r="F795" s="147"/>
      <c r="G795" s="147"/>
      <c r="H795" s="147"/>
      <c r="I795" s="147"/>
      <c r="J795" s="147"/>
      <c r="K795" s="147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7"/>
      <c r="AE795" s="147"/>
      <c r="AF795" s="147"/>
      <c r="AG795" s="147"/>
      <c r="AH795" s="147"/>
      <c r="AI795" s="147"/>
      <c r="AJ795" s="147"/>
      <c r="AK795" s="147"/>
      <c r="AL795" s="147"/>
    </row>
    <row r="796" ht="15.75" customHeight="1">
      <c r="A796" s="147"/>
      <c r="B796" s="147"/>
      <c r="C796" s="147"/>
      <c r="D796" s="147"/>
      <c r="E796" s="147"/>
      <c r="F796" s="147"/>
      <c r="G796" s="147"/>
      <c r="H796" s="147"/>
      <c r="I796" s="147"/>
      <c r="J796" s="147"/>
      <c r="K796" s="147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7"/>
      <c r="AE796" s="147"/>
      <c r="AF796" s="147"/>
      <c r="AG796" s="147"/>
      <c r="AH796" s="147"/>
      <c r="AI796" s="147"/>
      <c r="AJ796" s="147"/>
      <c r="AK796" s="147"/>
      <c r="AL796" s="147"/>
    </row>
    <row r="797" ht="15.75" customHeight="1">
      <c r="A797" s="147"/>
      <c r="B797" s="147"/>
      <c r="C797" s="147"/>
      <c r="D797" s="147"/>
      <c r="E797" s="147"/>
      <c r="F797" s="147"/>
      <c r="G797" s="147"/>
      <c r="H797" s="147"/>
      <c r="I797" s="147"/>
      <c r="J797" s="147"/>
      <c r="K797" s="147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/>
      <c r="AG797" s="147"/>
      <c r="AH797" s="147"/>
      <c r="AI797" s="147"/>
      <c r="AJ797" s="147"/>
      <c r="AK797" s="147"/>
      <c r="AL797" s="147"/>
    </row>
    <row r="798" ht="15.75" customHeight="1">
      <c r="A798" s="147"/>
      <c r="B798" s="147"/>
      <c r="C798" s="147"/>
      <c r="D798" s="147"/>
      <c r="E798" s="147"/>
      <c r="F798" s="147"/>
      <c r="G798" s="147"/>
      <c r="H798" s="147"/>
      <c r="I798" s="147"/>
      <c r="J798" s="147"/>
      <c r="K798" s="147"/>
      <c r="L798" s="147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7"/>
      <c r="AE798" s="147"/>
      <c r="AF798" s="147"/>
      <c r="AG798" s="147"/>
      <c r="AH798" s="147"/>
      <c r="AI798" s="147"/>
      <c r="AJ798" s="147"/>
      <c r="AK798" s="147"/>
      <c r="AL798" s="147"/>
    </row>
    <row r="799" ht="15.75" customHeight="1">
      <c r="A799" s="147"/>
      <c r="B799" s="147"/>
      <c r="C799" s="147"/>
      <c r="D799" s="147"/>
      <c r="E799" s="147"/>
      <c r="F799" s="147"/>
      <c r="G799" s="147"/>
      <c r="H799" s="147"/>
      <c r="I799" s="147"/>
      <c r="J799" s="147"/>
      <c r="K799" s="147"/>
      <c r="L799" s="147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/>
      <c r="AG799" s="147"/>
      <c r="AH799" s="147"/>
      <c r="AI799" s="147"/>
      <c r="AJ799" s="147"/>
      <c r="AK799" s="147"/>
      <c r="AL799" s="147"/>
    </row>
    <row r="800" ht="15.75" customHeight="1">
      <c r="A800" s="147"/>
      <c r="B800" s="147"/>
      <c r="C800" s="147"/>
      <c r="D800" s="147"/>
      <c r="E800" s="147"/>
      <c r="F800" s="147"/>
      <c r="G800" s="147"/>
      <c r="H800" s="147"/>
      <c r="I800" s="147"/>
      <c r="J800" s="147"/>
      <c r="K800" s="147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147"/>
      <c r="AH800" s="147"/>
      <c r="AI800" s="147"/>
      <c r="AJ800" s="147"/>
      <c r="AK800" s="147"/>
      <c r="AL800" s="147"/>
    </row>
    <row r="801" ht="15.75" customHeight="1">
      <c r="A801" s="147"/>
      <c r="B801" s="147"/>
      <c r="C801" s="147"/>
      <c r="D801" s="147"/>
      <c r="E801" s="147"/>
      <c r="F801" s="147"/>
      <c r="G801" s="147"/>
      <c r="H801" s="147"/>
      <c r="I801" s="147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  <c r="AH801" s="147"/>
      <c r="AI801" s="147"/>
      <c r="AJ801" s="147"/>
      <c r="AK801" s="147"/>
      <c r="AL801" s="147"/>
    </row>
    <row r="802" ht="15.75" customHeight="1">
      <c r="A802" s="147"/>
      <c r="B802" s="147"/>
      <c r="C802" s="147"/>
      <c r="D802" s="147"/>
      <c r="E802" s="147"/>
      <c r="F802" s="147"/>
      <c r="G802" s="147"/>
      <c r="H802" s="147"/>
      <c r="I802" s="147"/>
      <c r="J802" s="147"/>
      <c r="K802" s="147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/>
      <c r="AG802" s="147"/>
      <c r="AH802" s="147"/>
      <c r="AI802" s="147"/>
      <c r="AJ802" s="147"/>
      <c r="AK802" s="147"/>
      <c r="AL802" s="147"/>
    </row>
    <row r="803" ht="15.75" customHeight="1">
      <c r="A803" s="147"/>
      <c r="B803" s="147"/>
      <c r="C803" s="147"/>
      <c r="D803" s="147"/>
      <c r="E803" s="147"/>
      <c r="F803" s="147"/>
      <c r="G803" s="147"/>
      <c r="H803" s="147"/>
      <c r="I803" s="147"/>
      <c r="J803" s="147"/>
      <c r="K803" s="147"/>
      <c r="L803" s="147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/>
      <c r="AG803" s="147"/>
      <c r="AH803" s="147"/>
      <c r="AI803" s="147"/>
      <c r="AJ803" s="147"/>
      <c r="AK803" s="147"/>
      <c r="AL803" s="147"/>
    </row>
    <row r="804" ht="15.75" customHeight="1">
      <c r="A804" s="147"/>
      <c r="B804" s="147"/>
      <c r="C804" s="147"/>
      <c r="D804" s="147"/>
      <c r="E804" s="147"/>
      <c r="F804" s="147"/>
      <c r="G804" s="147"/>
      <c r="H804" s="147"/>
      <c r="I804" s="147"/>
      <c r="J804" s="147"/>
      <c r="K804" s="147"/>
      <c r="L804" s="147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/>
      <c r="AG804" s="147"/>
      <c r="AH804" s="147"/>
      <c r="AI804" s="147"/>
      <c r="AJ804" s="147"/>
      <c r="AK804" s="147"/>
      <c r="AL804" s="147"/>
    </row>
    <row r="805" ht="15.75" customHeight="1">
      <c r="A805" s="147"/>
      <c r="B805" s="147"/>
      <c r="C805" s="147"/>
      <c r="D805" s="147"/>
      <c r="E805" s="147"/>
      <c r="F805" s="147"/>
      <c r="G805" s="147"/>
      <c r="H805" s="147"/>
      <c r="I805" s="147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  <c r="AH805" s="147"/>
      <c r="AI805" s="147"/>
      <c r="AJ805" s="147"/>
      <c r="AK805" s="147"/>
      <c r="AL805" s="147"/>
    </row>
    <row r="806" ht="15.75" customHeight="1">
      <c r="A806" s="147"/>
      <c r="B806" s="147"/>
      <c r="C806" s="147"/>
      <c r="D806" s="147"/>
      <c r="E806" s="147"/>
      <c r="F806" s="147"/>
      <c r="G806" s="147"/>
      <c r="H806" s="147"/>
      <c r="I806" s="147"/>
      <c r="J806" s="147"/>
      <c r="K806" s="147"/>
      <c r="L806" s="147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  <c r="AH806" s="147"/>
      <c r="AI806" s="147"/>
      <c r="AJ806" s="147"/>
      <c r="AK806" s="147"/>
      <c r="AL806" s="147"/>
    </row>
    <row r="807" ht="15.75" customHeight="1">
      <c r="A807" s="147"/>
      <c r="B807" s="147"/>
      <c r="C807" s="147"/>
      <c r="D807" s="147"/>
      <c r="E807" s="147"/>
      <c r="F807" s="147"/>
      <c r="G807" s="147"/>
      <c r="H807" s="147"/>
      <c r="I807" s="147"/>
      <c r="J807" s="147"/>
      <c r="K807" s="147"/>
      <c r="L807" s="147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7"/>
      <c r="AE807" s="147"/>
      <c r="AF807" s="147"/>
      <c r="AG807" s="147"/>
      <c r="AH807" s="147"/>
      <c r="AI807" s="147"/>
      <c r="AJ807" s="147"/>
      <c r="AK807" s="147"/>
      <c r="AL807" s="147"/>
    </row>
    <row r="808" ht="15.75" customHeight="1">
      <c r="A808" s="147"/>
      <c r="B808" s="147"/>
      <c r="C808" s="147"/>
      <c r="D808" s="147"/>
      <c r="E808" s="147"/>
      <c r="F808" s="147"/>
      <c r="G808" s="147"/>
      <c r="H808" s="147"/>
      <c r="I808" s="147"/>
      <c r="J808" s="147"/>
      <c r="K808" s="147"/>
      <c r="L808" s="147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/>
      <c r="AG808" s="147"/>
      <c r="AH808" s="147"/>
      <c r="AI808" s="147"/>
      <c r="AJ808" s="147"/>
      <c r="AK808" s="147"/>
      <c r="AL808" s="147"/>
    </row>
    <row r="809" ht="15.75" customHeight="1">
      <c r="A809" s="147"/>
      <c r="B809" s="147"/>
      <c r="C809" s="147"/>
      <c r="D809" s="147"/>
      <c r="E809" s="147"/>
      <c r="F809" s="147"/>
      <c r="G809" s="147"/>
      <c r="H809" s="147"/>
      <c r="I809" s="147"/>
      <c r="J809" s="147"/>
      <c r="K809" s="147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147"/>
      <c r="AH809" s="147"/>
      <c r="AI809" s="147"/>
      <c r="AJ809" s="147"/>
      <c r="AK809" s="147"/>
      <c r="AL809" s="147"/>
    </row>
    <row r="810" ht="15.75" customHeight="1">
      <c r="A810" s="147"/>
      <c r="B810" s="147"/>
      <c r="C810" s="147"/>
      <c r="D810" s="147"/>
      <c r="E810" s="147"/>
      <c r="F810" s="147"/>
      <c r="G810" s="147"/>
      <c r="H810" s="147"/>
      <c r="I810" s="147"/>
      <c r="J810" s="147"/>
      <c r="K810" s="147"/>
      <c r="L810" s="147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7"/>
      <c r="AE810" s="147"/>
      <c r="AF810" s="147"/>
      <c r="AG810" s="147"/>
      <c r="AH810" s="147"/>
      <c r="AI810" s="147"/>
      <c r="AJ810" s="147"/>
      <c r="AK810" s="147"/>
      <c r="AL810" s="147"/>
    </row>
    <row r="811" ht="15.75" customHeight="1">
      <c r="A811" s="147"/>
      <c r="B811" s="147"/>
      <c r="C811" s="147"/>
      <c r="D811" s="147"/>
      <c r="E811" s="147"/>
      <c r="F811" s="147"/>
      <c r="G811" s="147"/>
      <c r="H811" s="147"/>
      <c r="I811" s="147"/>
      <c r="J811" s="147"/>
      <c r="K811" s="147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7"/>
      <c r="AE811" s="147"/>
      <c r="AF811" s="147"/>
      <c r="AG811" s="147"/>
      <c r="AH811" s="147"/>
      <c r="AI811" s="147"/>
      <c r="AJ811" s="147"/>
      <c r="AK811" s="147"/>
      <c r="AL811" s="147"/>
    </row>
    <row r="812" ht="15.75" customHeight="1">
      <c r="A812" s="147"/>
      <c r="B812" s="147"/>
      <c r="C812" s="147"/>
      <c r="D812" s="147"/>
      <c r="E812" s="147"/>
      <c r="F812" s="147"/>
      <c r="G812" s="147"/>
      <c r="H812" s="147"/>
      <c r="I812" s="147"/>
      <c r="J812" s="147"/>
      <c r="K812" s="147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7"/>
      <c r="AE812" s="147"/>
      <c r="AF812" s="147"/>
      <c r="AG812" s="147"/>
      <c r="AH812" s="147"/>
      <c r="AI812" s="147"/>
      <c r="AJ812" s="147"/>
      <c r="AK812" s="147"/>
      <c r="AL812" s="147"/>
    </row>
    <row r="813" ht="15.75" customHeight="1">
      <c r="A813" s="147"/>
      <c r="B813" s="147"/>
      <c r="C813" s="147"/>
      <c r="D813" s="147"/>
      <c r="E813" s="147"/>
      <c r="F813" s="147"/>
      <c r="G813" s="147"/>
      <c r="H813" s="147"/>
      <c r="I813" s="147"/>
      <c r="J813" s="147"/>
      <c r="K813" s="147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/>
      <c r="AG813" s="147"/>
      <c r="AH813" s="147"/>
      <c r="AI813" s="147"/>
      <c r="AJ813" s="147"/>
      <c r="AK813" s="147"/>
      <c r="AL813" s="147"/>
    </row>
    <row r="814" ht="15.75" customHeight="1">
      <c r="A814" s="147"/>
      <c r="B814" s="147"/>
      <c r="C814" s="147"/>
      <c r="D814" s="147"/>
      <c r="E814" s="147"/>
      <c r="F814" s="147"/>
      <c r="G814" s="147"/>
      <c r="H814" s="147"/>
      <c r="I814" s="147"/>
      <c r="J814" s="147"/>
      <c r="K814" s="147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7"/>
      <c r="AE814" s="147"/>
      <c r="AF814" s="147"/>
      <c r="AG814" s="147"/>
      <c r="AH814" s="147"/>
      <c r="AI814" s="147"/>
      <c r="AJ814" s="147"/>
      <c r="AK814" s="147"/>
      <c r="AL814" s="147"/>
    </row>
    <row r="815" ht="15.75" customHeight="1">
      <c r="A815" s="147"/>
      <c r="B815" s="147"/>
      <c r="C815" s="147"/>
      <c r="D815" s="147"/>
      <c r="E815" s="147"/>
      <c r="F815" s="147"/>
      <c r="G815" s="147"/>
      <c r="H815" s="147"/>
      <c r="I815" s="147"/>
      <c r="J815" s="147"/>
      <c r="K815" s="147"/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7"/>
      <c r="AE815" s="147"/>
      <c r="AF815" s="147"/>
      <c r="AG815" s="147"/>
      <c r="AH815" s="147"/>
      <c r="AI815" s="147"/>
      <c r="AJ815" s="147"/>
      <c r="AK815" s="147"/>
      <c r="AL815" s="147"/>
    </row>
    <row r="816" ht="15.75" customHeight="1">
      <c r="A816" s="147"/>
      <c r="B816" s="147"/>
      <c r="C816" s="147"/>
      <c r="D816" s="147"/>
      <c r="E816" s="147"/>
      <c r="F816" s="147"/>
      <c r="G816" s="147"/>
      <c r="H816" s="147"/>
      <c r="I816" s="147"/>
      <c r="J816" s="147"/>
      <c r="K816" s="147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7"/>
      <c r="AE816" s="147"/>
      <c r="AF816" s="147"/>
      <c r="AG816" s="147"/>
      <c r="AH816" s="147"/>
      <c r="AI816" s="147"/>
      <c r="AJ816" s="147"/>
      <c r="AK816" s="147"/>
      <c r="AL816" s="147"/>
    </row>
    <row r="817" ht="15.75" customHeight="1">
      <c r="A817" s="147"/>
      <c r="B817" s="147"/>
      <c r="C817" s="147"/>
      <c r="D817" s="147"/>
      <c r="E817" s="147"/>
      <c r="F817" s="147"/>
      <c r="G817" s="147"/>
      <c r="H817" s="147"/>
      <c r="I817" s="147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  <c r="AH817" s="147"/>
      <c r="AI817" s="147"/>
      <c r="AJ817" s="147"/>
      <c r="AK817" s="147"/>
      <c r="AL817" s="147"/>
    </row>
    <row r="818" ht="15.75" customHeight="1">
      <c r="A818" s="147"/>
      <c r="B818" s="147"/>
      <c r="C818" s="147"/>
      <c r="D818" s="147"/>
      <c r="E818" s="147"/>
      <c r="F818" s="147"/>
      <c r="G818" s="147"/>
      <c r="H818" s="147"/>
      <c r="I818" s="147"/>
      <c r="J818" s="147"/>
      <c r="K818" s="147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147"/>
      <c r="AH818" s="147"/>
      <c r="AI818" s="147"/>
      <c r="AJ818" s="147"/>
      <c r="AK818" s="147"/>
      <c r="AL818" s="147"/>
    </row>
    <row r="819" ht="15.75" customHeight="1">
      <c r="A819" s="147"/>
      <c r="B819" s="147"/>
      <c r="C819" s="147"/>
      <c r="D819" s="147"/>
      <c r="E819" s="147"/>
      <c r="F819" s="147"/>
      <c r="G819" s="147"/>
      <c r="H819" s="147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147"/>
      <c r="AH819" s="147"/>
      <c r="AI819" s="147"/>
      <c r="AJ819" s="147"/>
      <c r="AK819" s="147"/>
      <c r="AL819" s="147"/>
    </row>
    <row r="820" ht="15.75" customHeight="1">
      <c r="A820" s="147"/>
      <c r="B820" s="147"/>
      <c r="C820" s="147"/>
      <c r="D820" s="147"/>
      <c r="E820" s="147"/>
      <c r="F820" s="147"/>
      <c r="G820" s="147"/>
      <c r="H820" s="147"/>
      <c r="I820" s="147"/>
      <c r="J820" s="147"/>
      <c r="K820" s="147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  <c r="AG820" s="147"/>
      <c r="AH820" s="147"/>
      <c r="AI820" s="147"/>
      <c r="AJ820" s="147"/>
      <c r="AK820" s="147"/>
      <c r="AL820" s="147"/>
    </row>
    <row r="821" ht="15.75" customHeight="1">
      <c r="A821" s="147"/>
      <c r="B821" s="147"/>
      <c r="C821" s="147"/>
      <c r="D821" s="147"/>
      <c r="E821" s="147"/>
      <c r="F821" s="147"/>
      <c r="G821" s="147"/>
      <c r="H821" s="147"/>
      <c r="I821" s="147"/>
      <c r="J821" s="147"/>
      <c r="K821" s="147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  <c r="AH821" s="147"/>
      <c r="AI821" s="147"/>
      <c r="AJ821" s="147"/>
      <c r="AK821" s="147"/>
      <c r="AL821" s="147"/>
    </row>
    <row r="822" ht="15.75" customHeight="1">
      <c r="A822" s="147"/>
      <c r="B822" s="147"/>
      <c r="C822" s="147"/>
      <c r="D822" s="147"/>
      <c r="E822" s="147"/>
      <c r="F822" s="147"/>
      <c r="G822" s="147"/>
      <c r="H822" s="147"/>
      <c r="I822" s="147"/>
      <c r="J822" s="147"/>
      <c r="K822" s="147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  <c r="AH822" s="147"/>
      <c r="AI822" s="147"/>
      <c r="AJ822" s="147"/>
      <c r="AK822" s="147"/>
      <c r="AL822" s="147"/>
    </row>
    <row r="823" ht="15.75" customHeight="1">
      <c r="A823" s="147"/>
      <c r="B823" s="147"/>
      <c r="C823" s="147"/>
      <c r="D823" s="147"/>
      <c r="E823" s="147"/>
      <c r="F823" s="147"/>
      <c r="G823" s="147"/>
      <c r="H823" s="147"/>
      <c r="I823" s="147"/>
      <c r="J823" s="147"/>
      <c r="K823" s="147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  <c r="AH823" s="147"/>
      <c r="AI823" s="147"/>
      <c r="AJ823" s="147"/>
      <c r="AK823" s="147"/>
      <c r="AL823" s="147"/>
    </row>
    <row r="824" ht="15.75" customHeight="1">
      <c r="A824" s="147"/>
      <c r="B824" s="147"/>
      <c r="C824" s="147"/>
      <c r="D824" s="147"/>
      <c r="E824" s="147"/>
      <c r="F824" s="147"/>
      <c r="G824" s="147"/>
      <c r="H824" s="147"/>
      <c r="I824" s="147"/>
      <c r="J824" s="147"/>
      <c r="K824" s="147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  <c r="AH824" s="147"/>
      <c r="AI824" s="147"/>
      <c r="AJ824" s="147"/>
      <c r="AK824" s="147"/>
      <c r="AL824" s="147"/>
    </row>
    <row r="825" ht="15.75" customHeight="1">
      <c r="A825" s="147"/>
      <c r="B825" s="147"/>
      <c r="C825" s="147"/>
      <c r="D825" s="147"/>
      <c r="E825" s="147"/>
      <c r="F825" s="147"/>
      <c r="G825" s="147"/>
      <c r="H825" s="147"/>
      <c r="I825" s="147"/>
      <c r="J825" s="147"/>
      <c r="K825" s="147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  <c r="AH825" s="147"/>
      <c r="AI825" s="147"/>
      <c r="AJ825" s="147"/>
      <c r="AK825" s="147"/>
      <c r="AL825" s="147"/>
    </row>
    <row r="826" ht="15.75" customHeight="1">
      <c r="A826" s="147"/>
      <c r="B826" s="147"/>
      <c r="C826" s="147"/>
      <c r="D826" s="147"/>
      <c r="E826" s="147"/>
      <c r="F826" s="147"/>
      <c r="G826" s="147"/>
      <c r="H826" s="147"/>
      <c r="I826" s="147"/>
      <c r="J826" s="147"/>
      <c r="K826" s="147"/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147"/>
      <c r="AH826" s="147"/>
      <c r="AI826" s="147"/>
      <c r="AJ826" s="147"/>
      <c r="AK826" s="147"/>
      <c r="AL826" s="147"/>
    </row>
    <row r="827" ht="15.75" customHeight="1">
      <c r="A827" s="147"/>
      <c r="B827" s="147"/>
      <c r="C827" s="147"/>
      <c r="D827" s="147"/>
      <c r="E827" s="147"/>
      <c r="F827" s="147"/>
      <c r="G827" s="147"/>
      <c r="H827" s="147"/>
      <c r="I827" s="147"/>
      <c r="J827" s="147"/>
      <c r="K827" s="147"/>
      <c r="L827" s="147"/>
      <c r="M827" s="147"/>
      <c r="N827" s="147"/>
      <c r="O827" s="147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  <c r="AA827" s="147"/>
      <c r="AB827" s="147"/>
      <c r="AC827" s="147"/>
      <c r="AD827" s="147"/>
      <c r="AE827" s="147"/>
      <c r="AF827" s="147"/>
      <c r="AG827" s="147"/>
      <c r="AH827" s="147"/>
      <c r="AI827" s="147"/>
      <c r="AJ827" s="147"/>
      <c r="AK827" s="147"/>
      <c r="AL827" s="147"/>
    </row>
    <row r="828" ht="15.75" customHeight="1">
      <c r="A828" s="147"/>
      <c r="B828" s="147"/>
      <c r="C828" s="147"/>
      <c r="D828" s="147"/>
      <c r="E828" s="147"/>
      <c r="F828" s="147"/>
      <c r="G828" s="147"/>
      <c r="H828" s="147"/>
      <c r="I828" s="147"/>
      <c r="J828" s="147"/>
      <c r="K828" s="147"/>
      <c r="L828" s="147"/>
      <c r="M828" s="147"/>
      <c r="N828" s="147"/>
      <c r="O828" s="147"/>
      <c r="P828" s="147"/>
      <c r="Q828" s="147"/>
      <c r="R828" s="147"/>
      <c r="S828" s="147"/>
      <c r="T828" s="147"/>
      <c r="U828" s="147"/>
      <c r="V828" s="147"/>
      <c r="W828" s="147"/>
      <c r="X828" s="147"/>
      <c r="Y828" s="147"/>
      <c r="Z828" s="147"/>
      <c r="AA828" s="147"/>
      <c r="AB828" s="147"/>
      <c r="AC828" s="147"/>
      <c r="AD828" s="147"/>
      <c r="AE828" s="147"/>
      <c r="AF828" s="147"/>
      <c r="AG828" s="147"/>
      <c r="AH828" s="147"/>
      <c r="AI828" s="147"/>
      <c r="AJ828" s="147"/>
      <c r="AK828" s="147"/>
      <c r="AL828" s="147"/>
    </row>
    <row r="829" ht="15.75" customHeight="1">
      <c r="A829" s="147"/>
      <c r="B829" s="147"/>
      <c r="C829" s="147"/>
      <c r="D829" s="147"/>
      <c r="E829" s="147"/>
      <c r="F829" s="147"/>
      <c r="G829" s="147"/>
      <c r="H829" s="147"/>
      <c r="I829" s="147"/>
      <c r="J829" s="147"/>
      <c r="K829" s="147"/>
      <c r="L829" s="147"/>
      <c r="M829" s="147"/>
      <c r="N829" s="147"/>
      <c r="O829" s="147"/>
      <c r="P829" s="147"/>
      <c r="Q829" s="147"/>
      <c r="R829" s="147"/>
      <c r="S829" s="147"/>
      <c r="T829" s="147"/>
      <c r="U829" s="147"/>
      <c r="V829" s="147"/>
      <c r="W829" s="147"/>
      <c r="X829" s="147"/>
      <c r="Y829" s="147"/>
      <c r="Z829" s="147"/>
      <c r="AA829" s="147"/>
      <c r="AB829" s="147"/>
      <c r="AC829" s="147"/>
      <c r="AD829" s="147"/>
      <c r="AE829" s="147"/>
      <c r="AF829" s="147"/>
      <c r="AG829" s="147"/>
      <c r="AH829" s="147"/>
      <c r="AI829" s="147"/>
      <c r="AJ829" s="147"/>
      <c r="AK829" s="147"/>
      <c r="AL829" s="147"/>
    </row>
    <row r="830" ht="15.75" customHeight="1">
      <c r="A830" s="147"/>
      <c r="B830" s="147"/>
      <c r="C830" s="147"/>
      <c r="D830" s="147"/>
      <c r="E830" s="147"/>
      <c r="F830" s="147"/>
      <c r="G830" s="147"/>
      <c r="H830" s="147"/>
      <c r="I830" s="147"/>
      <c r="J830" s="147"/>
      <c r="K830" s="147"/>
      <c r="L830" s="147"/>
      <c r="M830" s="147"/>
      <c r="N830" s="147"/>
      <c r="O830" s="147"/>
      <c r="P830" s="147"/>
      <c r="Q830" s="147"/>
      <c r="R830" s="147"/>
      <c r="S830" s="147"/>
      <c r="T830" s="147"/>
      <c r="U830" s="147"/>
      <c r="V830" s="147"/>
      <c r="W830" s="147"/>
      <c r="X830" s="147"/>
      <c r="Y830" s="147"/>
      <c r="Z830" s="147"/>
      <c r="AA830" s="147"/>
      <c r="AB830" s="147"/>
      <c r="AC830" s="147"/>
      <c r="AD830" s="147"/>
      <c r="AE830" s="147"/>
      <c r="AF830" s="147"/>
      <c r="AG830" s="147"/>
      <c r="AH830" s="147"/>
      <c r="AI830" s="147"/>
      <c r="AJ830" s="147"/>
      <c r="AK830" s="147"/>
      <c r="AL830" s="147"/>
    </row>
    <row r="831" ht="15.75" customHeight="1">
      <c r="A831" s="147"/>
      <c r="B831" s="147"/>
      <c r="C831" s="147"/>
      <c r="D831" s="147"/>
      <c r="E831" s="147"/>
      <c r="F831" s="147"/>
      <c r="G831" s="147"/>
      <c r="H831" s="147"/>
      <c r="I831" s="147"/>
      <c r="J831" s="147"/>
      <c r="K831" s="147"/>
      <c r="L831" s="147"/>
      <c r="M831" s="147"/>
      <c r="N831" s="147"/>
      <c r="O831" s="147"/>
      <c r="P831" s="147"/>
      <c r="Q831" s="147"/>
      <c r="R831" s="147"/>
      <c r="S831" s="147"/>
      <c r="T831" s="147"/>
      <c r="U831" s="147"/>
      <c r="V831" s="147"/>
      <c r="W831" s="147"/>
      <c r="X831" s="147"/>
      <c r="Y831" s="147"/>
      <c r="Z831" s="147"/>
      <c r="AA831" s="147"/>
      <c r="AB831" s="147"/>
      <c r="AC831" s="147"/>
      <c r="AD831" s="147"/>
      <c r="AE831" s="147"/>
      <c r="AF831" s="147"/>
      <c r="AG831" s="147"/>
      <c r="AH831" s="147"/>
      <c r="AI831" s="147"/>
      <c r="AJ831" s="147"/>
      <c r="AK831" s="147"/>
      <c r="AL831" s="147"/>
    </row>
    <row r="832" ht="15.75" customHeight="1">
      <c r="A832" s="147"/>
      <c r="B832" s="147"/>
      <c r="C832" s="147"/>
      <c r="D832" s="147"/>
      <c r="E832" s="147"/>
      <c r="F832" s="147"/>
      <c r="G832" s="147"/>
      <c r="H832" s="147"/>
      <c r="I832" s="147"/>
      <c r="J832" s="147"/>
      <c r="K832" s="147"/>
      <c r="L832" s="147"/>
      <c r="M832" s="147"/>
      <c r="N832" s="147"/>
      <c r="O832" s="147"/>
      <c r="P832" s="147"/>
      <c r="Q832" s="147"/>
      <c r="R832" s="147"/>
      <c r="S832" s="147"/>
      <c r="T832" s="147"/>
      <c r="U832" s="147"/>
      <c r="V832" s="147"/>
      <c r="W832" s="147"/>
      <c r="X832" s="147"/>
      <c r="Y832" s="147"/>
      <c r="Z832" s="147"/>
      <c r="AA832" s="147"/>
      <c r="AB832" s="147"/>
      <c r="AC832" s="147"/>
      <c r="AD832" s="147"/>
      <c r="AE832" s="147"/>
      <c r="AF832" s="147"/>
      <c r="AG832" s="147"/>
      <c r="AH832" s="147"/>
      <c r="AI832" s="147"/>
      <c r="AJ832" s="147"/>
      <c r="AK832" s="147"/>
      <c r="AL832" s="147"/>
    </row>
    <row r="833" ht="15.75" customHeight="1">
      <c r="A833" s="147"/>
      <c r="B833" s="147"/>
      <c r="C833" s="147"/>
      <c r="D833" s="147"/>
      <c r="E833" s="147"/>
      <c r="F833" s="147"/>
      <c r="G833" s="147"/>
      <c r="H833" s="147"/>
      <c r="I833" s="147"/>
      <c r="J833" s="147"/>
      <c r="K833" s="147"/>
      <c r="L833" s="147"/>
      <c r="M833" s="147"/>
      <c r="N833" s="147"/>
      <c r="O833" s="147"/>
      <c r="P833" s="147"/>
      <c r="Q833" s="147"/>
      <c r="R833" s="147"/>
      <c r="S833" s="147"/>
      <c r="T833" s="147"/>
      <c r="U833" s="147"/>
      <c r="V833" s="147"/>
      <c r="W833" s="147"/>
      <c r="X833" s="147"/>
      <c r="Y833" s="147"/>
      <c r="Z833" s="147"/>
      <c r="AA833" s="147"/>
      <c r="AB833" s="147"/>
      <c r="AC833" s="147"/>
      <c r="AD833" s="147"/>
      <c r="AE833" s="147"/>
      <c r="AF833" s="147"/>
      <c r="AG833" s="147"/>
      <c r="AH833" s="147"/>
      <c r="AI833" s="147"/>
      <c r="AJ833" s="147"/>
      <c r="AK833" s="147"/>
      <c r="AL833" s="147"/>
    </row>
    <row r="834" ht="15.75" customHeight="1">
      <c r="A834" s="147"/>
      <c r="B834" s="147"/>
      <c r="C834" s="147"/>
      <c r="D834" s="147"/>
      <c r="E834" s="147"/>
      <c r="F834" s="147"/>
      <c r="G834" s="147"/>
      <c r="H834" s="147"/>
      <c r="I834" s="147"/>
      <c r="J834" s="147"/>
      <c r="K834" s="147"/>
      <c r="L834" s="147"/>
      <c r="M834" s="147"/>
      <c r="N834" s="147"/>
      <c r="O834" s="147"/>
      <c r="P834" s="147"/>
      <c r="Q834" s="147"/>
      <c r="R834" s="147"/>
      <c r="S834" s="147"/>
      <c r="T834" s="147"/>
      <c r="U834" s="147"/>
      <c r="V834" s="147"/>
      <c r="W834" s="147"/>
      <c r="X834" s="147"/>
      <c r="Y834" s="147"/>
      <c r="Z834" s="147"/>
      <c r="AA834" s="147"/>
      <c r="AB834" s="147"/>
      <c r="AC834" s="147"/>
      <c r="AD834" s="147"/>
      <c r="AE834" s="147"/>
      <c r="AF834" s="147"/>
      <c r="AG834" s="147"/>
      <c r="AH834" s="147"/>
      <c r="AI834" s="147"/>
      <c r="AJ834" s="147"/>
      <c r="AK834" s="147"/>
      <c r="AL834" s="147"/>
    </row>
    <row r="835" ht="15.75" customHeight="1">
      <c r="A835" s="147"/>
      <c r="B835" s="147"/>
      <c r="C835" s="147"/>
      <c r="D835" s="147"/>
      <c r="E835" s="147"/>
      <c r="F835" s="147"/>
      <c r="G835" s="147"/>
      <c r="H835" s="147"/>
      <c r="I835" s="147"/>
      <c r="J835" s="147"/>
      <c r="K835" s="147"/>
      <c r="L835" s="147"/>
      <c r="M835" s="147"/>
      <c r="N835" s="147"/>
      <c r="O835" s="147"/>
      <c r="P835" s="147"/>
      <c r="Q835" s="147"/>
      <c r="R835" s="147"/>
      <c r="S835" s="147"/>
      <c r="T835" s="147"/>
      <c r="U835" s="147"/>
      <c r="V835" s="147"/>
      <c r="W835" s="147"/>
      <c r="X835" s="147"/>
      <c r="Y835" s="147"/>
      <c r="Z835" s="147"/>
      <c r="AA835" s="147"/>
      <c r="AB835" s="147"/>
      <c r="AC835" s="147"/>
      <c r="AD835" s="147"/>
      <c r="AE835" s="147"/>
      <c r="AF835" s="147"/>
      <c r="AG835" s="147"/>
      <c r="AH835" s="147"/>
      <c r="AI835" s="147"/>
      <c r="AJ835" s="147"/>
      <c r="AK835" s="147"/>
      <c r="AL835" s="147"/>
    </row>
    <row r="836" ht="15.75" customHeight="1">
      <c r="A836" s="147"/>
      <c r="B836" s="147"/>
      <c r="C836" s="147"/>
      <c r="D836" s="147"/>
      <c r="E836" s="147"/>
      <c r="F836" s="147"/>
      <c r="G836" s="147"/>
      <c r="H836" s="147"/>
      <c r="I836" s="147"/>
      <c r="J836" s="147"/>
      <c r="K836" s="147"/>
      <c r="L836" s="147"/>
      <c r="M836" s="147"/>
      <c r="N836" s="147"/>
      <c r="O836" s="147"/>
      <c r="P836" s="147"/>
      <c r="Q836" s="147"/>
      <c r="R836" s="147"/>
      <c r="S836" s="147"/>
      <c r="T836" s="147"/>
      <c r="U836" s="147"/>
      <c r="V836" s="147"/>
      <c r="W836" s="147"/>
      <c r="X836" s="147"/>
      <c r="Y836" s="147"/>
      <c r="Z836" s="147"/>
      <c r="AA836" s="147"/>
      <c r="AB836" s="147"/>
      <c r="AC836" s="147"/>
      <c r="AD836" s="147"/>
      <c r="AE836" s="147"/>
      <c r="AF836" s="147"/>
      <c r="AG836" s="147"/>
      <c r="AH836" s="147"/>
      <c r="AI836" s="147"/>
      <c r="AJ836" s="147"/>
      <c r="AK836" s="147"/>
      <c r="AL836" s="147"/>
    </row>
    <row r="837" ht="15.75" customHeight="1">
      <c r="A837" s="147"/>
      <c r="B837" s="147"/>
      <c r="C837" s="147"/>
      <c r="D837" s="147"/>
      <c r="E837" s="147"/>
      <c r="F837" s="147"/>
      <c r="G837" s="147"/>
      <c r="H837" s="147"/>
      <c r="I837" s="147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  <c r="AA837" s="147"/>
      <c r="AB837" s="147"/>
      <c r="AC837" s="147"/>
      <c r="AD837" s="147"/>
      <c r="AE837" s="147"/>
      <c r="AF837" s="147"/>
      <c r="AG837" s="147"/>
      <c r="AH837" s="147"/>
      <c r="AI837" s="147"/>
      <c r="AJ837" s="147"/>
      <c r="AK837" s="147"/>
      <c r="AL837" s="147"/>
    </row>
    <row r="838" ht="15.75" customHeight="1">
      <c r="A838" s="147"/>
      <c r="B838" s="147"/>
      <c r="C838" s="147"/>
      <c r="D838" s="147"/>
      <c r="E838" s="147"/>
      <c r="F838" s="147"/>
      <c r="G838" s="147"/>
      <c r="H838" s="147"/>
      <c r="I838" s="147"/>
      <c r="J838" s="147"/>
      <c r="K838" s="147"/>
      <c r="L838" s="147"/>
      <c r="M838" s="147"/>
      <c r="N838" s="147"/>
      <c r="O838" s="147"/>
      <c r="P838" s="147"/>
      <c r="Q838" s="147"/>
      <c r="R838" s="147"/>
      <c r="S838" s="147"/>
      <c r="T838" s="147"/>
      <c r="U838" s="147"/>
      <c r="V838" s="147"/>
      <c r="W838" s="147"/>
      <c r="X838" s="147"/>
      <c r="Y838" s="147"/>
      <c r="Z838" s="147"/>
      <c r="AA838" s="147"/>
      <c r="AB838" s="147"/>
      <c r="AC838" s="147"/>
      <c r="AD838" s="147"/>
      <c r="AE838" s="147"/>
      <c r="AF838" s="147"/>
      <c r="AG838" s="147"/>
      <c r="AH838" s="147"/>
      <c r="AI838" s="147"/>
      <c r="AJ838" s="147"/>
      <c r="AK838" s="147"/>
      <c r="AL838" s="147"/>
    </row>
    <row r="839" ht="15.75" customHeight="1">
      <c r="A839" s="147"/>
      <c r="B839" s="147"/>
      <c r="C839" s="147"/>
      <c r="D839" s="147"/>
      <c r="E839" s="147"/>
      <c r="F839" s="147"/>
      <c r="G839" s="147"/>
      <c r="H839" s="147"/>
      <c r="I839" s="147"/>
      <c r="J839" s="147"/>
      <c r="K839" s="147"/>
      <c r="L839" s="147"/>
      <c r="M839" s="147"/>
      <c r="N839" s="147"/>
      <c r="O839" s="147"/>
      <c r="P839" s="147"/>
      <c r="Q839" s="147"/>
      <c r="R839" s="147"/>
      <c r="S839" s="147"/>
      <c r="T839" s="147"/>
      <c r="U839" s="147"/>
      <c r="V839" s="147"/>
      <c r="W839" s="147"/>
      <c r="X839" s="147"/>
      <c r="Y839" s="147"/>
      <c r="Z839" s="147"/>
      <c r="AA839" s="147"/>
      <c r="AB839" s="147"/>
      <c r="AC839" s="147"/>
      <c r="AD839" s="147"/>
      <c r="AE839" s="147"/>
      <c r="AF839" s="147"/>
      <c r="AG839" s="147"/>
      <c r="AH839" s="147"/>
      <c r="AI839" s="147"/>
      <c r="AJ839" s="147"/>
      <c r="AK839" s="147"/>
      <c r="AL839" s="147"/>
    </row>
    <row r="840" ht="15.75" customHeight="1">
      <c r="A840" s="147"/>
      <c r="B840" s="147"/>
      <c r="C840" s="147"/>
      <c r="D840" s="147"/>
      <c r="E840" s="147"/>
      <c r="F840" s="147"/>
      <c r="G840" s="147"/>
      <c r="H840" s="147"/>
      <c r="I840" s="147"/>
      <c r="J840" s="147"/>
      <c r="K840" s="147"/>
      <c r="L840" s="147"/>
      <c r="M840" s="147"/>
      <c r="N840" s="147"/>
      <c r="O840" s="147"/>
      <c r="P840" s="147"/>
      <c r="Q840" s="147"/>
      <c r="R840" s="147"/>
      <c r="S840" s="147"/>
      <c r="T840" s="147"/>
      <c r="U840" s="147"/>
      <c r="V840" s="147"/>
      <c r="W840" s="147"/>
      <c r="X840" s="147"/>
      <c r="Y840" s="147"/>
      <c r="Z840" s="147"/>
      <c r="AA840" s="147"/>
      <c r="AB840" s="147"/>
      <c r="AC840" s="147"/>
      <c r="AD840" s="147"/>
      <c r="AE840" s="147"/>
      <c r="AF840" s="147"/>
      <c r="AG840" s="147"/>
      <c r="AH840" s="147"/>
      <c r="AI840" s="147"/>
      <c r="AJ840" s="147"/>
      <c r="AK840" s="147"/>
      <c r="AL840" s="147"/>
    </row>
    <row r="841" ht="15.75" customHeight="1">
      <c r="A841" s="147"/>
      <c r="B841" s="147"/>
      <c r="C841" s="147"/>
      <c r="D841" s="147"/>
      <c r="E841" s="147"/>
      <c r="F841" s="147"/>
      <c r="G841" s="147"/>
      <c r="H841" s="147"/>
      <c r="I841" s="147"/>
      <c r="J841" s="147"/>
      <c r="K841" s="147"/>
      <c r="L841" s="147"/>
      <c r="M841" s="147"/>
      <c r="N841" s="147"/>
      <c r="O841" s="147"/>
      <c r="P841" s="147"/>
      <c r="Q841" s="147"/>
      <c r="R841" s="147"/>
      <c r="S841" s="147"/>
      <c r="T841" s="147"/>
      <c r="U841" s="147"/>
      <c r="V841" s="147"/>
      <c r="W841" s="147"/>
      <c r="X841" s="147"/>
      <c r="Y841" s="147"/>
      <c r="Z841" s="147"/>
      <c r="AA841" s="147"/>
      <c r="AB841" s="147"/>
      <c r="AC841" s="147"/>
      <c r="AD841" s="147"/>
      <c r="AE841" s="147"/>
      <c r="AF841" s="147"/>
      <c r="AG841" s="147"/>
      <c r="AH841" s="147"/>
      <c r="AI841" s="147"/>
      <c r="AJ841" s="147"/>
      <c r="AK841" s="147"/>
      <c r="AL841" s="147"/>
    </row>
    <row r="842" ht="15.75" customHeight="1">
      <c r="A842" s="147"/>
      <c r="B842" s="147"/>
      <c r="C842" s="147"/>
      <c r="D842" s="147"/>
      <c r="E842" s="147"/>
      <c r="F842" s="147"/>
      <c r="G842" s="147"/>
      <c r="H842" s="147"/>
      <c r="I842" s="147"/>
      <c r="J842" s="147"/>
      <c r="K842" s="147"/>
      <c r="L842" s="147"/>
      <c r="M842" s="147"/>
      <c r="N842" s="147"/>
      <c r="O842" s="147"/>
      <c r="P842" s="147"/>
      <c r="Q842" s="147"/>
      <c r="R842" s="147"/>
      <c r="S842" s="147"/>
      <c r="T842" s="147"/>
      <c r="U842" s="147"/>
      <c r="V842" s="147"/>
      <c r="W842" s="147"/>
      <c r="X842" s="147"/>
      <c r="Y842" s="147"/>
      <c r="Z842" s="147"/>
      <c r="AA842" s="147"/>
      <c r="AB842" s="147"/>
      <c r="AC842" s="147"/>
      <c r="AD842" s="147"/>
      <c r="AE842" s="147"/>
      <c r="AF842" s="147"/>
      <c r="AG842" s="147"/>
      <c r="AH842" s="147"/>
      <c r="AI842" s="147"/>
      <c r="AJ842" s="147"/>
      <c r="AK842" s="147"/>
      <c r="AL842" s="147"/>
    </row>
    <row r="843" ht="15.75" customHeight="1">
      <c r="A843" s="147"/>
      <c r="B843" s="147"/>
      <c r="C843" s="147"/>
      <c r="D843" s="147"/>
      <c r="E843" s="147"/>
      <c r="F843" s="147"/>
      <c r="G843" s="147"/>
      <c r="H843" s="147"/>
      <c r="I843" s="147"/>
      <c r="J843" s="147"/>
      <c r="K843" s="147"/>
      <c r="L843" s="147"/>
      <c r="M843" s="147"/>
      <c r="N843" s="147"/>
      <c r="O843" s="147"/>
      <c r="P843" s="147"/>
      <c r="Q843" s="147"/>
      <c r="R843" s="147"/>
      <c r="S843" s="147"/>
      <c r="T843" s="147"/>
      <c r="U843" s="147"/>
      <c r="V843" s="147"/>
      <c r="W843" s="147"/>
      <c r="X843" s="147"/>
      <c r="Y843" s="147"/>
      <c r="Z843" s="147"/>
      <c r="AA843" s="147"/>
      <c r="AB843" s="147"/>
      <c r="AC843" s="147"/>
      <c r="AD843" s="147"/>
      <c r="AE843" s="147"/>
      <c r="AF843" s="147"/>
      <c r="AG843" s="147"/>
      <c r="AH843" s="147"/>
      <c r="AI843" s="147"/>
      <c r="AJ843" s="147"/>
      <c r="AK843" s="147"/>
      <c r="AL843" s="147"/>
    </row>
    <row r="844" ht="15.75" customHeight="1">
      <c r="A844" s="147"/>
      <c r="B844" s="147"/>
      <c r="C844" s="147"/>
      <c r="D844" s="147"/>
      <c r="E844" s="147"/>
      <c r="F844" s="147"/>
      <c r="G844" s="147"/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  <c r="S844" s="147"/>
      <c r="T844" s="147"/>
      <c r="U844" s="147"/>
      <c r="V844" s="147"/>
      <c r="W844" s="147"/>
      <c r="X844" s="147"/>
      <c r="Y844" s="147"/>
      <c r="Z844" s="147"/>
      <c r="AA844" s="147"/>
      <c r="AB844" s="147"/>
      <c r="AC844" s="147"/>
      <c r="AD844" s="147"/>
      <c r="AE844" s="147"/>
      <c r="AF844" s="147"/>
      <c r="AG844" s="147"/>
      <c r="AH844" s="147"/>
      <c r="AI844" s="147"/>
      <c r="AJ844" s="147"/>
      <c r="AK844" s="147"/>
      <c r="AL844" s="147"/>
    </row>
    <row r="845" ht="15.75" customHeight="1">
      <c r="A845" s="147"/>
      <c r="B845" s="147"/>
      <c r="C845" s="147"/>
      <c r="D845" s="147"/>
      <c r="E845" s="147"/>
      <c r="F845" s="147"/>
      <c r="G845" s="147"/>
      <c r="H845" s="147"/>
      <c r="I845" s="147"/>
      <c r="J845" s="147"/>
      <c r="K845" s="147"/>
      <c r="L845" s="147"/>
      <c r="M845" s="147"/>
      <c r="N845" s="147"/>
      <c r="O845" s="147"/>
      <c r="P845" s="147"/>
      <c r="Q845" s="147"/>
      <c r="R845" s="147"/>
      <c r="S845" s="147"/>
      <c r="T845" s="147"/>
      <c r="U845" s="147"/>
      <c r="V845" s="147"/>
      <c r="W845" s="147"/>
      <c r="X845" s="147"/>
      <c r="Y845" s="147"/>
      <c r="Z845" s="147"/>
      <c r="AA845" s="147"/>
      <c r="AB845" s="147"/>
      <c r="AC845" s="147"/>
      <c r="AD845" s="147"/>
      <c r="AE845" s="147"/>
      <c r="AF845" s="147"/>
      <c r="AG845" s="147"/>
      <c r="AH845" s="147"/>
      <c r="AI845" s="147"/>
      <c r="AJ845" s="147"/>
      <c r="AK845" s="147"/>
      <c r="AL845" s="147"/>
    </row>
    <row r="846" ht="15.75" customHeight="1">
      <c r="A846" s="147"/>
      <c r="B846" s="147"/>
      <c r="C846" s="147"/>
      <c r="D846" s="147"/>
      <c r="E846" s="147"/>
      <c r="F846" s="147"/>
      <c r="G846" s="147"/>
      <c r="H846" s="147"/>
      <c r="I846" s="147"/>
      <c r="J846" s="147"/>
      <c r="K846" s="147"/>
      <c r="L846" s="147"/>
      <c r="M846" s="147"/>
      <c r="N846" s="147"/>
      <c r="O846" s="147"/>
      <c r="P846" s="147"/>
      <c r="Q846" s="147"/>
      <c r="R846" s="147"/>
      <c r="S846" s="147"/>
      <c r="T846" s="147"/>
      <c r="U846" s="147"/>
      <c r="V846" s="147"/>
      <c r="W846" s="147"/>
      <c r="X846" s="147"/>
      <c r="Y846" s="147"/>
      <c r="Z846" s="147"/>
      <c r="AA846" s="147"/>
      <c r="AB846" s="147"/>
      <c r="AC846" s="147"/>
      <c r="AD846" s="147"/>
      <c r="AE846" s="147"/>
      <c r="AF846" s="147"/>
      <c r="AG846" s="147"/>
      <c r="AH846" s="147"/>
      <c r="AI846" s="147"/>
      <c r="AJ846" s="147"/>
      <c r="AK846" s="147"/>
      <c r="AL846" s="147"/>
    </row>
    <row r="847" ht="15.75" customHeight="1">
      <c r="A847" s="147"/>
      <c r="B847" s="147"/>
      <c r="C847" s="147"/>
      <c r="D847" s="147"/>
      <c r="E847" s="147"/>
      <c r="F847" s="147"/>
      <c r="G847" s="147"/>
      <c r="H847" s="147"/>
      <c r="I847" s="147"/>
      <c r="J847" s="147"/>
      <c r="K847" s="147"/>
      <c r="L847" s="147"/>
      <c r="M847" s="147"/>
      <c r="N847" s="147"/>
      <c r="O847" s="147"/>
      <c r="P847" s="147"/>
      <c r="Q847" s="147"/>
      <c r="R847" s="147"/>
      <c r="S847" s="147"/>
      <c r="T847" s="147"/>
      <c r="U847" s="147"/>
      <c r="V847" s="147"/>
      <c r="W847" s="147"/>
      <c r="X847" s="147"/>
      <c r="Y847" s="147"/>
      <c r="Z847" s="147"/>
      <c r="AA847" s="147"/>
      <c r="AB847" s="147"/>
      <c r="AC847" s="147"/>
      <c r="AD847" s="147"/>
      <c r="AE847" s="147"/>
      <c r="AF847" s="147"/>
      <c r="AG847" s="147"/>
      <c r="AH847" s="147"/>
      <c r="AI847" s="147"/>
      <c r="AJ847" s="147"/>
      <c r="AK847" s="147"/>
      <c r="AL847" s="147"/>
    </row>
    <row r="848" ht="15.75" customHeight="1">
      <c r="A848" s="147"/>
      <c r="B848" s="147"/>
      <c r="C848" s="147"/>
      <c r="D848" s="147"/>
      <c r="E848" s="147"/>
      <c r="F848" s="147"/>
      <c r="G848" s="147"/>
      <c r="H848" s="147"/>
      <c r="I848" s="147"/>
      <c r="J848" s="147"/>
      <c r="K848" s="147"/>
      <c r="L848" s="147"/>
      <c r="M848" s="147"/>
      <c r="N848" s="147"/>
      <c r="O848" s="147"/>
      <c r="P848" s="147"/>
      <c r="Q848" s="147"/>
      <c r="R848" s="147"/>
      <c r="S848" s="147"/>
      <c r="T848" s="147"/>
      <c r="U848" s="147"/>
      <c r="V848" s="147"/>
      <c r="W848" s="147"/>
      <c r="X848" s="147"/>
      <c r="Y848" s="147"/>
      <c r="Z848" s="147"/>
      <c r="AA848" s="147"/>
      <c r="AB848" s="147"/>
      <c r="AC848" s="147"/>
      <c r="AD848" s="147"/>
      <c r="AE848" s="147"/>
      <c r="AF848" s="147"/>
      <c r="AG848" s="147"/>
      <c r="AH848" s="147"/>
      <c r="AI848" s="147"/>
      <c r="AJ848" s="147"/>
      <c r="AK848" s="147"/>
      <c r="AL848" s="147"/>
    </row>
    <row r="849" ht="15.75" customHeight="1">
      <c r="A849" s="147"/>
      <c r="B849" s="147"/>
      <c r="C849" s="147"/>
      <c r="D849" s="147"/>
      <c r="E849" s="147"/>
      <c r="F849" s="147"/>
      <c r="G849" s="147"/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  <c r="R849" s="147"/>
      <c r="S849" s="147"/>
      <c r="T849" s="147"/>
      <c r="U849" s="147"/>
      <c r="V849" s="147"/>
      <c r="W849" s="147"/>
      <c r="X849" s="147"/>
      <c r="Y849" s="147"/>
      <c r="Z849" s="147"/>
      <c r="AA849" s="147"/>
      <c r="AB849" s="147"/>
      <c r="AC849" s="147"/>
      <c r="AD849" s="147"/>
      <c r="AE849" s="147"/>
      <c r="AF849" s="147"/>
      <c r="AG849" s="147"/>
      <c r="AH849" s="147"/>
      <c r="AI849" s="147"/>
      <c r="AJ849" s="147"/>
      <c r="AK849" s="147"/>
      <c r="AL849" s="147"/>
    </row>
    <row r="850" ht="15.75" customHeight="1">
      <c r="A850" s="147"/>
      <c r="B850" s="147"/>
      <c r="C850" s="147"/>
      <c r="D850" s="147"/>
      <c r="E850" s="147"/>
      <c r="F850" s="147"/>
      <c r="G850" s="147"/>
      <c r="H850" s="147"/>
      <c r="I850" s="147"/>
      <c r="J850" s="147"/>
      <c r="K850" s="147"/>
      <c r="L850" s="147"/>
      <c r="M850" s="147"/>
      <c r="N850" s="147"/>
      <c r="O850" s="147"/>
      <c r="P850" s="147"/>
      <c r="Q850" s="147"/>
      <c r="R850" s="147"/>
      <c r="S850" s="147"/>
      <c r="T850" s="147"/>
      <c r="U850" s="147"/>
      <c r="V850" s="147"/>
      <c r="W850" s="147"/>
      <c r="X850" s="147"/>
      <c r="Y850" s="147"/>
      <c r="Z850" s="147"/>
      <c r="AA850" s="147"/>
      <c r="AB850" s="147"/>
      <c r="AC850" s="147"/>
      <c r="AD850" s="147"/>
      <c r="AE850" s="147"/>
      <c r="AF850" s="147"/>
      <c r="AG850" s="147"/>
      <c r="AH850" s="147"/>
      <c r="AI850" s="147"/>
      <c r="AJ850" s="147"/>
      <c r="AK850" s="147"/>
      <c r="AL850" s="147"/>
    </row>
    <row r="851" ht="15.75" customHeight="1">
      <c r="A851" s="147"/>
      <c r="B851" s="147"/>
      <c r="C851" s="147"/>
      <c r="D851" s="147"/>
      <c r="E851" s="147"/>
      <c r="F851" s="147"/>
      <c r="G851" s="147"/>
      <c r="H851" s="147"/>
      <c r="I851" s="147"/>
      <c r="J851" s="147"/>
      <c r="K851" s="147"/>
      <c r="L851" s="147"/>
      <c r="M851" s="147"/>
      <c r="N851" s="147"/>
      <c r="O851" s="147"/>
      <c r="P851" s="147"/>
      <c r="Q851" s="147"/>
      <c r="R851" s="147"/>
      <c r="S851" s="147"/>
      <c r="T851" s="147"/>
      <c r="U851" s="147"/>
      <c r="V851" s="147"/>
      <c r="W851" s="147"/>
      <c r="X851" s="147"/>
      <c r="Y851" s="147"/>
      <c r="Z851" s="147"/>
      <c r="AA851" s="147"/>
      <c r="AB851" s="147"/>
      <c r="AC851" s="147"/>
      <c r="AD851" s="147"/>
      <c r="AE851" s="147"/>
      <c r="AF851" s="147"/>
      <c r="AG851" s="147"/>
      <c r="AH851" s="147"/>
      <c r="AI851" s="147"/>
      <c r="AJ851" s="147"/>
      <c r="AK851" s="147"/>
      <c r="AL851" s="147"/>
    </row>
    <row r="852" ht="15.75" customHeight="1">
      <c r="A852" s="147"/>
      <c r="B852" s="147"/>
      <c r="C852" s="147"/>
      <c r="D852" s="147"/>
      <c r="E852" s="147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47"/>
      <c r="Q852" s="147"/>
      <c r="R852" s="147"/>
      <c r="S852" s="147"/>
      <c r="T852" s="147"/>
      <c r="U852" s="147"/>
      <c r="V852" s="147"/>
      <c r="W852" s="147"/>
      <c r="X852" s="147"/>
      <c r="Y852" s="147"/>
      <c r="Z852" s="147"/>
      <c r="AA852" s="147"/>
      <c r="AB852" s="147"/>
      <c r="AC852" s="147"/>
      <c r="AD852" s="147"/>
      <c r="AE852" s="147"/>
      <c r="AF852" s="147"/>
      <c r="AG852" s="147"/>
      <c r="AH852" s="147"/>
      <c r="AI852" s="147"/>
      <c r="AJ852" s="147"/>
      <c r="AK852" s="147"/>
      <c r="AL852" s="147"/>
    </row>
    <row r="853" ht="15.75" customHeight="1">
      <c r="A853" s="147"/>
      <c r="B853" s="147"/>
      <c r="C853" s="147"/>
      <c r="D853" s="147"/>
      <c r="E853" s="147"/>
      <c r="F853" s="147"/>
      <c r="G853" s="147"/>
      <c r="H853" s="147"/>
      <c r="I853" s="147"/>
      <c r="J853" s="147"/>
      <c r="K853" s="147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147"/>
      <c r="W853" s="147"/>
      <c r="X853" s="147"/>
      <c r="Y853" s="147"/>
      <c r="Z853" s="147"/>
      <c r="AA853" s="147"/>
      <c r="AB853" s="147"/>
      <c r="AC853" s="147"/>
      <c r="AD853" s="147"/>
      <c r="AE853" s="147"/>
      <c r="AF853" s="147"/>
      <c r="AG853" s="147"/>
      <c r="AH853" s="147"/>
      <c r="AI853" s="147"/>
      <c r="AJ853" s="147"/>
      <c r="AK853" s="147"/>
      <c r="AL853" s="147"/>
    </row>
    <row r="854" ht="15.75" customHeight="1">
      <c r="A854" s="147"/>
      <c r="B854" s="147"/>
      <c r="C854" s="147"/>
      <c r="D854" s="147"/>
      <c r="E854" s="147"/>
      <c r="F854" s="147"/>
      <c r="G854" s="147"/>
      <c r="H854" s="147"/>
      <c r="I854" s="147"/>
      <c r="J854" s="147"/>
      <c r="K854" s="147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147"/>
      <c r="W854" s="147"/>
      <c r="X854" s="147"/>
      <c r="Y854" s="147"/>
      <c r="Z854" s="147"/>
      <c r="AA854" s="147"/>
      <c r="AB854" s="147"/>
      <c r="AC854" s="147"/>
      <c r="AD854" s="147"/>
      <c r="AE854" s="147"/>
      <c r="AF854" s="147"/>
      <c r="AG854" s="147"/>
      <c r="AH854" s="147"/>
      <c r="AI854" s="147"/>
      <c r="AJ854" s="147"/>
      <c r="AK854" s="147"/>
      <c r="AL854" s="147"/>
    </row>
    <row r="855" ht="15.75" customHeight="1">
      <c r="A855" s="147"/>
      <c r="B855" s="147"/>
      <c r="C855" s="147"/>
      <c r="D855" s="147"/>
      <c r="E855" s="147"/>
      <c r="F855" s="147"/>
      <c r="G855" s="147"/>
      <c r="H855" s="147"/>
      <c r="I855" s="147"/>
      <c r="J855" s="147"/>
      <c r="K855" s="147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147"/>
      <c r="W855" s="147"/>
      <c r="X855" s="147"/>
      <c r="Y855" s="147"/>
      <c r="Z855" s="147"/>
      <c r="AA855" s="147"/>
      <c r="AB855" s="147"/>
      <c r="AC855" s="147"/>
      <c r="AD855" s="147"/>
      <c r="AE855" s="147"/>
      <c r="AF855" s="147"/>
      <c r="AG855" s="147"/>
      <c r="AH855" s="147"/>
      <c r="AI855" s="147"/>
      <c r="AJ855" s="147"/>
      <c r="AK855" s="147"/>
      <c r="AL855" s="147"/>
    </row>
    <row r="856" ht="15.75" customHeight="1">
      <c r="A856" s="147"/>
      <c r="B856" s="147"/>
      <c r="C856" s="147"/>
      <c r="D856" s="147"/>
      <c r="E856" s="147"/>
      <c r="F856" s="147"/>
      <c r="G856" s="147"/>
      <c r="H856" s="147"/>
      <c r="I856" s="147"/>
      <c r="J856" s="147"/>
      <c r="K856" s="147"/>
      <c r="L856" s="147"/>
      <c r="M856" s="147"/>
      <c r="N856" s="147"/>
      <c r="O856" s="147"/>
      <c r="P856" s="147"/>
      <c r="Q856" s="147"/>
      <c r="R856" s="147"/>
      <c r="S856" s="147"/>
      <c r="T856" s="147"/>
      <c r="U856" s="147"/>
      <c r="V856" s="147"/>
      <c r="W856" s="147"/>
      <c r="X856" s="147"/>
      <c r="Y856" s="147"/>
      <c r="Z856" s="147"/>
      <c r="AA856" s="147"/>
      <c r="AB856" s="147"/>
      <c r="AC856" s="147"/>
      <c r="AD856" s="147"/>
      <c r="AE856" s="147"/>
      <c r="AF856" s="147"/>
      <c r="AG856" s="147"/>
      <c r="AH856" s="147"/>
      <c r="AI856" s="147"/>
      <c r="AJ856" s="147"/>
      <c r="AK856" s="147"/>
      <c r="AL856" s="147"/>
    </row>
    <row r="857" ht="15.75" customHeight="1">
      <c r="A857" s="147"/>
      <c r="B857" s="147"/>
      <c r="C857" s="147"/>
      <c r="D857" s="147"/>
      <c r="E857" s="147"/>
      <c r="F857" s="147"/>
      <c r="G857" s="147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147"/>
      <c r="W857" s="147"/>
      <c r="X857" s="147"/>
      <c r="Y857" s="147"/>
      <c r="Z857" s="147"/>
      <c r="AA857" s="147"/>
      <c r="AB857" s="147"/>
      <c r="AC857" s="147"/>
      <c r="AD857" s="147"/>
      <c r="AE857" s="147"/>
      <c r="AF857" s="147"/>
      <c r="AG857" s="147"/>
      <c r="AH857" s="147"/>
      <c r="AI857" s="147"/>
      <c r="AJ857" s="147"/>
      <c r="AK857" s="147"/>
      <c r="AL857" s="147"/>
    </row>
    <row r="858" ht="15.75" customHeight="1">
      <c r="A858" s="147"/>
      <c r="B858" s="147"/>
      <c r="C858" s="147"/>
      <c r="D858" s="147"/>
      <c r="E858" s="147"/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  <c r="AD858" s="147"/>
      <c r="AE858" s="147"/>
      <c r="AF858" s="147"/>
      <c r="AG858" s="147"/>
      <c r="AH858" s="147"/>
      <c r="AI858" s="147"/>
      <c r="AJ858" s="147"/>
      <c r="AK858" s="147"/>
      <c r="AL858" s="147"/>
    </row>
    <row r="859" ht="15.75" customHeight="1">
      <c r="A859" s="147"/>
      <c r="B859" s="147"/>
      <c r="C859" s="147"/>
      <c r="D859" s="147"/>
      <c r="E859" s="147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  <c r="AG859" s="147"/>
      <c r="AH859" s="147"/>
      <c r="AI859" s="147"/>
      <c r="AJ859" s="147"/>
      <c r="AK859" s="147"/>
      <c r="AL859" s="147"/>
    </row>
    <row r="860" ht="15.75" customHeight="1">
      <c r="A860" s="147"/>
      <c r="B860" s="147"/>
      <c r="C860" s="147"/>
      <c r="D860" s="147"/>
      <c r="E860" s="147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  <c r="AA860" s="147"/>
      <c r="AB860" s="147"/>
      <c r="AC860" s="147"/>
      <c r="AD860" s="147"/>
      <c r="AE860" s="147"/>
      <c r="AF860" s="147"/>
      <c r="AG860" s="147"/>
      <c r="AH860" s="147"/>
      <c r="AI860" s="147"/>
      <c r="AJ860" s="147"/>
      <c r="AK860" s="147"/>
      <c r="AL860" s="147"/>
    </row>
    <row r="861" ht="15.75" customHeight="1">
      <c r="A861" s="147"/>
      <c r="B861" s="147"/>
      <c r="C861" s="147"/>
      <c r="D861" s="147"/>
      <c r="E861" s="147"/>
      <c r="F861" s="147"/>
      <c r="G861" s="147"/>
      <c r="H861" s="147"/>
      <c r="I861" s="147"/>
      <c r="J861" s="147"/>
      <c r="K861" s="147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147"/>
      <c r="W861" s="147"/>
      <c r="X861" s="147"/>
      <c r="Y861" s="147"/>
      <c r="Z861" s="147"/>
      <c r="AA861" s="147"/>
      <c r="AB861" s="147"/>
      <c r="AC861" s="147"/>
      <c r="AD861" s="147"/>
      <c r="AE861" s="147"/>
      <c r="AF861" s="147"/>
      <c r="AG861" s="147"/>
      <c r="AH861" s="147"/>
      <c r="AI861" s="147"/>
      <c r="AJ861" s="147"/>
      <c r="AK861" s="147"/>
      <c r="AL861" s="147"/>
    </row>
    <row r="862" ht="15.75" customHeight="1">
      <c r="A862" s="147"/>
      <c r="B862" s="147"/>
      <c r="C862" s="147"/>
      <c r="D862" s="147"/>
      <c r="E862" s="147"/>
      <c r="F862" s="147"/>
      <c r="G862" s="147"/>
      <c r="H862" s="147"/>
      <c r="I862" s="147"/>
      <c r="J862" s="147"/>
      <c r="K862" s="147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  <c r="AD862" s="147"/>
      <c r="AE862" s="147"/>
      <c r="AF862" s="147"/>
      <c r="AG862" s="147"/>
      <c r="AH862" s="147"/>
      <c r="AI862" s="147"/>
      <c r="AJ862" s="147"/>
      <c r="AK862" s="147"/>
      <c r="AL862" s="147"/>
    </row>
    <row r="863" ht="15.75" customHeight="1">
      <c r="A863" s="147"/>
      <c r="B863" s="147"/>
      <c r="C863" s="147"/>
      <c r="D863" s="147"/>
      <c r="E863" s="147"/>
      <c r="F863" s="147"/>
      <c r="G863" s="147"/>
      <c r="H863" s="147"/>
      <c r="I863" s="147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/>
      <c r="AG863" s="147"/>
      <c r="AH863" s="147"/>
      <c r="AI863" s="147"/>
      <c r="AJ863" s="147"/>
      <c r="AK863" s="147"/>
      <c r="AL863" s="147"/>
    </row>
    <row r="864" ht="15.75" customHeight="1">
      <c r="A864" s="147"/>
      <c r="B864" s="147"/>
      <c r="C864" s="147"/>
      <c r="D864" s="147"/>
      <c r="E864" s="147"/>
      <c r="F864" s="147"/>
      <c r="G864" s="147"/>
      <c r="H864" s="147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  <c r="AA864" s="147"/>
      <c r="AB864" s="147"/>
      <c r="AC864" s="147"/>
      <c r="AD864" s="147"/>
      <c r="AE864" s="147"/>
      <c r="AF864" s="147"/>
      <c r="AG864" s="147"/>
      <c r="AH864" s="147"/>
      <c r="AI864" s="147"/>
      <c r="AJ864" s="147"/>
      <c r="AK864" s="147"/>
      <c r="AL864" s="147"/>
    </row>
    <row r="865" ht="15.75" customHeight="1">
      <c r="A865" s="147"/>
      <c r="B865" s="147"/>
      <c r="C865" s="147"/>
      <c r="D865" s="147"/>
      <c r="E865" s="147"/>
      <c r="F865" s="147"/>
      <c r="G865" s="147"/>
      <c r="H865" s="147"/>
      <c r="I865" s="147"/>
      <c r="J865" s="147"/>
      <c r="K865" s="147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147"/>
      <c r="W865" s="147"/>
      <c r="X865" s="147"/>
      <c r="Y865" s="147"/>
      <c r="Z865" s="147"/>
      <c r="AA865" s="147"/>
      <c r="AB865" s="147"/>
      <c r="AC865" s="147"/>
      <c r="AD865" s="147"/>
      <c r="AE865" s="147"/>
      <c r="AF865" s="147"/>
      <c r="AG865" s="147"/>
      <c r="AH865" s="147"/>
      <c r="AI865" s="147"/>
      <c r="AJ865" s="147"/>
      <c r="AK865" s="147"/>
      <c r="AL865" s="147"/>
    </row>
    <row r="866" ht="15.75" customHeight="1">
      <c r="A866" s="147"/>
      <c r="B866" s="147"/>
      <c r="C866" s="147"/>
      <c r="D866" s="147"/>
      <c r="E866" s="147"/>
      <c r="F866" s="147"/>
      <c r="G866" s="147"/>
      <c r="H866" s="147"/>
      <c r="I866" s="147"/>
      <c r="J866" s="147"/>
      <c r="K866" s="147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147"/>
      <c r="W866" s="147"/>
      <c r="X866" s="147"/>
      <c r="Y866" s="147"/>
      <c r="Z866" s="147"/>
      <c r="AA866" s="147"/>
      <c r="AB866" s="147"/>
      <c r="AC866" s="147"/>
      <c r="AD866" s="147"/>
      <c r="AE866" s="147"/>
      <c r="AF866" s="147"/>
      <c r="AG866" s="147"/>
      <c r="AH866" s="147"/>
      <c r="AI866" s="147"/>
      <c r="AJ866" s="147"/>
      <c r="AK866" s="147"/>
      <c r="AL866" s="147"/>
    </row>
    <row r="867" ht="15.75" customHeight="1">
      <c r="A867" s="147"/>
      <c r="B867" s="147"/>
      <c r="C867" s="147"/>
      <c r="D867" s="147"/>
      <c r="E867" s="147"/>
      <c r="F867" s="147"/>
      <c r="G867" s="147"/>
      <c r="H867" s="147"/>
      <c r="I867" s="147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  <c r="AA867" s="147"/>
      <c r="AB867" s="147"/>
      <c r="AC867" s="147"/>
      <c r="AD867" s="147"/>
      <c r="AE867" s="147"/>
      <c r="AF867" s="147"/>
      <c r="AG867" s="147"/>
      <c r="AH867" s="147"/>
      <c r="AI867" s="147"/>
      <c r="AJ867" s="147"/>
      <c r="AK867" s="147"/>
      <c r="AL867" s="147"/>
    </row>
    <row r="868" ht="15.75" customHeight="1">
      <c r="A868" s="147"/>
      <c r="B868" s="147"/>
      <c r="C868" s="147"/>
      <c r="D868" s="147"/>
      <c r="E868" s="147"/>
      <c r="F868" s="147"/>
      <c r="G868" s="147"/>
      <c r="H868" s="147"/>
      <c r="I868" s="147"/>
      <c r="J868" s="147"/>
      <c r="K868" s="147"/>
      <c r="L868" s="147"/>
      <c r="M868" s="147"/>
      <c r="N868" s="147"/>
      <c r="O868" s="147"/>
      <c r="P868" s="147"/>
      <c r="Q868" s="147"/>
      <c r="R868" s="147"/>
      <c r="S868" s="147"/>
      <c r="T868" s="147"/>
      <c r="U868" s="147"/>
      <c r="V868" s="147"/>
      <c r="W868" s="147"/>
      <c r="X868" s="147"/>
      <c r="Y868" s="147"/>
      <c r="Z868" s="147"/>
      <c r="AA868" s="147"/>
      <c r="AB868" s="147"/>
      <c r="AC868" s="147"/>
      <c r="AD868" s="147"/>
      <c r="AE868" s="147"/>
      <c r="AF868" s="147"/>
      <c r="AG868" s="147"/>
      <c r="AH868" s="147"/>
      <c r="AI868" s="147"/>
      <c r="AJ868" s="147"/>
      <c r="AK868" s="147"/>
      <c r="AL868" s="147"/>
    </row>
    <row r="869" ht="15.75" customHeight="1">
      <c r="A869" s="147"/>
      <c r="B869" s="147"/>
      <c r="C869" s="147"/>
      <c r="D869" s="147"/>
      <c r="E869" s="147"/>
      <c r="F869" s="147"/>
      <c r="G869" s="147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147"/>
      <c r="W869" s="147"/>
      <c r="X869" s="147"/>
      <c r="Y869" s="147"/>
      <c r="Z869" s="147"/>
      <c r="AA869" s="147"/>
      <c r="AB869" s="147"/>
      <c r="AC869" s="147"/>
      <c r="AD869" s="147"/>
      <c r="AE869" s="147"/>
      <c r="AF869" s="147"/>
      <c r="AG869" s="147"/>
      <c r="AH869" s="147"/>
      <c r="AI869" s="147"/>
      <c r="AJ869" s="147"/>
      <c r="AK869" s="147"/>
      <c r="AL869" s="147"/>
    </row>
    <row r="870" ht="15.75" customHeight="1">
      <c r="A870" s="147"/>
      <c r="B870" s="147"/>
      <c r="C870" s="147"/>
      <c r="D870" s="147"/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7"/>
      <c r="Y870" s="147"/>
      <c r="Z870" s="147"/>
      <c r="AA870" s="147"/>
      <c r="AB870" s="147"/>
      <c r="AC870" s="147"/>
      <c r="AD870" s="147"/>
      <c r="AE870" s="147"/>
      <c r="AF870" s="147"/>
      <c r="AG870" s="147"/>
      <c r="AH870" s="147"/>
      <c r="AI870" s="147"/>
      <c r="AJ870" s="147"/>
      <c r="AK870" s="147"/>
      <c r="AL870" s="147"/>
    </row>
    <row r="871" ht="15.75" customHeight="1">
      <c r="A871" s="147"/>
      <c r="B871" s="147"/>
      <c r="C871" s="147"/>
      <c r="D871" s="147"/>
      <c r="E871" s="147"/>
      <c r="F871" s="147"/>
      <c r="G871" s="147"/>
      <c r="H871" s="147"/>
      <c r="I871" s="147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  <c r="AA871" s="147"/>
      <c r="AB871" s="147"/>
      <c r="AC871" s="147"/>
      <c r="AD871" s="147"/>
      <c r="AE871" s="147"/>
      <c r="AF871" s="147"/>
      <c r="AG871" s="147"/>
      <c r="AH871" s="147"/>
      <c r="AI871" s="147"/>
      <c r="AJ871" s="147"/>
      <c r="AK871" s="147"/>
      <c r="AL871" s="147"/>
    </row>
    <row r="872" ht="15.75" customHeight="1">
      <c r="A872" s="147"/>
      <c r="B872" s="147"/>
      <c r="C872" s="147"/>
      <c r="D872" s="147"/>
      <c r="E872" s="147"/>
      <c r="F872" s="147"/>
      <c r="G872" s="147"/>
      <c r="H872" s="147"/>
      <c r="I872" s="147"/>
      <c r="J872" s="147"/>
      <c r="K872" s="147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147"/>
      <c r="W872" s="147"/>
      <c r="X872" s="147"/>
      <c r="Y872" s="147"/>
      <c r="Z872" s="147"/>
      <c r="AA872" s="147"/>
      <c r="AB872" s="147"/>
      <c r="AC872" s="147"/>
      <c r="AD872" s="147"/>
      <c r="AE872" s="147"/>
      <c r="AF872" s="147"/>
      <c r="AG872" s="147"/>
      <c r="AH872" s="147"/>
      <c r="AI872" s="147"/>
      <c r="AJ872" s="147"/>
      <c r="AK872" s="147"/>
      <c r="AL872" s="147"/>
    </row>
    <row r="873" ht="15.75" customHeight="1">
      <c r="A873" s="147"/>
      <c r="B873" s="147"/>
      <c r="C873" s="147"/>
      <c r="D873" s="147"/>
      <c r="E873" s="147"/>
      <c r="F873" s="147"/>
      <c r="G873" s="147"/>
      <c r="H873" s="147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  <c r="X873" s="147"/>
      <c r="Y873" s="147"/>
      <c r="Z873" s="147"/>
      <c r="AA873" s="147"/>
      <c r="AB873" s="147"/>
      <c r="AC873" s="147"/>
      <c r="AD873" s="147"/>
      <c r="AE873" s="147"/>
      <c r="AF873" s="147"/>
      <c r="AG873" s="147"/>
      <c r="AH873" s="147"/>
      <c r="AI873" s="147"/>
      <c r="AJ873" s="147"/>
      <c r="AK873" s="147"/>
      <c r="AL873" s="147"/>
    </row>
    <row r="874" ht="15.75" customHeight="1">
      <c r="A874" s="147"/>
      <c r="B874" s="147"/>
      <c r="C874" s="147"/>
      <c r="D874" s="147"/>
      <c r="E874" s="147"/>
      <c r="F874" s="147"/>
      <c r="G874" s="147"/>
      <c r="H874" s="147"/>
      <c r="I874" s="147"/>
      <c r="J874" s="147"/>
      <c r="K874" s="147"/>
      <c r="L874" s="147"/>
      <c r="M874" s="147"/>
      <c r="N874" s="147"/>
      <c r="O874" s="147"/>
      <c r="P874" s="147"/>
      <c r="Q874" s="147"/>
      <c r="R874" s="147"/>
      <c r="S874" s="147"/>
      <c r="T874" s="147"/>
      <c r="U874" s="147"/>
      <c r="V874" s="147"/>
      <c r="W874" s="147"/>
      <c r="X874" s="147"/>
      <c r="Y874" s="147"/>
      <c r="Z874" s="147"/>
      <c r="AA874" s="147"/>
      <c r="AB874" s="147"/>
      <c r="AC874" s="147"/>
      <c r="AD874" s="147"/>
      <c r="AE874" s="147"/>
      <c r="AF874" s="147"/>
      <c r="AG874" s="147"/>
      <c r="AH874" s="147"/>
      <c r="AI874" s="147"/>
      <c r="AJ874" s="147"/>
      <c r="AK874" s="147"/>
      <c r="AL874" s="147"/>
    </row>
    <row r="875" ht="15.75" customHeight="1">
      <c r="A875" s="147"/>
      <c r="B875" s="147"/>
      <c r="C875" s="147"/>
      <c r="D875" s="147"/>
      <c r="E875" s="147"/>
      <c r="F875" s="147"/>
      <c r="G875" s="147"/>
      <c r="H875" s="147"/>
      <c r="I875" s="147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  <c r="AA875" s="147"/>
      <c r="AB875" s="147"/>
      <c r="AC875" s="147"/>
      <c r="AD875" s="147"/>
      <c r="AE875" s="147"/>
      <c r="AF875" s="147"/>
      <c r="AG875" s="147"/>
      <c r="AH875" s="147"/>
      <c r="AI875" s="147"/>
      <c r="AJ875" s="147"/>
      <c r="AK875" s="147"/>
      <c r="AL875" s="147"/>
    </row>
    <row r="876" ht="15.75" customHeight="1">
      <c r="A876" s="147"/>
      <c r="B876" s="147"/>
      <c r="C876" s="147"/>
      <c r="D876" s="147"/>
      <c r="E876" s="147"/>
      <c r="F876" s="147"/>
      <c r="G876" s="147"/>
      <c r="H876" s="147"/>
      <c r="I876" s="147"/>
      <c r="J876" s="147"/>
      <c r="K876" s="147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147"/>
      <c r="W876" s="147"/>
      <c r="X876" s="147"/>
      <c r="Y876" s="147"/>
      <c r="Z876" s="147"/>
      <c r="AA876" s="147"/>
      <c r="AB876" s="147"/>
      <c r="AC876" s="147"/>
      <c r="AD876" s="147"/>
      <c r="AE876" s="147"/>
      <c r="AF876" s="147"/>
      <c r="AG876" s="147"/>
      <c r="AH876" s="147"/>
      <c r="AI876" s="147"/>
      <c r="AJ876" s="147"/>
      <c r="AK876" s="147"/>
      <c r="AL876" s="147"/>
    </row>
    <row r="877" ht="15.75" customHeight="1">
      <c r="A877" s="147"/>
      <c r="B877" s="147"/>
      <c r="C877" s="147"/>
      <c r="D877" s="147"/>
      <c r="E877" s="147"/>
      <c r="F877" s="147"/>
      <c r="G877" s="147"/>
      <c r="H877" s="147"/>
      <c r="I877" s="147"/>
      <c r="J877" s="147"/>
      <c r="K877" s="147"/>
      <c r="L877" s="147"/>
      <c r="M877" s="147"/>
      <c r="N877" s="147"/>
      <c r="O877" s="147"/>
      <c r="P877" s="147"/>
      <c r="Q877" s="147"/>
      <c r="R877" s="147"/>
      <c r="S877" s="147"/>
      <c r="T877" s="147"/>
      <c r="U877" s="147"/>
      <c r="V877" s="147"/>
      <c r="W877" s="147"/>
      <c r="X877" s="147"/>
      <c r="Y877" s="147"/>
      <c r="Z877" s="147"/>
      <c r="AA877" s="147"/>
      <c r="AB877" s="147"/>
      <c r="AC877" s="147"/>
      <c r="AD877" s="147"/>
      <c r="AE877" s="147"/>
      <c r="AF877" s="147"/>
      <c r="AG877" s="147"/>
      <c r="AH877" s="147"/>
      <c r="AI877" s="147"/>
      <c r="AJ877" s="147"/>
      <c r="AK877" s="147"/>
      <c r="AL877" s="147"/>
    </row>
    <row r="878" ht="15.75" customHeight="1">
      <c r="A878" s="147"/>
      <c r="B878" s="147"/>
      <c r="C878" s="147"/>
      <c r="D878" s="147"/>
      <c r="E878" s="147"/>
      <c r="F878" s="147"/>
      <c r="G878" s="147"/>
      <c r="H878" s="147"/>
      <c r="I878" s="147"/>
      <c r="J878" s="147"/>
      <c r="K878" s="147"/>
      <c r="L878" s="147"/>
      <c r="M878" s="147"/>
      <c r="N878" s="147"/>
      <c r="O878" s="147"/>
      <c r="P878" s="147"/>
      <c r="Q878" s="147"/>
      <c r="R878" s="147"/>
      <c r="S878" s="147"/>
      <c r="T878" s="147"/>
      <c r="U878" s="147"/>
      <c r="V878" s="147"/>
      <c r="W878" s="147"/>
      <c r="X878" s="147"/>
      <c r="Y878" s="147"/>
      <c r="Z878" s="147"/>
      <c r="AA878" s="147"/>
      <c r="AB878" s="147"/>
      <c r="AC878" s="147"/>
      <c r="AD878" s="147"/>
      <c r="AE878" s="147"/>
      <c r="AF878" s="147"/>
      <c r="AG878" s="147"/>
      <c r="AH878" s="147"/>
      <c r="AI878" s="147"/>
      <c r="AJ878" s="147"/>
      <c r="AK878" s="147"/>
      <c r="AL878" s="147"/>
    </row>
    <row r="879" ht="15.75" customHeight="1">
      <c r="A879" s="147"/>
      <c r="B879" s="147"/>
      <c r="C879" s="147"/>
      <c r="D879" s="147"/>
      <c r="E879" s="147"/>
      <c r="F879" s="147"/>
      <c r="G879" s="147"/>
      <c r="H879" s="147"/>
      <c r="I879" s="147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  <c r="AA879" s="147"/>
      <c r="AB879" s="147"/>
      <c r="AC879" s="147"/>
      <c r="AD879" s="147"/>
      <c r="AE879" s="147"/>
      <c r="AF879" s="147"/>
      <c r="AG879" s="147"/>
      <c r="AH879" s="147"/>
      <c r="AI879" s="147"/>
      <c r="AJ879" s="147"/>
      <c r="AK879" s="147"/>
      <c r="AL879" s="147"/>
    </row>
    <row r="880" ht="15.75" customHeight="1">
      <c r="A880" s="147"/>
      <c r="B880" s="147"/>
      <c r="C880" s="147"/>
      <c r="D880" s="147"/>
      <c r="E880" s="147"/>
      <c r="F880" s="147"/>
      <c r="G880" s="147"/>
      <c r="H880" s="147"/>
      <c r="I880" s="147"/>
      <c r="J880" s="147"/>
      <c r="K880" s="147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147"/>
      <c r="W880" s="147"/>
      <c r="X880" s="147"/>
      <c r="Y880" s="147"/>
      <c r="Z880" s="147"/>
      <c r="AA880" s="147"/>
      <c r="AB880" s="147"/>
      <c r="AC880" s="147"/>
      <c r="AD880" s="147"/>
      <c r="AE880" s="147"/>
      <c r="AF880" s="147"/>
      <c r="AG880" s="147"/>
      <c r="AH880" s="147"/>
      <c r="AI880" s="147"/>
      <c r="AJ880" s="147"/>
      <c r="AK880" s="147"/>
      <c r="AL880" s="147"/>
    </row>
    <row r="881" ht="15.75" customHeight="1">
      <c r="A881" s="147"/>
      <c r="B881" s="147"/>
      <c r="C881" s="147"/>
      <c r="D881" s="147"/>
      <c r="E881" s="147"/>
      <c r="F881" s="147"/>
      <c r="G881" s="147"/>
      <c r="H881" s="147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  <c r="AA881" s="147"/>
      <c r="AB881" s="147"/>
      <c r="AC881" s="147"/>
      <c r="AD881" s="147"/>
      <c r="AE881" s="147"/>
      <c r="AF881" s="147"/>
      <c r="AG881" s="147"/>
      <c r="AH881" s="147"/>
      <c r="AI881" s="147"/>
      <c r="AJ881" s="147"/>
      <c r="AK881" s="147"/>
      <c r="AL881" s="147"/>
    </row>
    <row r="882" ht="15.75" customHeight="1">
      <c r="A882" s="147"/>
      <c r="B882" s="147"/>
      <c r="C882" s="147"/>
      <c r="D882" s="147"/>
      <c r="E882" s="147"/>
      <c r="F882" s="147"/>
      <c r="G882" s="147"/>
      <c r="H882" s="147"/>
      <c r="I882" s="147"/>
      <c r="J882" s="147"/>
      <c r="K882" s="147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147"/>
      <c r="W882" s="147"/>
      <c r="X882" s="147"/>
      <c r="Y882" s="147"/>
      <c r="Z882" s="147"/>
      <c r="AA882" s="147"/>
      <c r="AB882" s="147"/>
      <c r="AC882" s="147"/>
      <c r="AD882" s="147"/>
      <c r="AE882" s="147"/>
      <c r="AF882" s="147"/>
      <c r="AG882" s="147"/>
      <c r="AH882" s="147"/>
      <c r="AI882" s="147"/>
      <c r="AJ882" s="147"/>
      <c r="AK882" s="147"/>
      <c r="AL882" s="147"/>
    </row>
    <row r="883" ht="15.75" customHeight="1">
      <c r="A883" s="147"/>
      <c r="B883" s="147"/>
      <c r="C883" s="147"/>
      <c r="D883" s="147"/>
      <c r="E883" s="147"/>
      <c r="F883" s="147"/>
      <c r="G883" s="147"/>
      <c r="H883" s="147"/>
      <c r="I883" s="147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  <c r="AA883" s="147"/>
      <c r="AB883" s="147"/>
      <c r="AC883" s="147"/>
      <c r="AD883" s="147"/>
      <c r="AE883" s="147"/>
      <c r="AF883" s="147"/>
      <c r="AG883" s="147"/>
      <c r="AH883" s="147"/>
      <c r="AI883" s="147"/>
      <c r="AJ883" s="147"/>
      <c r="AK883" s="147"/>
      <c r="AL883" s="147"/>
    </row>
    <row r="884" ht="15.75" customHeight="1">
      <c r="A884" s="147"/>
      <c r="B884" s="147"/>
      <c r="C884" s="147"/>
      <c r="D884" s="147"/>
      <c r="E884" s="147"/>
      <c r="F884" s="147"/>
      <c r="G884" s="147"/>
      <c r="H884" s="147"/>
      <c r="I884" s="147"/>
      <c r="J884" s="147"/>
      <c r="K884" s="147"/>
      <c r="L884" s="147"/>
      <c r="M884" s="147"/>
      <c r="N884" s="147"/>
      <c r="O884" s="147"/>
      <c r="P884" s="147"/>
      <c r="Q884" s="147"/>
      <c r="R884" s="147"/>
      <c r="S884" s="147"/>
      <c r="T884" s="147"/>
      <c r="U884" s="147"/>
      <c r="V884" s="147"/>
      <c r="W884" s="147"/>
      <c r="X884" s="147"/>
      <c r="Y884" s="147"/>
      <c r="Z884" s="147"/>
      <c r="AA884" s="147"/>
      <c r="AB884" s="147"/>
      <c r="AC884" s="147"/>
      <c r="AD884" s="147"/>
      <c r="AE884" s="147"/>
      <c r="AF884" s="147"/>
      <c r="AG884" s="147"/>
      <c r="AH884" s="147"/>
      <c r="AI884" s="147"/>
      <c r="AJ884" s="147"/>
      <c r="AK884" s="147"/>
      <c r="AL884" s="147"/>
    </row>
    <row r="885" ht="15.75" customHeight="1">
      <c r="A885" s="147"/>
      <c r="B885" s="147"/>
      <c r="C885" s="147"/>
      <c r="D885" s="147"/>
      <c r="E885" s="147"/>
      <c r="F885" s="147"/>
      <c r="G885" s="147"/>
      <c r="H885" s="147"/>
      <c r="I885" s="147"/>
      <c r="J885" s="147"/>
      <c r="K885" s="147"/>
      <c r="L885" s="147"/>
      <c r="M885" s="147"/>
      <c r="N885" s="147"/>
      <c r="O885" s="147"/>
      <c r="P885" s="147"/>
      <c r="Q885" s="147"/>
      <c r="R885" s="147"/>
      <c r="S885" s="147"/>
      <c r="T885" s="147"/>
      <c r="U885" s="147"/>
      <c r="V885" s="147"/>
      <c r="W885" s="147"/>
      <c r="X885" s="147"/>
      <c r="Y885" s="147"/>
      <c r="Z885" s="147"/>
      <c r="AA885" s="147"/>
      <c r="AB885" s="147"/>
      <c r="AC885" s="147"/>
      <c r="AD885" s="147"/>
      <c r="AE885" s="147"/>
      <c r="AF885" s="147"/>
      <c r="AG885" s="147"/>
      <c r="AH885" s="147"/>
      <c r="AI885" s="147"/>
      <c r="AJ885" s="147"/>
      <c r="AK885" s="147"/>
      <c r="AL885" s="147"/>
    </row>
    <row r="886" ht="15.75" customHeight="1">
      <c r="A886" s="147"/>
      <c r="B886" s="147"/>
      <c r="C886" s="147"/>
      <c r="D886" s="147"/>
      <c r="E886" s="147"/>
      <c r="F886" s="147"/>
      <c r="G886" s="147"/>
      <c r="H886" s="147"/>
      <c r="I886" s="147"/>
      <c r="J886" s="147"/>
      <c r="K886" s="147"/>
      <c r="L886" s="147"/>
      <c r="M886" s="147"/>
      <c r="N886" s="147"/>
      <c r="O886" s="147"/>
      <c r="P886" s="147"/>
      <c r="Q886" s="147"/>
      <c r="R886" s="147"/>
      <c r="S886" s="147"/>
      <c r="T886" s="147"/>
      <c r="U886" s="147"/>
      <c r="V886" s="147"/>
      <c r="W886" s="147"/>
      <c r="X886" s="147"/>
      <c r="Y886" s="147"/>
      <c r="Z886" s="147"/>
      <c r="AA886" s="147"/>
      <c r="AB886" s="147"/>
      <c r="AC886" s="147"/>
      <c r="AD886" s="147"/>
      <c r="AE886" s="147"/>
      <c r="AF886" s="147"/>
      <c r="AG886" s="147"/>
      <c r="AH886" s="147"/>
      <c r="AI886" s="147"/>
      <c r="AJ886" s="147"/>
      <c r="AK886" s="147"/>
      <c r="AL886" s="147"/>
    </row>
    <row r="887" ht="15.75" customHeight="1">
      <c r="A887" s="147"/>
      <c r="B887" s="147"/>
      <c r="C887" s="147"/>
      <c r="D887" s="147"/>
      <c r="E887" s="147"/>
      <c r="F887" s="147"/>
      <c r="G887" s="147"/>
      <c r="H887" s="147"/>
      <c r="I887" s="147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  <c r="AA887" s="147"/>
      <c r="AB887" s="147"/>
      <c r="AC887" s="147"/>
      <c r="AD887" s="147"/>
      <c r="AE887" s="147"/>
      <c r="AF887" s="147"/>
      <c r="AG887" s="147"/>
      <c r="AH887" s="147"/>
      <c r="AI887" s="147"/>
      <c r="AJ887" s="147"/>
      <c r="AK887" s="147"/>
      <c r="AL887" s="147"/>
    </row>
    <row r="888" ht="15.75" customHeight="1">
      <c r="A888" s="147"/>
      <c r="B888" s="147"/>
      <c r="C888" s="147"/>
      <c r="D888" s="147"/>
      <c r="E888" s="147"/>
      <c r="F888" s="147"/>
      <c r="G888" s="147"/>
      <c r="H888" s="147"/>
      <c r="I888" s="147"/>
      <c r="J888" s="147"/>
      <c r="K888" s="147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147"/>
      <c r="W888" s="147"/>
      <c r="X888" s="147"/>
      <c r="Y888" s="147"/>
      <c r="Z888" s="147"/>
      <c r="AA888" s="147"/>
      <c r="AB888" s="147"/>
      <c r="AC888" s="147"/>
      <c r="AD888" s="147"/>
      <c r="AE888" s="147"/>
      <c r="AF888" s="147"/>
      <c r="AG888" s="147"/>
      <c r="AH888" s="147"/>
      <c r="AI888" s="147"/>
      <c r="AJ888" s="147"/>
      <c r="AK888" s="147"/>
      <c r="AL888" s="147"/>
    </row>
    <row r="889" ht="15.75" customHeight="1">
      <c r="A889" s="147"/>
      <c r="B889" s="147"/>
      <c r="C889" s="147"/>
      <c r="D889" s="147"/>
      <c r="E889" s="147"/>
      <c r="F889" s="147"/>
      <c r="G889" s="147"/>
      <c r="H889" s="147"/>
      <c r="I889" s="147"/>
      <c r="J889" s="147"/>
      <c r="K889" s="147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  <c r="AA889" s="147"/>
      <c r="AB889" s="147"/>
      <c r="AC889" s="147"/>
      <c r="AD889" s="147"/>
      <c r="AE889" s="147"/>
      <c r="AF889" s="147"/>
      <c r="AG889" s="147"/>
      <c r="AH889" s="147"/>
      <c r="AI889" s="147"/>
      <c r="AJ889" s="147"/>
      <c r="AK889" s="147"/>
      <c r="AL889" s="147"/>
    </row>
    <row r="890" ht="15.75" customHeight="1">
      <c r="A890" s="147"/>
      <c r="B890" s="147"/>
      <c r="C890" s="147"/>
      <c r="D890" s="147"/>
      <c r="E890" s="147"/>
      <c r="F890" s="147"/>
      <c r="G890" s="147"/>
      <c r="H890" s="147"/>
      <c r="I890" s="147"/>
      <c r="J890" s="147"/>
      <c r="K890" s="147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  <c r="AA890" s="147"/>
      <c r="AB890" s="147"/>
      <c r="AC890" s="147"/>
      <c r="AD890" s="147"/>
      <c r="AE890" s="147"/>
      <c r="AF890" s="147"/>
      <c r="AG890" s="147"/>
      <c r="AH890" s="147"/>
      <c r="AI890" s="147"/>
      <c r="AJ890" s="147"/>
      <c r="AK890" s="147"/>
      <c r="AL890" s="147"/>
    </row>
    <row r="891" ht="15.75" customHeight="1">
      <c r="A891" s="147"/>
      <c r="B891" s="147"/>
      <c r="C891" s="147"/>
      <c r="D891" s="147"/>
      <c r="E891" s="147"/>
      <c r="F891" s="147"/>
      <c r="G891" s="147"/>
      <c r="H891" s="147"/>
      <c r="I891" s="147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  <c r="AD891" s="147"/>
      <c r="AE891" s="147"/>
      <c r="AF891" s="147"/>
      <c r="AG891" s="147"/>
      <c r="AH891" s="147"/>
      <c r="AI891" s="147"/>
      <c r="AJ891" s="147"/>
      <c r="AK891" s="147"/>
      <c r="AL891" s="147"/>
    </row>
    <row r="892" ht="15.75" customHeight="1">
      <c r="A892" s="147"/>
      <c r="B892" s="147"/>
      <c r="C892" s="147"/>
      <c r="D892" s="147"/>
      <c r="E892" s="147"/>
      <c r="F892" s="147"/>
      <c r="G892" s="147"/>
      <c r="H892" s="147"/>
      <c r="I892" s="147"/>
      <c r="J892" s="147"/>
      <c r="K892" s="147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147"/>
      <c r="W892" s="147"/>
      <c r="X892" s="147"/>
      <c r="Y892" s="147"/>
      <c r="Z892" s="147"/>
      <c r="AA892" s="147"/>
      <c r="AB892" s="147"/>
      <c r="AC892" s="147"/>
      <c r="AD892" s="147"/>
      <c r="AE892" s="147"/>
      <c r="AF892" s="147"/>
      <c r="AG892" s="147"/>
      <c r="AH892" s="147"/>
      <c r="AI892" s="147"/>
      <c r="AJ892" s="147"/>
      <c r="AK892" s="147"/>
      <c r="AL892" s="147"/>
    </row>
    <row r="893" ht="15.75" customHeight="1">
      <c r="A893" s="147"/>
      <c r="B893" s="147"/>
      <c r="C893" s="147"/>
      <c r="D893" s="147"/>
      <c r="E893" s="147"/>
      <c r="F893" s="147"/>
      <c r="G893" s="147"/>
      <c r="H893" s="147"/>
      <c r="I893" s="147"/>
      <c r="J893" s="147"/>
      <c r="K893" s="147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147"/>
      <c r="W893" s="147"/>
      <c r="X893" s="147"/>
      <c r="Y893" s="147"/>
      <c r="Z893" s="147"/>
      <c r="AA893" s="147"/>
      <c r="AB893" s="147"/>
      <c r="AC893" s="147"/>
      <c r="AD893" s="147"/>
      <c r="AE893" s="147"/>
      <c r="AF893" s="147"/>
      <c r="AG893" s="147"/>
      <c r="AH893" s="147"/>
      <c r="AI893" s="147"/>
      <c r="AJ893" s="147"/>
      <c r="AK893" s="147"/>
      <c r="AL893" s="147"/>
    </row>
    <row r="894" ht="15.75" customHeight="1">
      <c r="A894" s="147"/>
      <c r="B894" s="147"/>
      <c r="C894" s="147"/>
      <c r="D894" s="147"/>
      <c r="E894" s="147"/>
      <c r="F894" s="147"/>
      <c r="G894" s="147"/>
      <c r="H894" s="147"/>
      <c r="I894" s="147"/>
      <c r="J894" s="147"/>
      <c r="K894" s="147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147"/>
      <c r="W894" s="147"/>
      <c r="X894" s="147"/>
      <c r="Y894" s="147"/>
      <c r="Z894" s="147"/>
      <c r="AA894" s="147"/>
      <c r="AB894" s="147"/>
      <c r="AC894" s="147"/>
      <c r="AD894" s="147"/>
      <c r="AE894" s="147"/>
      <c r="AF894" s="147"/>
      <c r="AG894" s="147"/>
      <c r="AH894" s="147"/>
      <c r="AI894" s="147"/>
      <c r="AJ894" s="147"/>
      <c r="AK894" s="147"/>
      <c r="AL894" s="147"/>
    </row>
    <row r="895" ht="15.75" customHeight="1">
      <c r="A895" s="147"/>
      <c r="B895" s="147"/>
      <c r="C895" s="147"/>
      <c r="D895" s="147"/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  <c r="AA895" s="147"/>
      <c r="AB895" s="147"/>
      <c r="AC895" s="147"/>
      <c r="AD895" s="147"/>
      <c r="AE895" s="147"/>
      <c r="AF895" s="147"/>
      <c r="AG895" s="147"/>
      <c r="AH895" s="147"/>
      <c r="AI895" s="147"/>
      <c r="AJ895" s="147"/>
      <c r="AK895" s="147"/>
      <c r="AL895" s="147"/>
    </row>
    <row r="896" ht="15.75" customHeight="1">
      <c r="A896" s="147"/>
      <c r="B896" s="147"/>
      <c r="C896" s="147"/>
      <c r="D896" s="147"/>
      <c r="E896" s="147"/>
      <c r="F896" s="147"/>
      <c r="G896" s="147"/>
      <c r="H896" s="147"/>
      <c r="I896" s="147"/>
      <c r="J896" s="147"/>
      <c r="K896" s="147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  <c r="AA896" s="147"/>
      <c r="AB896" s="147"/>
      <c r="AC896" s="147"/>
      <c r="AD896" s="147"/>
      <c r="AE896" s="147"/>
      <c r="AF896" s="147"/>
      <c r="AG896" s="147"/>
      <c r="AH896" s="147"/>
      <c r="AI896" s="147"/>
      <c r="AJ896" s="147"/>
      <c r="AK896" s="147"/>
      <c r="AL896" s="147"/>
    </row>
    <row r="897" ht="15.75" customHeight="1">
      <c r="A897" s="147"/>
      <c r="B897" s="147"/>
      <c r="C897" s="147"/>
      <c r="D897" s="147"/>
      <c r="E897" s="147"/>
      <c r="F897" s="147"/>
      <c r="G897" s="147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  <c r="X897" s="147"/>
      <c r="Y897" s="147"/>
      <c r="Z897" s="147"/>
      <c r="AA897" s="147"/>
      <c r="AB897" s="147"/>
      <c r="AC897" s="147"/>
      <c r="AD897" s="147"/>
      <c r="AE897" s="147"/>
      <c r="AF897" s="147"/>
      <c r="AG897" s="147"/>
      <c r="AH897" s="147"/>
      <c r="AI897" s="147"/>
      <c r="AJ897" s="147"/>
      <c r="AK897" s="147"/>
      <c r="AL897" s="147"/>
    </row>
    <row r="898" ht="15.75" customHeight="1">
      <c r="A898" s="147"/>
      <c r="B898" s="147"/>
      <c r="C898" s="147"/>
      <c r="D898" s="147"/>
      <c r="E898" s="147"/>
      <c r="F898" s="147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  <c r="AA898" s="147"/>
      <c r="AB898" s="147"/>
      <c r="AC898" s="147"/>
      <c r="AD898" s="147"/>
      <c r="AE898" s="147"/>
      <c r="AF898" s="147"/>
      <c r="AG898" s="147"/>
      <c r="AH898" s="147"/>
      <c r="AI898" s="147"/>
      <c r="AJ898" s="147"/>
      <c r="AK898" s="147"/>
      <c r="AL898" s="147"/>
    </row>
    <row r="899" ht="15.75" customHeight="1">
      <c r="A899" s="147"/>
      <c r="B899" s="147"/>
      <c r="C899" s="147"/>
      <c r="D899" s="147"/>
      <c r="E899" s="147"/>
      <c r="F899" s="147"/>
      <c r="G899" s="147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  <c r="AA899" s="147"/>
      <c r="AB899" s="147"/>
      <c r="AC899" s="147"/>
      <c r="AD899" s="147"/>
      <c r="AE899" s="147"/>
      <c r="AF899" s="147"/>
      <c r="AG899" s="147"/>
      <c r="AH899" s="147"/>
      <c r="AI899" s="147"/>
      <c r="AJ899" s="147"/>
      <c r="AK899" s="147"/>
      <c r="AL899" s="147"/>
    </row>
    <row r="900" ht="15.75" customHeight="1">
      <c r="A900" s="147"/>
      <c r="B900" s="147"/>
      <c r="C900" s="147"/>
      <c r="D900" s="147"/>
      <c r="E900" s="147"/>
      <c r="F900" s="147"/>
      <c r="G900" s="147"/>
      <c r="H900" s="147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  <c r="AA900" s="147"/>
      <c r="AB900" s="147"/>
      <c r="AC900" s="147"/>
      <c r="AD900" s="147"/>
      <c r="AE900" s="147"/>
      <c r="AF900" s="147"/>
      <c r="AG900" s="147"/>
      <c r="AH900" s="147"/>
      <c r="AI900" s="147"/>
      <c r="AJ900" s="147"/>
      <c r="AK900" s="147"/>
      <c r="AL900" s="147"/>
    </row>
    <row r="901" ht="15.75" customHeight="1">
      <c r="A901" s="147"/>
      <c r="B901" s="147"/>
      <c r="C901" s="147"/>
      <c r="D901" s="147"/>
      <c r="E901" s="147"/>
      <c r="F901" s="147"/>
      <c r="G901" s="147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  <c r="X901" s="147"/>
      <c r="Y901" s="147"/>
      <c r="Z901" s="147"/>
      <c r="AA901" s="147"/>
      <c r="AB901" s="147"/>
      <c r="AC901" s="147"/>
      <c r="AD901" s="147"/>
      <c r="AE901" s="147"/>
      <c r="AF901" s="147"/>
      <c r="AG901" s="147"/>
      <c r="AH901" s="147"/>
      <c r="AI901" s="147"/>
      <c r="AJ901" s="147"/>
      <c r="AK901" s="147"/>
      <c r="AL901" s="147"/>
    </row>
    <row r="902" ht="15.75" customHeight="1">
      <c r="A902" s="147"/>
      <c r="B902" s="147"/>
      <c r="C902" s="147"/>
      <c r="D902" s="147"/>
      <c r="E902" s="147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7"/>
      <c r="Y902" s="147"/>
      <c r="Z902" s="147"/>
      <c r="AA902" s="147"/>
      <c r="AB902" s="147"/>
      <c r="AC902" s="147"/>
      <c r="AD902" s="147"/>
      <c r="AE902" s="147"/>
      <c r="AF902" s="147"/>
      <c r="AG902" s="147"/>
      <c r="AH902" s="147"/>
      <c r="AI902" s="147"/>
      <c r="AJ902" s="147"/>
      <c r="AK902" s="147"/>
      <c r="AL902" s="147"/>
    </row>
    <row r="903" ht="15.75" customHeight="1">
      <c r="A903" s="147"/>
      <c r="B903" s="147"/>
      <c r="C903" s="147"/>
      <c r="D903" s="147"/>
      <c r="E903" s="147"/>
      <c r="F903" s="147"/>
      <c r="G903" s="147"/>
      <c r="H903" s="147"/>
      <c r="I903" s="147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  <c r="AA903" s="147"/>
      <c r="AB903" s="147"/>
      <c r="AC903" s="147"/>
      <c r="AD903" s="147"/>
      <c r="AE903" s="147"/>
      <c r="AF903" s="147"/>
      <c r="AG903" s="147"/>
      <c r="AH903" s="147"/>
      <c r="AI903" s="147"/>
      <c r="AJ903" s="147"/>
      <c r="AK903" s="147"/>
      <c r="AL903" s="147"/>
    </row>
    <row r="904" ht="15.75" customHeight="1">
      <c r="A904" s="147"/>
      <c r="B904" s="147"/>
      <c r="C904" s="147"/>
      <c r="D904" s="147"/>
      <c r="E904" s="147"/>
      <c r="F904" s="147"/>
      <c r="G904" s="147"/>
      <c r="H904" s="147"/>
      <c r="I904" s="147"/>
      <c r="J904" s="147"/>
      <c r="K904" s="147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147"/>
      <c r="W904" s="147"/>
      <c r="X904" s="147"/>
      <c r="Y904" s="147"/>
      <c r="Z904" s="147"/>
      <c r="AA904" s="147"/>
      <c r="AB904" s="147"/>
      <c r="AC904" s="147"/>
      <c r="AD904" s="147"/>
      <c r="AE904" s="147"/>
      <c r="AF904" s="147"/>
      <c r="AG904" s="147"/>
      <c r="AH904" s="147"/>
      <c r="AI904" s="147"/>
      <c r="AJ904" s="147"/>
      <c r="AK904" s="147"/>
      <c r="AL904" s="147"/>
    </row>
    <row r="905" ht="15.75" customHeight="1">
      <c r="A905" s="147"/>
      <c r="B905" s="147"/>
      <c r="C905" s="147"/>
      <c r="D905" s="147"/>
      <c r="E905" s="147"/>
      <c r="F905" s="147"/>
      <c r="G905" s="147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  <c r="X905" s="147"/>
      <c r="Y905" s="147"/>
      <c r="Z905" s="147"/>
      <c r="AA905" s="147"/>
      <c r="AB905" s="147"/>
      <c r="AC905" s="147"/>
      <c r="AD905" s="147"/>
      <c r="AE905" s="147"/>
      <c r="AF905" s="147"/>
      <c r="AG905" s="147"/>
      <c r="AH905" s="147"/>
      <c r="AI905" s="147"/>
      <c r="AJ905" s="147"/>
      <c r="AK905" s="147"/>
      <c r="AL905" s="147"/>
    </row>
    <row r="906" ht="15.75" customHeight="1">
      <c r="A906" s="147"/>
      <c r="B906" s="147"/>
      <c r="C906" s="147"/>
      <c r="D906" s="147"/>
      <c r="E906" s="147"/>
      <c r="F906" s="147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  <c r="AA906" s="147"/>
      <c r="AB906" s="147"/>
      <c r="AC906" s="147"/>
      <c r="AD906" s="147"/>
      <c r="AE906" s="147"/>
      <c r="AF906" s="147"/>
      <c r="AG906" s="147"/>
      <c r="AH906" s="147"/>
      <c r="AI906" s="147"/>
      <c r="AJ906" s="147"/>
      <c r="AK906" s="147"/>
      <c r="AL906" s="147"/>
    </row>
    <row r="907" ht="15.75" customHeight="1">
      <c r="A907" s="147"/>
      <c r="B907" s="147"/>
      <c r="C907" s="147"/>
      <c r="D907" s="147"/>
      <c r="E907" s="147"/>
      <c r="F907" s="147"/>
      <c r="G907" s="147"/>
      <c r="H907" s="147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  <c r="AD907" s="147"/>
      <c r="AE907" s="147"/>
      <c r="AF907" s="147"/>
      <c r="AG907" s="147"/>
      <c r="AH907" s="147"/>
      <c r="AI907" s="147"/>
      <c r="AJ907" s="147"/>
      <c r="AK907" s="147"/>
      <c r="AL907" s="147"/>
    </row>
    <row r="908" ht="15.75" customHeight="1">
      <c r="A908" s="147"/>
      <c r="B908" s="147"/>
      <c r="C908" s="147"/>
      <c r="D908" s="147"/>
      <c r="E908" s="147"/>
      <c r="F908" s="147"/>
      <c r="G908" s="147"/>
      <c r="H908" s="147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  <c r="AA908" s="147"/>
      <c r="AB908" s="147"/>
      <c r="AC908" s="147"/>
      <c r="AD908" s="147"/>
      <c r="AE908" s="147"/>
      <c r="AF908" s="147"/>
      <c r="AG908" s="147"/>
      <c r="AH908" s="147"/>
      <c r="AI908" s="147"/>
      <c r="AJ908" s="147"/>
      <c r="AK908" s="147"/>
      <c r="AL908" s="147"/>
    </row>
    <row r="909" ht="15.75" customHeight="1">
      <c r="A909" s="147"/>
      <c r="B909" s="147"/>
      <c r="C909" s="147"/>
      <c r="D909" s="147"/>
      <c r="E909" s="147"/>
      <c r="F909" s="147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  <c r="AA909" s="147"/>
      <c r="AB909" s="147"/>
      <c r="AC909" s="147"/>
      <c r="AD909" s="147"/>
      <c r="AE909" s="147"/>
      <c r="AF909" s="147"/>
      <c r="AG909" s="147"/>
      <c r="AH909" s="147"/>
      <c r="AI909" s="147"/>
      <c r="AJ909" s="147"/>
      <c r="AK909" s="147"/>
      <c r="AL909" s="147"/>
    </row>
    <row r="910" ht="15.75" customHeight="1">
      <c r="A910" s="147"/>
      <c r="B910" s="147"/>
      <c r="C910" s="147"/>
      <c r="D910" s="147"/>
      <c r="E910" s="147"/>
      <c r="F910" s="147"/>
      <c r="G910" s="147"/>
      <c r="H910" s="147"/>
      <c r="I910" s="147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  <c r="AA910" s="147"/>
      <c r="AB910" s="147"/>
      <c r="AC910" s="147"/>
      <c r="AD910" s="147"/>
      <c r="AE910" s="147"/>
      <c r="AF910" s="147"/>
      <c r="AG910" s="147"/>
      <c r="AH910" s="147"/>
      <c r="AI910" s="147"/>
      <c r="AJ910" s="147"/>
      <c r="AK910" s="147"/>
      <c r="AL910" s="147"/>
    </row>
    <row r="911" ht="15.75" customHeight="1">
      <c r="A911" s="147"/>
      <c r="B911" s="147"/>
      <c r="C911" s="147"/>
      <c r="D911" s="147"/>
      <c r="E911" s="147"/>
      <c r="F911" s="147"/>
      <c r="G911" s="147"/>
      <c r="H911" s="147"/>
      <c r="I911" s="147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  <c r="AA911" s="147"/>
      <c r="AB911" s="147"/>
      <c r="AC911" s="147"/>
      <c r="AD911" s="147"/>
      <c r="AE911" s="147"/>
      <c r="AF911" s="147"/>
      <c r="AG911" s="147"/>
      <c r="AH911" s="147"/>
      <c r="AI911" s="147"/>
      <c r="AJ911" s="147"/>
      <c r="AK911" s="147"/>
      <c r="AL911" s="147"/>
    </row>
    <row r="912" ht="15.75" customHeight="1">
      <c r="A912" s="147"/>
      <c r="B912" s="147"/>
      <c r="C912" s="147"/>
      <c r="D912" s="147"/>
      <c r="E912" s="147"/>
      <c r="F912" s="147"/>
      <c r="G912" s="147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  <c r="AA912" s="147"/>
      <c r="AB912" s="147"/>
      <c r="AC912" s="147"/>
      <c r="AD912" s="147"/>
      <c r="AE912" s="147"/>
      <c r="AF912" s="147"/>
      <c r="AG912" s="147"/>
      <c r="AH912" s="147"/>
      <c r="AI912" s="147"/>
      <c r="AJ912" s="147"/>
      <c r="AK912" s="147"/>
      <c r="AL912" s="147"/>
    </row>
    <row r="913" ht="15.75" customHeight="1">
      <c r="A913" s="147"/>
      <c r="B913" s="147"/>
      <c r="C913" s="147"/>
      <c r="D913" s="147"/>
      <c r="E913" s="147"/>
      <c r="F913" s="147"/>
      <c r="G913" s="147"/>
      <c r="H913" s="147"/>
      <c r="I913" s="147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  <c r="AA913" s="147"/>
      <c r="AB913" s="147"/>
      <c r="AC913" s="147"/>
      <c r="AD913" s="147"/>
      <c r="AE913" s="147"/>
      <c r="AF913" s="147"/>
      <c r="AG913" s="147"/>
      <c r="AH913" s="147"/>
      <c r="AI913" s="147"/>
      <c r="AJ913" s="147"/>
      <c r="AK913" s="147"/>
      <c r="AL913" s="147"/>
    </row>
    <row r="914" ht="15.75" customHeight="1">
      <c r="A914" s="147"/>
      <c r="B914" s="147"/>
      <c r="C914" s="147"/>
      <c r="D914" s="147"/>
      <c r="E914" s="147"/>
      <c r="F914" s="147"/>
      <c r="G914" s="147"/>
      <c r="H914" s="147"/>
      <c r="I914" s="147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  <c r="AA914" s="147"/>
      <c r="AB914" s="147"/>
      <c r="AC914" s="147"/>
      <c r="AD914" s="147"/>
      <c r="AE914" s="147"/>
      <c r="AF914" s="147"/>
      <c r="AG914" s="147"/>
      <c r="AH914" s="147"/>
      <c r="AI914" s="147"/>
      <c r="AJ914" s="147"/>
      <c r="AK914" s="147"/>
      <c r="AL914" s="147"/>
    </row>
    <row r="915" ht="15.75" customHeight="1">
      <c r="A915" s="147"/>
      <c r="B915" s="147"/>
      <c r="C915" s="147"/>
      <c r="D915" s="147"/>
      <c r="E915" s="147"/>
      <c r="F915" s="147"/>
      <c r="G915" s="147"/>
      <c r="H915" s="147"/>
      <c r="I915" s="147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  <c r="AA915" s="147"/>
      <c r="AB915" s="147"/>
      <c r="AC915" s="147"/>
      <c r="AD915" s="147"/>
      <c r="AE915" s="147"/>
      <c r="AF915" s="147"/>
      <c r="AG915" s="147"/>
      <c r="AH915" s="147"/>
      <c r="AI915" s="147"/>
      <c r="AJ915" s="147"/>
      <c r="AK915" s="147"/>
      <c r="AL915" s="147"/>
    </row>
    <row r="916" ht="15.75" customHeight="1">
      <c r="A916" s="147"/>
      <c r="B916" s="147"/>
      <c r="C916" s="147"/>
      <c r="D916" s="147"/>
      <c r="E916" s="147"/>
      <c r="F916" s="147"/>
      <c r="G916" s="147"/>
      <c r="H916" s="147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  <c r="AA916" s="147"/>
      <c r="AB916" s="147"/>
      <c r="AC916" s="147"/>
      <c r="AD916" s="147"/>
      <c r="AE916" s="147"/>
      <c r="AF916" s="147"/>
      <c r="AG916" s="147"/>
      <c r="AH916" s="147"/>
      <c r="AI916" s="147"/>
      <c r="AJ916" s="147"/>
      <c r="AK916" s="147"/>
      <c r="AL916" s="147"/>
    </row>
    <row r="917" ht="15.75" customHeight="1">
      <c r="A917" s="147"/>
      <c r="B917" s="147"/>
      <c r="C917" s="147"/>
      <c r="D917" s="147"/>
      <c r="E917" s="147"/>
      <c r="F917" s="147"/>
      <c r="G917" s="147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  <c r="AA917" s="147"/>
      <c r="AB917" s="147"/>
      <c r="AC917" s="147"/>
      <c r="AD917" s="147"/>
      <c r="AE917" s="147"/>
      <c r="AF917" s="147"/>
      <c r="AG917" s="147"/>
      <c r="AH917" s="147"/>
      <c r="AI917" s="147"/>
      <c r="AJ917" s="147"/>
      <c r="AK917" s="147"/>
      <c r="AL917" s="147"/>
    </row>
    <row r="918" ht="15.75" customHeight="1">
      <c r="A918" s="147"/>
      <c r="B918" s="147"/>
      <c r="C918" s="147"/>
      <c r="D918" s="147"/>
      <c r="E918" s="147"/>
      <c r="F918" s="147"/>
      <c r="G918" s="147"/>
      <c r="H918" s="147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  <c r="X918" s="147"/>
      <c r="Y918" s="147"/>
      <c r="Z918" s="147"/>
      <c r="AA918" s="147"/>
      <c r="AB918" s="147"/>
      <c r="AC918" s="147"/>
      <c r="AD918" s="147"/>
      <c r="AE918" s="147"/>
      <c r="AF918" s="147"/>
      <c r="AG918" s="147"/>
      <c r="AH918" s="147"/>
      <c r="AI918" s="147"/>
      <c r="AJ918" s="147"/>
      <c r="AK918" s="147"/>
      <c r="AL918" s="147"/>
    </row>
    <row r="919" ht="15.75" customHeight="1">
      <c r="A919" s="147"/>
      <c r="B919" s="147"/>
      <c r="C919" s="147"/>
      <c r="D919" s="147"/>
      <c r="E919" s="147"/>
      <c r="F919" s="147"/>
      <c r="G919" s="147"/>
      <c r="H919" s="147"/>
      <c r="I919" s="147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  <c r="AA919" s="147"/>
      <c r="AB919" s="147"/>
      <c r="AC919" s="147"/>
      <c r="AD919" s="147"/>
      <c r="AE919" s="147"/>
      <c r="AF919" s="147"/>
      <c r="AG919" s="147"/>
      <c r="AH919" s="147"/>
      <c r="AI919" s="147"/>
      <c r="AJ919" s="147"/>
      <c r="AK919" s="147"/>
      <c r="AL919" s="147"/>
    </row>
    <row r="920" ht="15.75" customHeight="1">
      <c r="A920" s="147"/>
      <c r="B920" s="147"/>
      <c r="C920" s="147"/>
      <c r="D920" s="147"/>
      <c r="E920" s="147"/>
      <c r="F920" s="147"/>
      <c r="G920" s="147"/>
      <c r="H920" s="147"/>
      <c r="I920" s="147"/>
      <c r="J920" s="147"/>
      <c r="K920" s="147"/>
      <c r="L920" s="147"/>
      <c r="M920" s="147"/>
      <c r="N920" s="147"/>
      <c r="O920" s="147"/>
      <c r="P920" s="147"/>
      <c r="Q920" s="147"/>
      <c r="R920" s="147"/>
      <c r="S920" s="147"/>
      <c r="T920" s="147"/>
      <c r="U920" s="147"/>
      <c r="V920" s="147"/>
      <c r="W920" s="147"/>
      <c r="X920" s="147"/>
      <c r="Y920" s="147"/>
      <c r="Z920" s="147"/>
      <c r="AA920" s="147"/>
      <c r="AB920" s="147"/>
      <c r="AC920" s="147"/>
      <c r="AD920" s="147"/>
      <c r="AE920" s="147"/>
      <c r="AF920" s="147"/>
      <c r="AG920" s="147"/>
      <c r="AH920" s="147"/>
      <c r="AI920" s="147"/>
      <c r="AJ920" s="147"/>
      <c r="AK920" s="147"/>
      <c r="AL920" s="147"/>
    </row>
    <row r="921" ht="15.75" customHeight="1">
      <c r="A921" s="147"/>
      <c r="B921" s="147"/>
      <c r="C921" s="147"/>
      <c r="D921" s="147"/>
      <c r="E921" s="147"/>
      <c r="F921" s="147"/>
      <c r="G921" s="147"/>
      <c r="H921" s="147"/>
      <c r="I921" s="147"/>
      <c r="J921" s="147"/>
      <c r="K921" s="147"/>
      <c r="L921" s="147"/>
      <c r="M921" s="147"/>
      <c r="N921" s="147"/>
      <c r="O921" s="147"/>
      <c r="P921" s="147"/>
      <c r="Q921" s="147"/>
      <c r="R921" s="147"/>
      <c r="S921" s="147"/>
      <c r="T921" s="147"/>
      <c r="U921" s="147"/>
      <c r="V921" s="147"/>
      <c r="W921" s="147"/>
      <c r="X921" s="147"/>
      <c r="Y921" s="147"/>
      <c r="Z921" s="147"/>
      <c r="AA921" s="147"/>
      <c r="AB921" s="147"/>
      <c r="AC921" s="147"/>
      <c r="AD921" s="147"/>
      <c r="AE921" s="147"/>
      <c r="AF921" s="147"/>
      <c r="AG921" s="147"/>
      <c r="AH921" s="147"/>
      <c r="AI921" s="147"/>
      <c r="AJ921" s="147"/>
      <c r="AK921" s="147"/>
      <c r="AL921" s="147"/>
    </row>
    <row r="922" ht="15.75" customHeight="1">
      <c r="A922" s="147"/>
      <c r="B922" s="147"/>
      <c r="C922" s="147"/>
      <c r="D922" s="147"/>
      <c r="E922" s="147"/>
      <c r="F922" s="147"/>
      <c r="G922" s="147"/>
      <c r="H922" s="147"/>
      <c r="I922" s="147"/>
      <c r="J922" s="147"/>
      <c r="K922" s="147"/>
      <c r="L922" s="147"/>
      <c r="M922" s="147"/>
      <c r="N922" s="147"/>
      <c r="O922" s="147"/>
      <c r="P922" s="147"/>
      <c r="Q922" s="147"/>
      <c r="R922" s="147"/>
      <c r="S922" s="147"/>
      <c r="T922" s="147"/>
      <c r="U922" s="147"/>
      <c r="V922" s="147"/>
      <c r="W922" s="147"/>
      <c r="X922" s="147"/>
      <c r="Y922" s="147"/>
      <c r="Z922" s="147"/>
      <c r="AA922" s="147"/>
      <c r="AB922" s="147"/>
      <c r="AC922" s="147"/>
      <c r="AD922" s="147"/>
      <c r="AE922" s="147"/>
      <c r="AF922" s="147"/>
      <c r="AG922" s="147"/>
      <c r="AH922" s="147"/>
      <c r="AI922" s="147"/>
      <c r="AJ922" s="147"/>
      <c r="AK922" s="147"/>
      <c r="AL922" s="147"/>
    </row>
    <row r="923" ht="15.75" customHeight="1">
      <c r="A923" s="147"/>
      <c r="B923" s="147"/>
      <c r="C923" s="147"/>
      <c r="D923" s="147"/>
      <c r="E923" s="147"/>
      <c r="F923" s="147"/>
      <c r="G923" s="147"/>
      <c r="H923" s="147"/>
      <c r="I923" s="147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  <c r="AA923" s="147"/>
      <c r="AB923" s="147"/>
      <c r="AC923" s="147"/>
      <c r="AD923" s="147"/>
      <c r="AE923" s="147"/>
      <c r="AF923" s="147"/>
      <c r="AG923" s="147"/>
      <c r="AH923" s="147"/>
      <c r="AI923" s="147"/>
      <c r="AJ923" s="147"/>
      <c r="AK923" s="147"/>
      <c r="AL923" s="147"/>
    </row>
    <row r="924" ht="15.75" customHeight="1">
      <c r="A924" s="147"/>
      <c r="B924" s="147"/>
      <c r="C924" s="147"/>
      <c r="D924" s="147"/>
      <c r="E924" s="147"/>
      <c r="F924" s="147"/>
      <c r="G924" s="147"/>
      <c r="H924" s="147"/>
      <c r="I924" s="147"/>
      <c r="J924" s="147"/>
      <c r="K924" s="147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  <c r="AA924" s="147"/>
      <c r="AB924" s="147"/>
      <c r="AC924" s="147"/>
      <c r="AD924" s="147"/>
      <c r="AE924" s="147"/>
      <c r="AF924" s="147"/>
      <c r="AG924" s="147"/>
      <c r="AH924" s="147"/>
      <c r="AI924" s="147"/>
      <c r="AJ924" s="147"/>
      <c r="AK924" s="147"/>
      <c r="AL924" s="147"/>
    </row>
    <row r="925" ht="15.75" customHeight="1">
      <c r="A925" s="147"/>
      <c r="B925" s="147"/>
      <c r="C925" s="147"/>
      <c r="D925" s="147"/>
      <c r="E925" s="147"/>
      <c r="F925" s="147"/>
      <c r="G925" s="147"/>
      <c r="H925" s="147"/>
      <c r="I925" s="147"/>
      <c r="J925" s="147"/>
      <c r="K925" s="147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  <c r="AA925" s="147"/>
      <c r="AB925" s="147"/>
      <c r="AC925" s="147"/>
      <c r="AD925" s="147"/>
      <c r="AE925" s="147"/>
      <c r="AF925" s="147"/>
      <c r="AG925" s="147"/>
      <c r="AH925" s="147"/>
      <c r="AI925" s="147"/>
      <c r="AJ925" s="147"/>
      <c r="AK925" s="147"/>
      <c r="AL925" s="147"/>
    </row>
    <row r="926" ht="15.75" customHeight="1">
      <c r="A926" s="147"/>
      <c r="B926" s="147"/>
      <c r="C926" s="147"/>
      <c r="D926" s="147"/>
      <c r="E926" s="147"/>
      <c r="F926" s="147"/>
      <c r="G926" s="147"/>
      <c r="H926" s="147"/>
      <c r="I926" s="147"/>
      <c r="J926" s="147"/>
      <c r="K926" s="147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  <c r="AA926" s="147"/>
      <c r="AB926" s="147"/>
      <c r="AC926" s="147"/>
      <c r="AD926" s="147"/>
      <c r="AE926" s="147"/>
      <c r="AF926" s="147"/>
      <c r="AG926" s="147"/>
      <c r="AH926" s="147"/>
      <c r="AI926" s="147"/>
      <c r="AJ926" s="147"/>
      <c r="AK926" s="147"/>
      <c r="AL926" s="147"/>
    </row>
    <row r="927" ht="15.75" customHeight="1">
      <c r="A927" s="147"/>
      <c r="B927" s="147"/>
      <c r="C927" s="147"/>
      <c r="D927" s="147"/>
      <c r="E927" s="147"/>
      <c r="F927" s="147"/>
      <c r="G927" s="147"/>
      <c r="H927" s="147"/>
      <c r="I927" s="147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</row>
    <row r="928" ht="15.75" customHeight="1">
      <c r="A928" s="147"/>
      <c r="B928" s="147"/>
      <c r="C928" s="147"/>
      <c r="D928" s="147"/>
      <c r="E928" s="147"/>
      <c r="F928" s="147"/>
      <c r="G928" s="147"/>
      <c r="H928" s="147"/>
      <c r="I928" s="147"/>
      <c r="J928" s="147"/>
      <c r="K928" s="147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  <c r="AA928" s="147"/>
      <c r="AB928" s="147"/>
      <c r="AC928" s="147"/>
      <c r="AD928" s="147"/>
      <c r="AE928" s="147"/>
      <c r="AF928" s="147"/>
      <c r="AG928" s="147"/>
      <c r="AH928" s="147"/>
      <c r="AI928" s="147"/>
      <c r="AJ928" s="147"/>
      <c r="AK928" s="147"/>
      <c r="AL928" s="147"/>
    </row>
    <row r="929" ht="15.75" customHeight="1">
      <c r="A929" s="147"/>
      <c r="B929" s="147"/>
      <c r="C929" s="147"/>
      <c r="D929" s="147"/>
      <c r="E929" s="147"/>
      <c r="F929" s="147"/>
      <c r="G929" s="147"/>
      <c r="H929" s="147"/>
      <c r="I929" s="147"/>
      <c r="J929" s="147"/>
      <c r="K929" s="147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  <c r="AA929" s="147"/>
      <c r="AB929" s="147"/>
      <c r="AC929" s="147"/>
      <c r="AD929" s="147"/>
      <c r="AE929" s="147"/>
      <c r="AF929" s="147"/>
      <c r="AG929" s="147"/>
      <c r="AH929" s="147"/>
      <c r="AI929" s="147"/>
      <c r="AJ929" s="147"/>
      <c r="AK929" s="147"/>
      <c r="AL929" s="147"/>
    </row>
    <row r="930" ht="15.75" customHeight="1">
      <c r="A930" s="147"/>
      <c r="B930" s="147"/>
      <c r="C930" s="147"/>
      <c r="D930" s="147"/>
      <c r="E930" s="147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/>
      <c r="AG930" s="147"/>
      <c r="AH930" s="147"/>
      <c r="AI930" s="147"/>
      <c r="AJ930" s="147"/>
      <c r="AK930" s="147"/>
      <c r="AL930" s="147"/>
    </row>
    <row r="931" ht="15.75" customHeight="1">
      <c r="A931" s="147"/>
      <c r="B931" s="147"/>
      <c r="C931" s="147"/>
      <c r="D931" s="147"/>
      <c r="E931" s="147"/>
      <c r="F931" s="147"/>
      <c r="G931" s="147"/>
      <c r="H931" s="147"/>
      <c r="I931" s="147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</row>
    <row r="932" ht="15.75" customHeight="1">
      <c r="A932" s="147"/>
      <c r="B932" s="147"/>
      <c r="C932" s="147"/>
      <c r="D932" s="147"/>
      <c r="E932" s="147"/>
      <c r="F932" s="147"/>
      <c r="G932" s="147"/>
      <c r="H932" s="147"/>
      <c r="I932" s="147"/>
      <c r="J932" s="147"/>
      <c r="K932" s="147"/>
      <c r="L932" s="147"/>
      <c r="M932" s="147"/>
      <c r="N932" s="147"/>
      <c r="O932" s="147"/>
      <c r="P932" s="147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  <c r="AA932" s="147"/>
      <c r="AB932" s="147"/>
      <c r="AC932" s="147"/>
      <c r="AD932" s="147"/>
      <c r="AE932" s="147"/>
      <c r="AF932" s="147"/>
      <c r="AG932" s="147"/>
      <c r="AH932" s="147"/>
      <c r="AI932" s="147"/>
      <c r="AJ932" s="147"/>
      <c r="AK932" s="147"/>
      <c r="AL932" s="147"/>
    </row>
    <row r="933" ht="15.75" customHeight="1">
      <c r="A933" s="147"/>
      <c r="B933" s="147"/>
      <c r="C933" s="147"/>
      <c r="D933" s="147"/>
      <c r="E933" s="147"/>
      <c r="F933" s="147"/>
      <c r="G933" s="147"/>
      <c r="H933" s="147"/>
      <c r="I933" s="147"/>
      <c r="J933" s="147"/>
      <c r="K933" s="147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  <c r="AA933" s="147"/>
      <c r="AB933" s="147"/>
      <c r="AC933" s="147"/>
      <c r="AD933" s="147"/>
      <c r="AE933" s="147"/>
      <c r="AF933" s="147"/>
      <c r="AG933" s="147"/>
      <c r="AH933" s="147"/>
      <c r="AI933" s="147"/>
      <c r="AJ933" s="147"/>
      <c r="AK933" s="147"/>
      <c r="AL933" s="147"/>
    </row>
    <row r="934" ht="15.75" customHeight="1">
      <c r="A934" s="147"/>
      <c r="B934" s="147"/>
      <c r="C934" s="147"/>
      <c r="D934" s="147"/>
      <c r="E934" s="147"/>
      <c r="F934" s="147"/>
      <c r="G934" s="147"/>
      <c r="H934" s="147"/>
      <c r="I934" s="147"/>
      <c r="J934" s="147"/>
      <c r="K934" s="147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  <c r="AA934" s="147"/>
      <c r="AB934" s="147"/>
      <c r="AC934" s="147"/>
      <c r="AD934" s="147"/>
      <c r="AE934" s="147"/>
      <c r="AF934" s="147"/>
      <c r="AG934" s="147"/>
      <c r="AH934" s="147"/>
      <c r="AI934" s="147"/>
      <c r="AJ934" s="147"/>
      <c r="AK934" s="147"/>
      <c r="AL934" s="147"/>
    </row>
    <row r="935" ht="15.75" customHeight="1">
      <c r="A935" s="147"/>
      <c r="B935" s="147"/>
      <c r="C935" s="147"/>
      <c r="D935" s="147"/>
      <c r="E935" s="147"/>
      <c r="F935" s="147"/>
      <c r="G935" s="147"/>
      <c r="H935" s="147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  <c r="AA935" s="147"/>
      <c r="AB935" s="147"/>
      <c r="AC935" s="147"/>
      <c r="AD935" s="147"/>
      <c r="AE935" s="147"/>
      <c r="AF935" s="147"/>
      <c r="AG935" s="147"/>
      <c r="AH935" s="147"/>
      <c r="AI935" s="147"/>
      <c r="AJ935" s="147"/>
      <c r="AK935" s="147"/>
      <c r="AL935" s="147"/>
    </row>
    <row r="936" ht="15.75" customHeight="1">
      <c r="A936" s="147"/>
      <c r="B936" s="147"/>
      <c r="C936" s="147"/>
      <c r="D936" s="147"/>
      <c r="E936" s="147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  <c r="AA936" s="147"/>
      <c r="AB936" s="147"/>
      <c r="AC936" s="147"/>
      <c r="AD936" s="147"/>
      <c r="AE936" s="147"/>
      <c r="AF936" s="147"/>
      <c r="AG936" s="147"/>
      <c r="AH936" s="147"/>
      <c r="AI936" s="147"/>
      <c r="AJ936" s="147"/>
      <c r="AK936" s="147"/>
      <c r="AL936" s="147"/>
    </row>
    <row r="937" ht="15.75" customHeight="1">
      <c r="A937" s="147"/>
      <c r="B937" s="147"/>
      <c r="C937" s="147"/>
      <c r="D937" s="147"/>
      <c r="E937" s="147"/>
      <c r="F937" s="147"/>
      <c r="G937" s="147"/>
      <c r="H937" s="147"/>
      <c r="I937" s="147"/>
      <c r="J937" s="147"/>
      <c r="K937" s="147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  <c r="AA937" s="147"/>
      <c r="AB937" s="147"/>
      <c r="AC937" s="147"/>
      <c r="AD937" s="147"/>
      <c r="AE937" s="147"/>
      <c r="AF937" s="147"/>
      <c r="AG937" s="147"/>
      <c r="AH937" s="147"/>
      <c r="AI937" s="147"/>
      <c r="AJ937" s="147"/>
      <c r="AK937" s="147"/>
      <c r="AL937" s="147"/>
    </row>
    <row r="938" ht="15.75" customHeight="1">
      <c r="A938" s="147"/>
      <c r="B938" s="147"/>
      <c r="C938" s="147"/>
      <c r="D938" s="147"/>
      <c r="E938" s="147"/>
      <c r="F938" s="147"/>
      <c r="G938" s="147"/>
      <c r="H938" s="147"/>
      <c r="I938" s="147"/>
      <c r="J938" s="147"/>
      <c r="K938" s="147"/>
      <c r="L938" s="147"/>
      <c r="M938" s="147"/>
      <c r="N938" s="147"/>
      <c r="O938" s="147"/>
      <c r="P938" s="147"/>
      <c r="Q938" s="147"/>
      <c r="R938" s="147"/>
      <c r="S938" s="147"/>
      <c r="T938" s="147"/>
      <c r="U938" s="147"/>
      <c r="V938" s="147"/>
      <c r="W938" s="147"/>
      <c r="X938" s="147"/>
      <c r="Y938" s="147"/>
      <c r="Z938" s="147"/>
      <c r="AA938" s="147"/>
      <c r="AB938" s="147"/>
      <c r="AC938" s="147"/>
      <c r="AD938" s="147"/>
      <c r="AE938" s="147"/>
      <c r="AF938" s="147"/>
      <c r="AG938" s="147"/>
      <c r="AH938" s="147"/>
      <c r="AI938" s="147"/>
      <c r="AJ938" s="147"/>
      <c r="AK938" s="147"/>
      <c r="AL938" s="147"/>
    </row>
    <row r="939" ht="15.75" customHeight="1">
      <c r="A939" s="147"/>
      <c r="B939" s="147"/>
      <c r="C939" s="147"/>
      <c r="D939" s="147"/>
      <c r="E939" s="147"/>
      <c r="F939" s="147"/>
      <c r="G939" s="147"/>
      <c r="H939" s="147"/>
      <c r="I939" s="147"/>
      <c r="J939" s="147"/>
      <c r="K939" s="147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147"/>
      <c r="W939" s="147"/>
      <c r="X939" s="147"/>
      <c r="Y939" s="147"/>
      <c r="Z939" s="147"/>
      <c r="AA939" s="147"/>
      <c r="AB939" s="147"/>
      <c r="AC939" s="147"/>
      <c r="AD939" s="147"/>
      <c r="AE939" s="147"/>
      <c r="AF939" s="147"/>
      <c r="AG939" s="147"/>
      <c r="AH939" s="147"/>
      <c r="AI939" s="147"/>
      <c r="AJ939" s="147"/>
      <c r="AK939" s="147"/>
      <c r="AL939" s="147"/>
    </row>
    <row r="940" ht="15.75" customHeight="1">
      <c r="A940" s="147"/>
      <c r="B940" s="147"/>
      <c r="C940" s="147"/>
      <c r="D940" s="147"/>
      <c r="E940" s="147"/>
      <c r="F940" s="147"/>
      <c r="G940" s="147"/>
      <c r="H940" s="147"/>
      <c r="I940" s="147"/>
      <c r="J940" s="147"/>
      <c r="K940" s="147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147"/>
      <c r="W940" s="147"/>
      <c r="X940" s="147"/>
      <c r="Y940" s="147"/>
      <c r="Z940" s="147"/>
      <c r="AA940" s="147"/>
      <c r="AB940" s="147"/>
      <c r="AC940" s="147"/>
      <c r="AD940" s="147"/>
      <c r="AE940" s="147"/>
      <c r="AF940" s="147"/>
      <c r="AG940" s="147"/>
      <c r="AH940" s="147"/>
      <c r="AI940" s="147"/>
      <c r="AJ940" s="147"/>
      <c r="AK940" s="147"/>
      <c r="AL940" s="147"/>
    </row>
    <row r="941" ht="15.75" customHeight="1">
      <c r="A941" s="147"/>
      <c r="B941" s="147"/>
      <c r="C941" s="147"/>
      <c r="D941" s="147"/>
      <c r="E941" s="147"/>
      <c r="F941" s="147"/>
      <c r="G941" s="147"/>
      <c r="H941" s="147"/>
      <c r="I941" s="147"/>
      <c r="J941" s="147"/>
      <c r="K941" s="147"/>
      <c r="L941" s="147"/>
      <c r="M941" s="147"/>
      <c r="N941" s="147"/>
      <c r="O941" s="147"/>
      <c r="P941" s="147"/>
      <c r="Q941" s="147"/>
      <c r="R941" s="147"/>
      <c r="S941" s="147"/>
      <c r="T941" s="147"/>
      <c r="U941" s="147"/>
      <c r="V941" s="147"/>
      <c r="W941" s="147"/>
      <c r="X941" s="147"/>
      <c r="Y941" s="147"/>
      <c r="Z941" s="147"/>
      <c r="AA941" s="147"/>
      <c r="AB941" s="147"/>
      <c r="AC941" s="147"/>
      <c r="AD941" s="147"/>
      <c r="AE941" s="147"/>
      <c r="AF941" s="147"/>
      <c r="AG941" s="147"/>
      <c r="AH941" s="147"/>
      <c r="AI941" s="147"/>
      <c r="AJ941" s="147"/>
      <c r="AK941" s="147"/>
      <c r="AL941" s="147"/>
    </row>
    <row r="942" ht="15.75" customHeight="1">
      <c r="A942" s="147"/>
      <c r="B942" s="147"/>
      <c r="C942" s="147"/>
      <c r="D942" s="147"/>
      <c r="E942" s="147"/>
      <c r="F942" s="147"/>
      <c r="G942" s="147"/>
      <c r="H942" s="147"/>
      <c r="I942" s="147"/>
      <c r="J942" s="147"/>
      <c r="K942" s="147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147"/>
      <c r="W942" s="147"/>
      <c r="X942" s="147"/>
      <c r="Y942" s="147"/>
      <c r="Z942" s="147"/>
      <c r="AA942" s="147"/>
      <c r="AB942" s="147"/>
      <c r="AC942" s="147"/>
      <c r="AD942" s="147"/>
      <c r="AE942" s="147"/>
      <c r="AF942" s="147"/>
      <c r="AG942" s="147"/>
      <c r="AH942" s="147"/>
      <c r="AI942" s="147"/>
      <c r="AJ942" s="147"/>
      <c r="AK942" s="147"/>
      <c r="AL942" s="147"/>
    </row>
    <row r="943" ht="15.75" customHeight="1">
      <c r="A943" s="147"/>
      <c r="B943" s="147"/>
      <c r="C943" s="147"/>
      <c r="D943" s="147"/>
      <c r="E943" s="147"/>
      <c r="F943" s="147"/>
      <c r="G943" s="147"/>
      <c r="H943" s="147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  <c r="AA943" s="147"/>
      <c r="AB943" s="147"/>
      <c r="AC943" s="147"/>
      <c r="AD943" s="147"/>
      <c r="AE943" s="147"/>
      <c r="AF943" s="147"/>
      <c r="AG943" s="147"/>
      <c r="AH943" s="147"/>
      <c r="AI943" s="147"/>
      <c r="AJ943" s="147"/>
      <c r="AK943" s="147"/>
      <c r="AL943" s="147"/>
    </row>
    <row r="944" ht="15.75" customHeight="1">
      <c r="A944" s="147"/>
      <c r="B944" s="147"/>
      <c r="C944" s="147"/>
      <c r="D944" s="147"/>
      <c r="E944" s="147"/>
      <c r="F944" s="147"/>
      <c r="G944" s="147"/>
      <c r="H944" s="147"/>
      <c r="I944" s="147"/>
      <c r="J944" s="147"/>
      <c r="K944" s="147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  <c r="AA944" s="147"/>
      <c r="AB944" s="147"/>
      <c r="AC944" s="147"/>
      <c r="AD944" s="147"/>
      <c r="AE944" s="147"/>
      <c r="AF944" s="147"/>
      <c r="AG944" s="147"/>
      <c r="AH944" s="147"/>
      <c r="AI944" s="147"/>
      <c r="AJ944" s="147"/>
      <c r="AK944" s="147"/>
      <c r="AL944" s="147"/>
    </row>
    <row r="945" ht="15.75" customHeight="1">
      <c r="A945" s="147"/>
      <c r="B945" s="147"/>
      <c r="C945" s="147"/>
      <c r="D945" s="147"/>
      <c r="E945" s="147"/>
      <c r="F945" s="147"/>
      <c r="G945" s="147"/>
      <c r="H945" s="147"/>
      <c r="I945" s="147"/>
      <c r="J945" s="147"/>
      <c r="K945" s="147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  <c r="AA945" s="147"/>
      <c r="AB945" s="147"/>
      <c r="AC945" s="147"/>
      <c r="AD945" s="147"/>
      <c r="AE945" s="147"/>
      <c r="AF945" s="147"/>
      <c r="AG945" s="147"/>
      <c r="AH945" s="147"/>
      <c r="AI945" s="147"/>
      <c r="AJ945" s="147"/>
      <c r="AK945" s="147"/>
      <c r="AL945" s="147"/>
    </row>
    <row r="946" ht="15.75" customHeight="1">
      <c r="A946" s="147"/>
      <c r="B946" s="147"/>
      <c r="C946" s="147"/>
      <c r="D946" s="14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  <c r="X946" s="147"/>
      <c r="Y946" s="147"/>
      <c r="Z946" s="147"/>
      <c r="AA946" s="147"/>
      <c r="AB946" s="147"/>
      <c r="AC946" s="147"/>
      <c r="AD946" s="147"/>
      <c r="AE946" s="147"/>
      <c r="AF946" s="147"/>
      <c r="AG946" s="147"/>
      <c r="AH946" s="147"/>
      <c r="AI946" s="147"/>
      <c r="AJ946" s="147"/>
      <c r="AK946" s="147"/>
      <c r="AL946" s="147"/>
    </row>
    <row r="947" ht="15.75" customHeight="1">
      <c r="A947" s="147"/>
      <c r="B947" s="147"/>
      <c r="C947" s="147"/>
      <c r="D947" s="147"/>
      <c r="E947" s="147"/>
      <c r="F947" s="147"/>
      <c r="G947" s="147"/>
      <c r="H947" s="147"/>
      <c r="I947" s="147"/>
      <c r="J947" s="147"/>
      <c r="K947" s="147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147"/>
      <c r="W947" s="147"/>
      <c r="X947" s="147"/>
      <c r="Y947" s="147"/>
      <c r="Z947" s="147"/>
      <c r="AA947" s="147"/>
      <c r="AB947" s="147"/>
      <c r="AC947" s="147"/>
      <c r="AD947" s="147"/>
      <c r="AE947" s="147"/>
      <c r="AF947" s="147"/>
      <c r="AG947" s="147"/>
      <c r="AH947" s="147"/>
      <c r="AI947" s="147"/>
      <c r="AJ947" s="147"/>
      <c r="AK947" s="147"/>
      <c r="AL947" s="147"/>
    </row>
    <row r="948" ht="15.75" customHeight="1">
      <c r="A948" s="147"/>
      <c r="B948" s="147"/>
      <c r="C948" s="147"/>
      <c r="D948" s="147"/>
      <c r="E948" s="147"/>
      <c r="F948" s="147"/>
      <c r="G948" s="147"/>
      <c r="H948" s="147"/>
      <c r="I948" s="147"/>
      <c r="J948" s="147"/>
      <c r="K948" s="147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147"/>
      <c r="W948" s="147"/>
      <c r="X948" s="147"/>
      <c r="Y948" s="147"/>
      <c r="Z948" s="147"/>
      <c r="AA948" s="147"/>
      <c r="AB948" s="147"/>
      <c r="AC948" s="147"/>
      <c r="AD948" s="147"/>
      <c r="AE948" s="147"/>
      <c r="AF948" s="147"/>
      <c r="AG948" s="147"/>
      <c r="AH948" s="147"/>
      <c r="AI948" s="147"/>
      <c r="AJ948" s="147"/>
      <c r="AK948" s="147"/>
      <c r="AL948" s="147"/>
    </row>
    <row r="949" ht="15.75" customHeight="1">
      <c r="A949" s="147"/>
      <c r="B949" s="147"/>
      <c r="C949" s="147"/>
      <c r="D949" s="147"/>
      <c r="E949" s="147"/>
      <c r="F949" s="147"/>
      <c r="G949" s="147"/>
      <c r="H949" s="147"/>
      <c r="I949" s="147"/>
      <c r="J949" s="147"/>
      <c r="K949" s="147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147"/>
      <c r="W949" s="147"/>
      <c r="X949" s="147"/>
      <c r="Y949" s="147"/>
      <c r="Z949" s="147"/>
      <c r="AA949" s="147"/>
      <c r="AB949" s="147"/>
      <c r="AC949" s="147"/>
      <c r="AD949" s="147"/>
      <c r="AE949" s="147"/>
      <c r="AF949" s="147"/>
      <c r="AG949" s="147"/>
      <c r="AH949" s="147"/>
      <c r="AI949" s="147"/>
      <c r="AJ949" s="147"/>
      <c r="AK949" s="147"/>
      <c r="AL949" s="147"/>
    </row>
    <row r="950" ht="15.75" customHeight="1">
      <c r="A950" s="147"/>
      <c r="B950" s="147"/>
      <c r="C950" s="147"/>
      <c r="D950" s="147"/>
      <c r="E950" s="147"/>
      <c r="F950" s="147"/>
      <c r="G950" s="147"/>
      <c r="H950" s="147"/>
      <c r="I950" s="147"/>
      <c r="J950" s="147"/>
      <c r="K950" s="147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  <c r="AA950" s="147"/>
      <c r="AB950" s="147"/>
      <c r="AC950" s="147"/>
      <c r="AD950" s="147"/>
      <c r="AE950" s="147"/>
      <c r="AF950" s="147"/>
      <c r="AG950" s="147"/>
      <c r="AH950" s="147"/>
      <c r="AI950" s="147"/>
      <c r="AJ950" s="147"/>
      <c r="AK950" s="147"/>
      <c r="AL950" s="147"/>
    </row>
    <row r="951" ht="15.75" customHeight="1">
      <c r="A951" s="147"/>
      <c r="B951" s="147"/>
      <c r="C951" s="147"/>
      <c r="D951" s="147"/>
      <c r="E951" s="147"/>
      <c r="F951" s="147"/>
      <c r="G951" s="147"/>
      <c r="H951" s="147"/>
      <c r="I951" s="147"/>
      <c r="J951" s="147"/>
      <c r="K951" s="147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147"/>
      <c r="W951" s="147"/>
      <c r="X951" s="147"/>
      <c r="Y951" s="147"/>
      <c r="Z951" s="147"/>
      <c r="AA951" s="147"/>
      <c r="AB951" s="147"/>
      <c r="AC951" s="147"/>
      <c r="AD951" s="147"/>
      <c r="AE951" s="147"/>
      <c r="AF951" s="147"/>
      <c r="AG951" s="147"/>
      <c r="AH951" s="147"/>
      <c r="AI951" s="147"/>
      <c r="AJ951" s="147"/>
      <c r="AK951" s="147"/>
      <c r="AL951" s="147"/>
    </row>
    <row r="952" ht="15.75" customHeight="1">
      <c r="A952" s="147"/>
      <c r="B952" s="147"/>
      <c r="C952" s="147"/>
      <c r="D952" s="147"/>
      <c r="E952" s="147"/>
      <c r="F952" s="147"/>
      <c r="G952" s="147"/>
      <c r="H952" s="147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  <c r="X952" s="147"/>
      <c r="Y952" s="147"/>
      <c r="Z952" s="147"/>
      <c r="AA952" s="147"/>
      <c r="AB952" s="147"/>
      <c r="AC952" s="147"/>
      <c r="AD952" s="147"/>
      <c r="AE952" s="147"/>
      <c r="AF952" s="147"/>
      <c r="AG952" s="147"/>
      <c r="AH952" s="147"/>
      <c r="AI952" s="147"/>
      <c r="AJ952" s="147"/>
      <c r="AK952" s="147"/>
      <c r="AL952" s="147"/>
    </row>
    <row r="953" ht="15.75" customHeight="1">
      <c r="A953" s="147"/>
      <c r="B953" s="147"/>
      <c r="C953" s="147"/>
      <c r="D953" s="147"/>
      <c r="E953" s="147"/>
      <c r="F953" s="147"/>
      <c r="G953" s="147"/>
      <c r="H953" s="147"/>
      <c r="I953" s="147"/>
      <c r="J953" s="147"/>
      <c r="K953" s="147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  <c r="AA953" s="147"/>
      <c r="AB953" s="147"/>
      <c r="AC953" s="147"/>
      <c r="AD953" s="147"/>
      <c r="AE953" s="147"/>
      <c r="AF953" s="147"/>
      <c r="AG953" s="147"/>
      <c r="AH953" s="147"/>
      <c r="AI953" s="147"/>
      <c r="AJ953" s="147"/>
      <c r="AK953" s="147"/>
      <c r="AL953" s="147"/>
    </row>
    <row r="954" ht="15.75" customHeight="1">
      <c r="A954" s="147"/>
      <c r="B954" s="147"/>
      <c r="C954" s="147"/>
      <c r="D954" s="147"/>
      <c r="E954" s="147"/>
      <c r="F954" s="147"/>
      <c r="G954" s="147"/>
      <c r="H954" s="147"/>
      <c r="I954" s="147"/>
      <c r="J954" s="147"/>
      <c r="K954" s="147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147"/>
      <c r="W954" s="147"/>
      <c r="X954" s="147"/>
      <c r="Y954" s="147"/>
      <c r="Z954" s="147"/>
      <c r="AA954" s="147"/>
      <c r="AB954" s="147"/>
      <c r="AC954" s="147"/>
      <c r="AD954" s="147"/>
      <c r="AE954" s="147"/>
      <c r="AF954" s="147"/>
      <c r="AG954" s="147"/>
      <c r="AH954" s="147"/>
      <c r="AI954" s="147"/>
      <c r="AJ954" s="147"/>
      <c r="AK954" s="147"/>
      <c r="AL954" s="147"/>
    </row>
    <row r="955" ht="15.75" customHeight="1">
      <c r="A955" s="147"/>
      <c r="B955" s="147"/>
      <c r="C955" s="147"/>
      <c r="D955" s="147"/>
      <c r="E955" s="147"/>
      <c r="F955" s="147"/>
      <c r="G955" s="147"/>
      <c r="H955" s="147"/>
      <c r="I955" s="147"/>
      <c r="J955" s="147"/>
      <c r="K955" s="147"/>
      <c r="L955" s="147"/>
      <c r="M955" s="147"/>
      <c r="N955" s="147"/>
      <c r="O955" s="147"/>
      <c r="P955" s="147"/>
      <c r="Q955" s="147"/>
      <c r="R955" s="147"/>
      <c r="S955" s="147"/>
      <c r="T955" s="147"/>
      <c r="U955" s="147"/>
      <c r="V955" s="147"/>
      <c r="W955" s="147"/>
      <c r="X955" s="147"/>
      <c r="Y955" s="147"/>
      <c r="Z955" s="147"/>
      <c r="AA955" s="147"/>
      <c r="AB955" s="147"/>
      <c r="AC955" s="147"/>
      <c r="AD955" s="147"/>
      <c r="AE955" s="147"/>
      <c r="AF955" s="147"/>
      <c r="AG955" s="147"/>
      <c r="AH955" s="147"/>
      <c r="AI955" s="147"/>
      <c r="AJ955" s="147"/>
      <c r="AK955" s="147"/>
      <c r="AL955" s="147"/>
    </row>
    <row r="956" ht="15.75" customHeight="1">
      <c r="A956" s="147"/>
      <c r="B956" s="147"/>
      <c r="C956" s="147"/>
      <c r="D956" s="147"/>
      <c r="E956" s="147"/>
      <c r="F956" s="147"/>
      <c r="G956" s="147"/>
      <c r="H956" s="147"/>
      <c r="I956" s="147"/>
      <c r="J956" s="147"/>
      <c r="K956" s="147"/>
      <c r="L956" s="147"/>
      <c r="M956" s="147"/>
      <c r="N956" s="147"/>
      <c r="O956" s="147"/>
      <c r="P956" s="147"/>
      <c r="Q956" s="147"/>
      <c r="R956" s="147"/>
      <c r="S956" s="147"/>
      <c r="T956" s="147"/>
      <c r="U956" s="147"/>
      <c r="V956" s="147"/>
      <c r="W956" s="147"/>
      <c r="X956" s="147"/>
      <c r="Y956" s="147"/>
      <c r="Z956" s="147"/>
      <c r="AA956" s="147"/>
      <c r="AB956" s="147"/>
      <c r="AC956" s="147"/>
      <c r="AD956" s="147"/>
      <c r="AE956" s="147"/>
      <c r="AF956" s="147"/>
      <c r="AG956" s="147"/>
      <c r="AH956" s="147"/>
      <c r="AI956" s="147"/>
      <c r="AJ956" s="147"/>
      <c r="AK956" s="147"/>
      <c r="AL956" s="147"/>
    </row>
    <row r="957" ht="15.75" customHeight="1">
      <c r="A957" s="147"/>
      <c r="B957" s="147"/>
      <c r="C957" s="147"/>
      <c r="D957" s="147"/>
      <c r="E957" s="147"/>
      <c r="F957" s="147"/>
      <c r="G957" s="147"/>
      <c r="H957" s="147"/>
      <c r="I957" s="147"/>
      <c r="J957" s="147"/>
      <c r="K957" s="147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147"/>
      <c r="W957" s="147"/>
      <c r="X957" s="147"/>
      <c r="Y957" s="147"/>
      <c r="Z957" s="147"/>
      <c r="AA957" s="147"/>
      <c r="AB957" s="147"/>
      <c r="AC957" s="147"/>
      <c r="AD957" s="147"/>
      <c r="AE957" s="147"/>
      <c r="AF957" s="147"/>
      <c r="AG957" s="147"/>
      <c r="AH957" s="147"/>
      <c r="AI957" s="147"/>
      <c r="AJ957" s="147"/>
      <c r="AK957" s="147"/>
      <c r="AL957" s="147"/>
    </row>
    <row r="958" ht="15.75" customHeight="1">
      <c r="A958" s="147"/>
      <c r="B958" s="147"/>
      <c r="C958" s="147"/>
      <c r="D958" s="147"/>
      <c r="E958" s="147"/>
      <c r="F958" s="147"/>
      <c r="G958" s="147"/>
      <c r="H958" s="147"/>
      <c r="I958" s="147"/>
      <c r="J958" s="147"/>
      <c r="K958" s="147"/>
      <c r="L958" s="147"/>
      <c r="M958" s="147"/>
      <c r="N958" s="147"/>
      <c r="O958" s="147"/>
      <c r="P958" s="147"/>
      <c r="Q958" s="147"/>
      <c r="R958" s="147"/>
      <c r="S958" s="147"/>
      <c r="T958" s="147"/>
      <c r="U958" s="147"/>
      <c r="V958" s="147"/>
      <c r="W958" s="147"/>
      <c r="X958" s="147"/>
      <c r="Y958" s="147"/>
      <c r="Z958" s="147"/>
      <c r="AA958" s="147"/>
      <c r="AB958" s="147"/>
      <c r="AC958" s="147"/>
      <c r="AD958" s="147"/>
      <c r="AE958" s="147"/>
      <c r="AF958" s="147"/>
      <c r="AG958" s="147"/>
      <c r="AH958" s="147"/>
      <c r="AI958" s="147"/>
      <c r="AJ958" s="147"/>
      <c r="AK958" s="147"/>
      <c r="AL958" s="147"/>
    </row>
    <row r="959" ht="15.75" customHeight="1">
      <c r="A959" s="147"/>
      <c r="B959" s="147"/>
      <c r="C959" s="147"/>
      <c r="D959" s="147"/>
      <c r="E959" s="147"/>
      <c r="F959" s="147"/>
      <c r="G959" s="147"/>
      <c r="H959" s="147"/>
      <c r="I959" s="147"/>
      <c r="J959" s="147"/>
      <c r="K959" s="147"/>
      <c r="L959" s="147"/>
      <c r="M959" s="147"/>
      <c r="N959" s="147"/>
      <c r="O959" s="147"/>
      <c r="P959" s="147"/>
      <c r="Q959" s="147"/>
      <c r="R959" s="147"/>
      <c r="S959" s="147"/>
      <c r="T959" s="147"/>
      <c r="U959" s="147"/>
      <c r="V959" s="147"/>
      <c r="W959" s="147"/>
      <c r="X959" s="147"/>
      <c r="Y959" s="147"/>
      <c r="Z959" s="147"/>
      <c r="AA959" s="147"/>
      <c r="AB959" s="147"/>
      <c r="AC959" s="147"/>
      <c r="AD959" s="147"/>
      <c r="AE959" s="147"/>
      <c r="AF959" s="147"/>
      <c r="AG959" s="147"/>
      <c r="AH959" s="147"/>
      <c r="AI959" s="147"/>
      <c r="AJ959" s="147"/>
      <c r="AK959" s="147"/>
      <c r="AL959" s="147"/>
    </row>
    <row r="960" ht="15.75" customHeight="1">
      <c r="A960" s="147"/>
      <c r="B960" s="147"/>
      <c r="C960" s="147"/>
      <c r="D960" s="147"/>
      <c r="E960" s="147"/>
      <c r="F960" s="147"/>
      <c r="G960" s="147"/>
      <c r="H960" s="147"/>
      <c r="I960" s="147"/>
      <c r="J960" s="147"/>
      <c r="K960" s="147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147"/>
      <c r="W960" s="147"/>
      <c r="X960" s="147"/>
      <c r="Y960" s="147"/>
      <c r="Z960" s="147"/>
      <c r="AA960" s="147"/>
      <c r="AB960" s="147"/>
      <c r="AC960" s="147"/>
      <c r="AD960" s="147"/>
      <c r="AE960" s="147"/>
      <c r="AF960" s="147"/>
      <c r="AG960" s="147"/>
      <c r="AH960" s="147"/>
      <c r="AI960" s="147"/>
      <c r="AJ960" s="147"/>
      <c r="AK960" s="147"/>
      <c r="AL960" s="147"/>
    </row>
    <row r="961" ht="15.75" customHeight="1">
      <c r="A961" s="147"/>
      <c r="B961" s="147"/>
      <c r="C961" s="147"/>
      <c r="D961" s="147"/>
      <c r="E961" s="147"/>
      <c r="F961" s="147"/>
      <c r="G961" s="147"/>
      <c r="H961" s="147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  <c r="AA961" s="147"/>
      <c r="AB961" s="147"/>
      <c r="AC961" s="147"/>
      <c r="AD961" s="147"/>
      <c r="AE961" s="147"/>
      <c r="AF961" s="147"/>
      <c r="AG961" s="147"/>
      <c r="AH961" s="147"/>
      <c r="AI961" s="147"/>
      <c r="AJ961" s="147"/>
      <c r="AK961" s="147"/>
      <c r="AL961" s="147"/>
    </row>
    <row r="962" ht="15.75" customHeight="1">
      <c r="A962" s="147"/>
      <c r="B962" s="147"/>
      <c r="C962" s="147"/>
      <c r="D962" s="147"/>
      <c r="E962" s="147"/>
      <c r="F962" s="147"/>
      <c r="G962" s="147"/>
      <c r="H962" s="147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  <c r="AA962" s="147"/>
      <c r="AB962" s="147"/>
      <c r="AC962" s="147"/>
      <c r="AD962" s="147"/>
      <c r="AE962" s="147"/>
      <c r="AF962" s="147"/>
      <c r="AG962" s="147"/>
      <c r="AH962" s="147"/>
      <c r="AI962" s="147"/>
      <c r="AJ962" s="147"/>
      <c r="AK962" s="147"/>
      <c r="AL962" s="147"/>
    </row>
    <row r="963" ht="15.75" customHeight="1">
      <c r="A963" s="147"/>
      <c r="B963" s="147"/>
      <c r="C963" s="147"/>
      <c r="D963" s="147"/>
      <c r="E963" s="147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  <c r="AA963" s="147"/>
      <c r="AB963" s="147"/>
      <c r="AC963" s="147"/>
      <c r="AD963" s="147"/>
      <c r="AE963" s="147"/>
      <c r="AF963" s="147"/>
      <c r="AG963" s="147"/>
      <c r="AH963" s="147"/>
      <c r="AI963" s="147"/>
      <c r="AJ963" s="147"/>
      <c r="AK963" s="147"/>
      <c r="AL963" s="147"/>
    </row>
    <row r="964" ht="15.75" customHeight="1">
      <c r="A964" s="147"/>
      <c r="B964" s="147"/>
      <c r="C964" s="147"/>
      <c r="D964" s="147"/>
      <c r="E964" s="147"/>
      <c r="F964" s="147"/>
      <c r="G964" s="147"/>
      <c r="H964" s="147"/>
      <c r="I964" s="147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  <c r="AA964" s="147"/>
      <c r="AB964" s="147"/>
      <c r="AC964" s="147"/>
      <c r="AD964" s="147"/>
      <c r="AE964" s="147"/>
      <c r="AF964" s="147"/>
      <c r="AG964" s="147"/>
      <c r="AH964" s="147"/>
      <c r="AI964" s="147"/>
      <c r="AJ964" s="147"/>
      <c r="AK964" s="147"/>
      <c r="AL964" s="147"/>
    </row>
    <row r="965" ht="15.75" customHeight="1">
      <c r="A965" s="147"/>
      <c r="B965" s="147"/>
      <c r="C965" s="147"/>
      <c r="D965" s="147"/>
      <c r="E965" s="147"/>
      <c r="F965" s="147"/>
      <c r="G965" s="147"/>
      <c r="H965" s="147"/>
      <c r="I965" s="147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  <c r="AA965" s="147"/>
      <c r="AB965" s="147"/>
      <c r="AC965" s="147"/>
      <c r="AD965" s="147"/>
      <c r="AE965" s="147"/>
      <c r="AF965" s="147"/>
      <c r="AG965" s="147"/>
      <c r="AH965" s="147"/>
      <c r="AI965" s="147"/>
      <c r="AJ965" s="147"/>
      <c r="AK965" s="147"/>
      <c r="AL965" s="147"/>
    </row>
    <row r="966" ht="15.75" customHeight="1">
      <c r="A966" s="147"/>
      <c r="B966" s="147"/>
      <c r="C966" s="147"/>
      <c r="D966" s="147"/>
      <c r="E966" s="147"/>
      <c r="F966" s="147"/>
      <c r="G966" s="147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  <c r="AD966" s="147"/>
      <c r="AE966" s="147"/>
      <c r="AF966" s="147"/>
      <c r="AG966" s="147"/>
      <c r="AH966" s="147"/>
      <c r="AI966" s="147"/>
      <c r="AJ966" s="147"/>
      <c r="AK966" s="147"/>
      <c r="AL966" s="147"/>
    </row>
    <row r="967" ht="15.75" customHeight="1">
      <c r="A967" s="147"/>
      <c r="B967" s="147"/>
      <c r="C967" s="147"/>
      <c r="D967" s="147"/>
      <c r="E967" s="147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  <c r="AD967" s="147"/>
      <c r="AE967" s="147"/>
      <c r="AF967" s="147"/>
      <c r="AG967" s="147"/>
      <c r="AH967" s="147"/>
      <c r="AI967" s="147"/>
      <c r="AJ967" s="147"/>
      <c r="AK967" s="147"/>
      <c r="AL967" s="147"/>
    </row>
    <row r="968" ht="15.75" customHeight="1">
      <c r="A968" s="147"/>
      <c r="B968" s="147"/>
      <c r="C968" s="147"/>
      <c r="D968" s="147"/>
      <c r="E968" s="147"/>
      <c r="F968" s="147"/>
      <c r="G968" s="147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  <c r="AA968" s="147"/>
      <c r="AB968" s="147"/>
      <c r="AC968" s="147"/>
      <c r="AD968" s="147"/>
      <c r="AE968" s="147"/>
      <c r="AF968" s="147"/>
      <c r="AG968" s="147"/>
      <c r="AH968" s="147"/>
      <c r="AI968" s="147"/>
      <c r="AJ968" s="147"/>
      <c r="AK968" s="147"/>
      <c r="AL968" s="147"/>
    </row>
    <row r="969" ht="15.75" customHeight="1">
      <c r="A969" s="147"/>
      <c r="B969" s="147"/>
      <c r="C969" s="147"/>
      <c r="D969" s="147"/>
      <c r="E969" s="147"/>
      <c r="F969" s="147"/>
      <c r="G969" s="147"/>
      <c r="H969" s="147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  <c r="AA969" s="147"/>
      <c r="AB969" s="147"/>
      <c r="AC969" s="147"/>
      <c r="AD969" s="147"/>
      <c r="AE969" s="147"/>
      <c r="AF969" s="147"/>
      <c r="AG969" s="147"/>
      <c r="AH969" s="147"/>
      <c r="AI969" s="147"/>
      <c r="AJ969" s="147"/>
      <c r="AK969" s="147"/>
      <c r="AL969" s="147"/>
    </row>
    <row r="970" ht="15.75" customHeight="1">
      <c r="A970" s="147"/>
      <c r="B970" s="147"/>
      <c r="C970" s="147"/>
      <c r="D970" s="147"/>
      <c r="E970" s="147"/>
      <c r="F970" s="147"/>
      <c r="G970" s="147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  <c r="AD970" s="147"/>
      <c r="AE970" s="147"/>
      <c r="AF970" s="147"/>
      <c r="AG970" s="147"/>
      <c r="AH970" s="147"/>
      <c r="AI970" s="147"/>
      <c r="AJ970" s="147"/>
      <c r="AK970" s="147"/>
      <c r="AL970" s="147"/>
    </row>
    <row r="971" ht="15.75" customHeight="1">
      <c r="A971" s="147"/>
      <c r="B971" s="147"/>
      <c r="C971" s="147"/>
      <c r="D971" s="147"/>
      <c r="E971" s="147"/>
      <c r="F971" s="147"/>
      <c r="G971" s="147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47"/>
      <c r="AF971" s="147"/>
      <c r="AG971" s="147"/>
      <c r="AH971" s="147"/>
      <c r="AI971" s="147"/>
      <c r="AJ971" s="147"/>
      <c r="AK971" s="147"/>
      <c r="AL971" s="147"/>
    </row>
    <row r="972" ht="15.75" customHeight="1">
      <c r="A972" s="147"/>
      <c r="B972" s="147"/>
      <c r="C972" s="147"/>
      <c r="D972" s="147"/>
      <c r="E972" s="147"/>
      <c r="F972" s="147"/>
      <c r="G972" s="147"/>
      <c r="H972" s="147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7"/>
      <c r="AE972" s="147"/>
      <c r="AF972" s="147"/>
      <c r="AG972" s="147"/>
      <c r="AH972" s="147"/>
      <c r="AI972" s="147"/>
      <c r="AJ972" s="147"/>
      <c r="AK972" s="147"/>
      <c r="AL972" s="147"/>
    </row>
    <row r="973" ht="15.75" customHeight="1">
      <c r="A973" s="147"/>
      <c r="B973" s="147"/>
      <c r="C973" s="147"/>
      <c r="D973" s="147"/>
      <c r="E973" s="147"/>
      <c r="F973" s="147"/>
      <c r="G973" s="147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  <c r="X973" s="147"/>
      <c r="Y973" s="147"/>
      <c r="Z973" s="147"/>
      <c r="AA973" s="147"/>
      <c r="AB973" s="147"/>
      <c r="AC973" s="147"/>
      <c r="AD973" s="147"/>
      <c r="AE973" s="147"/>
      <c r="AF973" s="147"/>
      <c r="AG973" s="147"/>
      <c r="AH973" s="147"/>
      <c r="AI973" s="147"/>
      <c r="AJ973" s="147"/>
      <c r="AK973" s="147"/>
      <c r="AL973" s="147"/>
    </row>
    <row r="974" ht="15.75" customHeight="1">
      <c r="A974" s="147"/>
      <c r="B974" s="147"/>
      <c r="C974" s="147"/>
      <c r="D974" s="147"/>
      <c r="E974" s="147"/>
      <c r="F974" s="147"/>
      <c r="G974" s="147"/>
      <c r="H974" s="147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  <c r="AD974" s="147"/>
      <c r="AE974" s="147"/>
      <c r="AF974" s="147"/>
      <c r="AG974" s="147"/>
      <c r="AH974" s="147"/>
      <c r="AI974" s="147"/>
      <c r="AJ974" s="147"/>
      <c r="AK974" s="147"/>
      <c r="AL974" s="147"/>
    </row>
    <row r="975" ht="15.75" customHeight="1">
      <c r="A975" s="147"/>
      <c r="B975" s="147"/>
      <c r="C975" s="147"/>
      <c r="D975" s="147"/>
      <c r="E975" s="147"/>
      <c r="F975" s="147"/>
      <c r="G975" s="147"/>
      <c r="H975" s="147"/>
      <c r="I975" s="147"/>
      <c r="J975" s="147"/>
      <c r="K975" s="147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147"/>
      <c r="W975" s="147"/>
      <c r="X975" s="147"/>
      <c r="Y975" s="147"/>
      <c r="Z975" s="147"/>
      <c r="AA975" s="147"/>
      <c r="AB975" s="147"/>
      <c r="AC975" s="147"/>
      <c r="AD975" s="147"/>
      <c r="AE975" s="147"/>
      <c r="AF975" s="147"/>
      <c r="AG975" s="147"/>
      <c r="AH975" s="147"/>
      <c r="AI975" s="147"/>
      <c r="AJ975" s="147"/>
      <c r="AK975" s="147"/>
      <c r="AL975" s="147"/>
    </row>
    <row r="976" ht="15.75" customHeight="1">
      <c r="A976" s="147"/>
      <c r="B976" s="147"/>
      <c r="C976" s="147"/>
      <c r="D976" s="147"/>
      <c r="E976" s="147"/>
      <c r="F976" s="147"/>
      <c r="G976" s="147"/>
      <c r="H976" s="147"/>
      <c r="I976" s="147"/>
      <c r="J976" s="147"/>
      <c r="K976" s="147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147"/>
      <c r="W976" s="147"/>
      <c r="X976" s="147"/>
      <c r="Y976" s="147"/>
      <c r="Z976" s="147"/>
      <c r="AA976" s="147"/>
      <c r="AB976" s="147"/>
      <c r="AC976" s="147"/>
      <c r="AD976" s="147"/>
      <c r="AE976" s="147"/>
      <c r="AF976" s="147"/>
      <c r="AG976" s="147"/>
      <c r="AH976" s="147"/>
      <c r="AI976" s="147"/>
      <c r="AJ976" s="147"/>
      <c r="AK976" s="147"/>
      <c r="AL976" s="147"/>
    </row>
    <row r="977" ht="15.75" customHeight="1">
      <c r="A977" s="147"/>
      <c r="B977" s="147"/>
      <c r="C977" s="147"/>
      <c r="D977" s="147"/>
      <c r="E977" s="147"/>
      <c r="F977" s="147"/>
      <c r="G977" s="147"/>
      <c r="H977" s="147"/>
      <c r="I977" s="147"/>
      <c r="J977" s="147"/>
      <c r="K977" s="147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147"/>
      <c r="W977" s="147"/>
      <c r="X977" s="147"/>
      <c r="Y977" s="147"/>
      <c r="Z977" s="147"/>
      <c r="AA977" s="147"/>
      <c r="AB977" s="147"/>
      <c r="AC977" s="147"/>
      <c r="AD977" s="147"/>
      <c r="AE977" s="147"/>
      <c r="AF977" s="147"/>
      <c r="AG977" s="147"/>
      <c r="AH977" s="147"/>
      <c r="AI977" s="147"/>
      <c r="AJ977" s="147"/>
      <c r="AK977" s="147"/>
      <c r="AL977" s="147"/>
    </row>
    <row r="978" ht="15.75" customHeight="1">
      <c r="A978" s="147"/>
      <c r="B978" s="147"/>
      <c r="C978" s="147"/>
      <c r="D978" s="147"/>
      <c r="E978" s="147"/>
      <c r="F978" s="147"/>
      <c r="G978" s="147"/>
      <c r="H978" s="147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  <c r="AD978" s="147"/>
      <c r="AE978" s="147"/>
      <c r="AF978" s="147"/>
      <c r="AG978" s="147"/>
      <c r="AH978" s="147"/>
      <c r="AI978" s="147"/>
      <c r="AJ978" s="147"/>
      <c r="AK978" s="147"/>
      <c r="AL978" s="147"/>
    </row>
    <row r="979" ht="15.75" customHeight="1">
      <c r="A979" s="147"/>
      <c r="B979" s="147"/>
      <c r="C979" s="147"/>
      <c r="D979" s="147"/>
      <c r="E979" s="147"/>
      <c r="F979" s="147"/>
      <c r="G979" s="147"/>
      <c r="H979" s="147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/>
      <c r="AG979" s="147"/>
      <c r="AH979" s="147"/>
      <c r="AI979" s="147"/>
      <c r="AJ979" s="147"/>
      <c r="AK979" s="147"/>
      <c r="AL979" s="147"/>
    </row>
    <row r="980" ht="15.75" customHeight="1">
      <c r="A980" s="147"/>
      <c r="B980" s="147"/>
      <c r="C980" s="147"/>
      <c r="D980" s="147"/>
      <c r="E980" s="147"/>
      <c r="F980" s="147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7"/>
      <c r="AE980" s="147"/>
      <c r="AF980" s="147"/>
      <c r="AG980" s="147"/>
      <c r="AH980" s="147"/>
      <c r="AI980" s="147"/>
      <c r="AJ980" s="147"/>
      <c r="AK980" s="147"/>
      <c r="AL980" s="147"/>
    </row>
    <row r="981" ht="15.75" customHeight="1">
      <c r="A981" s="147"/>
      <c r="B981" s="147"/>
      <c r="C981" s="147"/>
      <c r="D981" s="147"/>
      <c r="E981" s="147"/>
      <c r="F981" s="147"/>
      <c r="G981" s="147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  <c r="AD981" s="147"/>
      <c r="AE981" s="147"/>
      <c r="AF981" s="147"/>
      <c r="AG981" s="147"/>
      <c r="AH981" s="147"/>
      <c r="AI981" s="147"/>
      <c r="AJ981" s="147"/>
      <c r="AK981" s="147"/>
      <c r="AL981" s="147"/>
    </row>
    <row r="982" ht="15.75" customHeight="1">
      <c r="A982" s="147"/>
      <c r="B982" s="147"/>
      <c r="C982" s="147"/>
      <c r="D982" s="147"/>
      <c r="E982" s="147"/>
      <c r="F982" s="147"/>
      <c r="G982" s="147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  <c r="AA982" s="147"/>
      <c r="AB982" s="147"/>
      <c r="AC982" s="147"/>
      <c r="AD982" s="147"/>
      <c r="AE982" s="147"/>
      <c r="AF982" s="147"/>
      <c r="AG982" s="147"/>
      <c r="AH982" s="147"/>
      <c r="AI982" s="147"/>
      <c r="AJ982" s="147"/>
      <c r="AK982" s="147"/>
      <c r="AL982" s="147"/>
    </row>
    <row r="983" ht="15.75" customHeight="1">
      <c r="A983" s="147"/>
      <c r="B983" s="147"/>
      <c r="C983" s="147"/>
      <c r="D983" s="147"/>
      <c r="E983" s="147"/>
      <c r="F983" s="147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147"/>
      <c r="W983" s="147"/>
      <c r="X983" s="147"/>
      <c r="Y983" s="147"/>
      <c r="Z983" s="147"/>
      <c r="AA983" s="147"/>
      <c r="AB983" s="147"/>
      <c r="AC983" s="147"/>
      <c r="AD983" s="147"/>
      <c r="AE983" s="147"/>
      <c r="AF983" s="147"/>
      <c r="AG983" s="147"/>
      <c r="AH983" s="147"/>
      <c r="AI983" s="147"/>
      <c r="AJ983" s="147"/>
      <c r="AK983" s="147"/>
      <c r="AL983" s="147"/>
    </row>
    <row r="984" ht="15.75" customHeight="1">
      <c r="A984" s="147"/>
      <c r="B984" s="147"/>
      <c r="C984" s="147"/>
      <c r="D984" s="147"/>
      <c r="E984" s="147"/>
      <c r="F984" s="147"/>
      <c r="G984" s="147"/>
      <c r="H984" s="147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  <c r="AA984" s="147"/>
      <c r="AB984" s="147"/>
      <c r="AC984" s="147"/>
      <c r="AD984" s="147"/>
      <c r="AE984" s="147"/>
      <c r="AF984" s="147"/>
      <c r="AG984" s="147"/>
      <c r="AH984" s="147"/>
      <c r="AI984" s="147"/>
      <c r="AJ984" s="147"/>
      <c r="AK984" s="147"/>
      <c r="AL984" s="147"/>
    </row>
    <row r="985" ht="15.75" customHeight="1">
      <c r="A985" s="147"/>
      <c r="B985" s="147"/>
      <c r="C985" s="147"/>
      <c r="D985" s="147"/>
      <c r="E985" s="147"/>
      <c r="F985" s="147"/>
      <c r="G985" s="147"/>
      <c r="H985" s="147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  <c r="AA985" s="147"/>
      <c r="AB985" s="147"/>
      <c r="AC985" s="147"/>
      <c r="AD985" s="147"/>
      <c r="AE985" s="147"/>
      <c r="AF985" s="147"/>
      <c r="AG985" s="147"/>
      <c r="AH985" s="147"/>
      <c r="AI985" s="147"/>
      <c r="AJ985" s="147"/>
      <c r="AK985" s="147"/>
      <c r="AL985" s="147"/>
    </row>
    <row r="986" ht="15.75" customHeight="1">
      <c r="A986" s="147"/>
      <c r="B986" s="147"/>
      <c r="C986" s="147"/>
      <c r="D986" s="147"/>
      <c r="E986" s="147"/>
      <c r="F986" s="147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  <c r="AA986" s="147"/>
      <c r="AB986" s="147"/>
      <c r="AC986" s="147"/>
      <c r="AD986" s="147"/>
      <c r="AE986" s="147"/>
      <c r="AF986" s="147"/>
      <c r="AG986" s="147"/>
      <c r="AH986" s="147"/>
      <c r="AI986" s="147"/>
      <c r="AJ986" s="147"/>
      <c r="AK986" s="147"/>
      <c r="AL986" s="147"/>
    </row>
    <row r="987" ht="15.75" customHeight="1">
      <c r="A987" s="147"/>
      <c r="B987" s="147"/>
      <c r="C987" s="147"/>
      <c r="D987" s="147"/>
      <c r="E987" s="147"/>
      <c r="F987" s="147"/>
      <c r="G987" s="147"/>
      <c r="H987" s="147"/>
      <c r="I987" s="147"/>
      <c r="J987" s="147"/>
      <c r="K987" s="147"/>
      <c r="L987" s="147"/>
      <c r="M987" s="147"/>
      <c r="N987" s="147"/>
      <c r="O987" s="147"/>
      <c r="P987" s="147"/>
      <c r="Q987" s="147"/>
      <c r="R987" s="147"/>
      <c r="S987" s="147"/>
      <c r="T987" s="147"/>
      <c r="U987" s="147"/>
      <c r="V987" s="147"/>
      <c r="W987" s="147"/>
      <c r="X987" s="147"/>
      <c r="Y987" s="147"/>
      <c r="Z987" s="147"/>
      <c r="AA987" s="147"/>
      <c r="AB987" s="147"/>
      <c r="AC987" s="147"/>
      <c r="AD987" s="147"/>
      <c r="AE987" s="147"/>
      <c r="AF987" s="147"/>
      <c r="AG987" s="147"/>
      <c r="AH987" s="147"/>
      <c r="AI987" s="147"/>
      <c r="AJ987" s="147"/>
      <c r="AK987" s="147"/>
      <c r="AL987" s="147"/>
    </row>
    <row r="988" ht="15.75" customHeight="1">
      <c r="A988" s="147"/>
      <c r="B988" s="147"/>
      <c r="C988" s="147"/>
      <c r="D988" s="147"/>
      <c r="E988" s="147"/>
      <c r="F988" s="147"/>
      <c r="G988" s="147"/>
      <c r="H988" s="147"/>
      <c r="I988" s="147"/>
      <c r="J988" s="147"/>
      <c r="K988" s="147"/>
      <c r="L988" s="147"/>
      <c r="M988" s="147"/>
      <c r="N988" s="147"/>
      <c r="O988" s="147"/>
      <c r="P988" s="147"/>
      <c r="Q988" s="147"/>
      <c r="R988" s="147"/>
      <c r="S988" s="147"/>
      <c r="T988" s="147"/>
      <c r="U988" s="147"/>
      <c r="V988" s="147"/>
      <c r="W988" s="147"/>
      <c r="X988" s="147"/>
      <c r="Y988" s="147"/>
      <c r="Z988" s="147"/>
      <c r="AA988" s="147"/>
      <c r="AB988" s="147"/>
      <c r="AC988" s="147"/>
      <c r="AD988" s="147"/>
      <c r="AE988" s="147"/>
      <c r="AF988" s="147"/>
      <c r="AG988" s="147"/>
      <c r="AH988" s="147"/>
      <c r="AI988" s="147"/>
      <c r="AJ988" s="147"/>
      <c r="AK988" s="147"/>
      <c r="AL988" s="147"/>
    </row>
    <row r="989" ht="15.75" customHeight="1">
      <c r="A989" s="147"/>
      <c r="B989" s="147"/>
      <c r="C989" s="147"/>
      <c r="D989" s="147"/>
      <c r="E989" s="147"/>
      <c r="F989" s="147"/>
      <c r="G989" s="147"/>
      <c r="H989" s="147"/>
      <c r="I989" s="147"/>
      <c r="J989" s="147"/>
      <c r="K989" s="147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147"/>
      <c r="W989" s="147"/>
      <c r="X989" s="147"/>
      <c r="Y989" s="147"/>
      <c r="Z989" s="147"/>
      <c r="AA989" s="147"/>
      <c r="AB989" s="147"/>
      <c r="AC989" s="147"/>
      <c r="AD989" s="147"/>
      <c r="AE989" s="147"/>
      <c r="AF989" s="147"/>
      <c r="AG989" s="147"/>
      <c r="AH989" s="147"/>
      <c r="AI989" s="147"/>
      <c r="AJ989" s="147"/>
      <c r="AK989" s="147"/>
      <c r="AL989" s="147"/>
    </row>
    <row r="990" ht="15.75" customHeight="1">
      <c r="A990" s="147"/>
      <c r="B990" s="147"/>
      <c r="C990" s="147"/>
      <c r="D990" s="147"/>
      <c r="E990" s="147"/>
      <c r="F990" s="147"/>
      <c r="G990" s="147"/>
      <c r="H990" s="147"/>
      <c r="I990" s="147"/>
      <c r="J990" s="147"/>
      <c r="K990" s="147"/>
      <c r="L990" s="147"/>
      <c r="M990" s="147"/>
      <c r="N990" s="147"/>
      <c r="O990" s="147"/>
      <c r="P990" s="147"/>
      <c r="Q990" s="147"/>
      <c r="R990" s="147"/>
      <c r="S990" s="147"/>
      <c r="T990" s="147"/>
      <c r="U990" s="147"/>
      <c r="V990" s="147"/>
      <c r="W990" s="147"/>
      <c r="X990" s="147"/>
      <c r="Y990" s="147"/>
      <c r="Z990" s="147"/>
      <c r="AA990" s="147"/>
      <c r="AB990" s="147"/>
      <c r="AC990" s="147"/>
      <c r="AD990" s="147"/>
      <c r="AE990" s="147"/>
      <c r="AF990" s="147"/>
      <c r="AG990" s="147"/>
      <c r="AH990" s="147"/>
      <c r="AI990" s="147"/>
      <c r="AJ990" s="147"/>
      <c r="AK990" s="147"/>
      <c r="AL990" s="147"/>
    </row>
    <row r="991" ht="15.75" customHeight="1">
      <c r="A991" s="147"/>
      <c r="B991" s="147"/>
      <c r="C991" s="147"/>
      <c r="D991" s="147"/>
      <c r="E991" s="147"/>
      <c r="F991" s="147"/>
      <c r="G991" s="147"/>
      <c r="H991" s="147"/>
      <c r="I991" s="147"/>
      <c r="J991" s="147"/>
      <c r="K991" s="147"/>
      <c r="L991" s="147"/>
      <c r="M991" s="147"/>
      <c r="N991" s="147"/>
      <c r="O991" s="147"/>
      <c r="P991" s="147"/>
      <c r="Q991" s="147"/>
      <c r="R991" s="147"/>
      <c r="S991" s="147"/>
      <c r="T991" s="147"/>
      <c r="U991" s="147"/>
      <c r="V991" s="147"/>
      <c r="W991" s="147"/>
      <c r="X991" s="147"/>
      <c r="Y991" s="147"/>
      <c r="Z991" s="147"/>
      <c r="AA991" s="147"/>
      <c r="AB991" s="147"/>
      <c r="AC991" s="147"/>
      <c r="AD991" s="147"/>
      <c r="AE991" s="147"/>
      <c r="AF991" s="147"/>
      <c r="AG991" s="147"/>
      <c r="AH991" s="147"/>
      <c r="AI991" s="147"/>
      <c r="AJ991" s="147"/>
      <c r="AK991" s="147"/>
      <c r="AL991" s="147"/>
    </row>
    <row r="992" ht="15.75" customHeight="1">
      <c r="A992" s="147"/>
      <c r="B992" s="147"/>
      <c r="C992" s="147"/>
      <c r="D992" s="147"/>
      <c r="E992" s="147"/>
      <c r="F992" s="147"/>
      <c r="G992" s="147"/>
      <c r="H992" s="147"/>
      <c r="I992" s="147"/>
      <c r="J992" s="147"/>
      <c r="K992" s="147"/>
      <c r="L992" s="147"/>
      <c r="M992" s="147"/>
      <c r="N992" s="147"/>
      <c r="O992" s="147"/>
      <c r="P992" s="147"/>
      <c r="Q992" s="147"/>
      <c r="R992" s="147"/>
      <c r="S992" s="147"/>
      <c r="T992" s="147"/>
      <c r="U992" s="147"/>
      <c r="V992" s="147"/>
      <c r="W992" s="147"/>
      <c r="X992" s="147"/>
      <c r="Y992" s="147"/>
      <c r="Z992" s="147"/>
      <c r="AA992" s="147"/>
      <c r="AB992" s="147"/>
      <c r="AC992" s="147"/>
      <c r="AD992" s="147"/>
      <c r="AE992" s="147"/>
      <c r="AF992" s="147"/>
      <c r="AG992" s="147"/>
      <c r="AH992" s="147"/>
      <c r="AI992" s="147"/>
      <c r="AJ992" s="147"/>
      <c r="AK992" s="147"/>
      <c r="AL992" s="147"/>
    </row>
    <row r="993" ht="15.75" customHeight="1">
      <c r="A993" s="147"/>
      <c r="B993" s="147"/>
      <c r="C993" s="147"/>
      <c r="D993" s="147"/>
      <c r="E993" s="147"/>
      <c r="F993" s="147"/>
      <c r="G993" s="147"/>
      <c r="H993" s="147"/>
      <c r="I993" s="147"/>
      <c r="J993" s="147"/>
      <c r="K993" s="147"/>
      <c r="L993" s="147"/>
      <c r="M993" s="147"/>
      <c r="N993" s="147"/>
      <c r="O993" s="147"/>
      <c r="P993" s="147"/>
      <c r="Q993" s="147"/>
      <c r="R993" s="147"/>
      <c r="S993" s="147"/>
      <c r="T993" s="147"/>
      <c r="U993" s="147"/>
      <c r="V993" s="147"/>
      <c r="W993" s="147"/>
      <c r="X993" s="147"/>
      <c r="Y993" s="147"/>
      <c r="Z993" s="147"/>
      <c r="AA993" s="147"/>
      <c r="AB993" s="147"/>
      <c r="AC993" s="147"/>
      <c r="AD993" s="147"/>
      <c r="AE993" s="147"/>
      <c r="AF993" s="147"/>
      <c r="AG993" s="147"/>
      <c r="AH993" s="147"/>
      <c r="AI993" s="147"/>
      <c r="AJ993" s="147"/>
      <c r="AK993" s="147"/>
      <c r="AL993" s="147"/>
    </row>
    <row r="994" ht="15.75" customHeight="1">
      <c r="A994" s="147"/>
      <c r="B994" s="147"/>
      <c r="C994" s="147"/>
      <c r="D994" s="147"/>
      <c r="E994" s="147"/>
      <c r="F994" s="147"/>
      <c r="G994" s="147"/>
      <c r="H994" s="147"/>
      <c r="I994" s="147"/>
      <c r="J994" s="147"/>
      <c r="K994" s="147"/>
      <c r="L994" s="147"/>
      <c r="M994" s="147"/>
      <c r="N994" s="147"/>
      <c r="O994" s="147"/>
      <c r="P994" s="147"/>
      <c r="Q994" s="147"/>
      <c r="R994" s="147"/>
      <c r="S994" s="147"/>
      <c r="T994" s="147"/>
      <c r="U994" s="147"/>
      <c r="V994" s="147"/>
      <c r="W994" s="147"/>
      <c r="X994" s="147"/>
      <c r="Y994" s="147"/>
      <c r="Z994" s="147"/>
      <c r="AA994" s="147"/>
      <c r="AB994" s="147"/>
      <c r="AC994" s="147"/>
      <c r="AD994" s="147"/>
      <c r="AE994" s="147"/>
      <c r="AF994" s="147"/>
      <c r="AG994" s="147"/>
      <c r="AH994" s="147"/>
      <c r="AI994" s="147"/>
      <c r="AJ994" s="147"/>
      <c r="AK994" s="147"/>
      <c r="AL994" s="147"/>
    </row>
    <row r="995" ht="15.75" customHeight="1">
      <c r="A995" s="147"/>
      <c r="B995" s="147"/>
      <c r="C995" s="147"/>
      <c r="D995" s="147"/>
      <c r="E995" s="147"/>
      <c r="F995" s="147"/>
      <c r="G995" s="147"/>
      <c r="H995" s="147"/>
      <c r="I995" s="147"/>
      <c r="J995" s="147"/>
      <c r="K995" s="147"/>
      <c r="L995" s="147"/>
      <c r="M995" s="147"/>
      <c r="N995" s="147"/>
      <c r="O995" s="147"/>
      <c r="P995" s="147"/>
      <c r="Q995" s="147"/>
      <c r="R995" s="147"/>
      <c r="S995" s="147"/>
      <c r="T995" s="147"/>
      <c r="U995" s="147"/>
      <c r="V995" s="147"/>
      <c r="W995" s="147"/>
      <c r="X995" s="147"/>
      <c r="Y995" s="147"/>
      <c r="Z995" s="147"/>
      <c r="AA995" s="147"/>
      <c r="AB995" s="147"/>
      <c r="AC995" s="147"/>
      <c r="AD995" s="147"/>
      <c r="AE995" s="147"/>
      <c r="AF995" s="147"/>
      <c r="AG995" s="147"/>
      <c r="AH995" s="147"/>
      <c r="AI995" s="147"/>
      <c r="AJ995" s="147"/>
      <c r="AK995" s="147"/>
      <c r="AL995" s="147"/>
    </row>
    <row r="996" ht="15.75" customHeight="1">
      <c r="A996" s="147"/>
      <c r="B996" s="147"/>
      <c r="C996" s="147"/>
      <c r="D996" s="147"/>
      <c r="E996" s="147"/>
      <c r="F996" s="147"/>
      <c r="G996" s="147"/>
      <c r="H996" s="147"/>
      <c r="I996" s="147"/>
      <c r="J996" s="147"/>
      <c r="K996" s="147"/>
      <c r="L996" s="147"/>
      <c r="M996" s="147"/>
      <c r="N996" s="147"/>
      <c r="O996" s="147"/>
      <c r="P996" s="147"/>
      <c r="Q996" s="147"/>
      <c r="R996" s="147"/>
      <c r="S996" s="147"/>
      <c r="T996" s="147"/>
      <c r="U996" s="147"/>
      <c r="V996" s="147"/>
      <c r="W996" s="147"/>
      <c r="X996" s="147"/>
      <c r="Y996" s="147"/>
      <c r="Z996" s="147"/>
      <c r="AA996" s="147"/>
      <c r="AB996" s="147"/>
      <c r="AC996" s="147"/>
      <c r="AD996" s="147"/>
      <c r="AE996" s="147"/>
      <c r="AF996" s="147"/>
      <c r="AG996" s="147"/>
      <c r="AH996" s="147"/>
      <c r="AI996" s="147"/>
      <c r="AJ996" s="147"/>
      <c r="AK996" s="147"/>
      <c r="AL996" s="147"/>
    </row>
    <row r="997" ht="15.75" customHeight="1">
      <c r="A997" s="147"/>
      <c r="B997" s="147"/>
      <c r="C997" s="147"/>
      <c r="D997" s="147"/>
      <c r="E997" s="147"/>
      <c r="F997" s="147"/>
      <c r="G997" s="147"/>
      <c r="H997" s="147"/>
      <c r="I997" s="147"/>
      <c r="J997" s="147"/>
      <c r="K997" s="147"/>
      <c r="L997" s="147"/>
      <c r="M997" s="147"/>
      <c r="N997" s="147"/>
      <c r="O997" s="147"/>
      <c r="P997" s="147"/>
      <c r="Q997" s="147"/>
      <c r="R997" s="147"/>
      <c r="S997" s="147"/>
      <c r="T997" s="147"/>
      <c r="U997" s="147"/>
      <c r="V997" s="147"/>
      <c r="W997" s="147"/>
      <c r="X997" s="147"/>
      <c r="Y997" s="147"/>
      <c r="Z997" s="147"/>
      <c r="AA997" s="147"/>
      <c r="AB997" s="147"/>
      <c r="AC997" s="147"/>
      <c r="AD997" s="147"/>
      <c r="AE997" s="147"/>
      <c r="AF997" s="147"/>
      <c r="AG997" s="147"/>
      <c r="AH997" s="147"/>
      <c r="AI997" s="147"/>
      <c r="AJ997" s="147"/>
      <c r="AK997" s="147"/>
      <c r="AL997" s="147"/>
    </row>
    <row r="998" ht="15.75" customHeight="1">
      <c r="A998" s="147"/>
      <c r="B998" s="147"/>
      <c r="C998" s="147"/>
      <c r="D998" s="147"/>
      <c r="E998" s="147"/>
      <c r="F998" s="147"/>
      <c r="G998" s="147"/>
      <c r="H998" s="147"/>
      <c r="I998" s="147"/>
      <c r="J998" s="147"/>
      <c r="K998" s="147"/>
      <c r="L998" s="147"/>
      <c r="M998" s="147"/>
      <c r="N998" s="147"/>
      <c r="O998" s="147"/>
      <c r="P998" s="147"/>
      <c r="Q998" s="147"/>
      <c r="R998" s="147"/>
      <c r="S998" s="147"/>
      <c r="T998" s="147"/>
      <c r="U998" s="147"/>
      <c r="V998" s="147"/>
      <c r="W998" s="147"/>
      <c r="X998" s="147"/>
      <c r="Y998" s="147"/>
      <c r="Z998" s="147"/>
      <c r="AA998" s="147"/>
      <c r="AB998" s="147"/>
      <c r="AC998" s="147"/>
      <c r="AD998" s="147"/>
      <c r="AE998" s="147"/>
      <c r="AF998" s="147"/>
      <c r="AG998" s="147"/>
      <c r="AH998" s="147"/>
      <c r="AI998" s="147"/>
      <c r="AJ998" s="147"/>
      <c r="AK998" s="147"/>
      <c r="AL998" s="147"/>
    </row>
    <row r="999" ht="15.75" customHeight="1">
      <c r="A999" s="147"/>
      <c r="B999" s="147"/>
      <c r="C999" s="147"/>
      <c r="D999" s="147"/>
      <c r="E999" s="147"/>
      <c r="F999" s="147"/>
      <c r="G999" s="147"/>
      <c r="H999" s="147"/>
      <c r="I999" s="147"/>
      <c r="J999" s="147"/>
      <c r="K999" s="147"/>
      <c r="L999" s="147"/>
      <c r="M999" s="147"/>
      <c r="N999" s="147"/>
      <c r="O999" s="147"/>
      <c r="P999" s="147"/>
      <c r="Q999" s="147"/>
      <c r="R999" s="147"/>
      <c r="S999" s="147"/>
      <c r="T999" s="147"/>
      <c r="U999" s="147"/>
      <c r="V999" s="147"/>
      <c r="W999" s="147"/>
      <c r="X999" s="147"/>
      <c r="Y999" s="147"/>
      <c r="Z999" s="147"/>
      <c r="AA999" s="147"/>
      <c r="AB999" s="147"/>
      <c r="AC999" s="147"/>
      <c r="AD999" s="147"/>
      <c r="AE999" s="147"/>
      <c r="AF999" s="147"/>
      <c r="AG999" s="147"/>
      <c r="AH999" s="147"/>
      <c r="AI999" s="147"/>
      <c r="AJ999" s="147"/>
      <c r="AK999" s="147"/>
      <c r="AL999" s="147"/>
    </row>
    <row r="1000" ht="15.75" customHeight="1">
      <c r="A1000" s="147"/>
      <c r="B1000" s="147"/>
      <c r="C1000" s="147"/>
      <c r="D1000" s="147"/>
      <c r="E1000" s="147"/>
      <c r="F1000" s="147"/>
      <c r="G1000" s="147"/>
      <c r="H1000" s="147"/>
      <c r="I1000" s="147"/>
      <c r="J1000" s="147"/>
      <c r="K1000" s="147"/>
      <c r="L1000" s="147"/>
      <c r="M1000" s="147"/>
      <c r="N1000" s="147"/>
      <c r="O1000" s="147"/>
      <c r="P1000" s="147"/>
      <c r="Q1000" s="147"/>
      <c r="R1000" s="147"/>
      <c r="S1000" s="147"/>
      <c r="T1000" s="147"/>
      <c r="U1000" s="147"/>
      <c r="V1000" s="147"/>
      <c r="W1000" s="147"/>
      <c r="X1000" s="147"/>
      <c r="Y1000" s="147"/>
      <c r="Z1000" s="147"/>
      <c r="AA1000" s="147"/>
      <c r="AB1000" s="147"/>
      <c r="AC1000" s="147"/>
      <c r="AD1000" s="147"/>
      <c r="AE1000" s="147"/>
      <c r="AF1000" s="147"/>
      <c r="AG1000" s="147"/>
      <c r="AH1000" s="147"/>
      <c r="AI1000" s="147"/>
      <c r="AJ1000" s="147"/>
      <c r="AK1000" s="147"/>
      <c r="AL1000" s="147"/>
    </row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3.38"/>
    <col customWidth="1" min="2" max="2" width="60.0"/>
    <col customWidth="1" min="3" max="16" width="16.38"/>
    <col customWidth="1" min="17" max="18" width="14.25"/>
    <col customWidth="1" min="19" max="19" width="16.38"/>
    <col customWidth="1" min="20" max="20" width="18.88"/>
  </cols>
  <sheetData>
    <row r="1" ht="12.0" customHeight="1">
      <c r="A1" s="1" t="s">
        <v>0</v>
      </c>
      <c r="B1" s="1"/>
      <c r="C1" s="1"/>
      <c r="D1" s="1"/>
      <c r="E1" s="2"/>
      <c r="F1" s="2"/>
      <c r="G1" s="2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ht="12.0" customHeight="1">
      <c r="A2" s="4" t="s">
        <v>1</v>
      </c>
      <c r="B2" s="5"/>
      <c r="C2" s="4"/>
      <c r="D2" s="4"/>
      <c r="E2" s="5"/>
      <c r="F2" s="5"/>
      <c r="G2" s="5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ht="12.0" customHeight="1">
      <c r="A3" s="5"/>
      <c r="B3" s="4"/>
      <c r="C3" s="5"/>
      <c r="D3" s="5"/>
      <c r="E3" s="4"/>
      <c r="F3" s="4"/>
      <c r="G3" s="148"/>
      <c r="H3" s="50"/>
      <c r="I3" s="50"/>
      <c r="J3" s="50"/>
      <c r="K3" s="50"/>
      <c r="L3" s="6"/>
      <c r="M3" s="6"/>
      <c r="N3" s="6"/>
      <c r="O3" s="6"/>
      <c r="P3" s="50"/>
      <c r="Q3" s="50"/>
      <c r="R3" s="50"/>
      <c r="S3" s="50"/>
    </row>
    <row r="4" ht="12.0" customHeight="1">
      <c r="A4" s="5"/>
      <c r="B4" s="5"/>
      <c r="C4" s="149">
        <v>43830.0</v>
      </c>
      <c r="D4" s="149">
        <v>44196.0</v>
      </c>
      <c r="E4" s="149">
        <v>44286.0</v>
      </c>
      <c r="F4" s="149">
        <v>44377.0</v>
      </c>
      <c r="G4" s="149">
        <v>44469.0</v>
      </c>
      <c r="H4" s="149">
        <v>44561.0</v>
      </c>
      <c r="I4" s="149">
        <v>44651.0</v>
      </c>
      <c r="J4" s="149">
        <v>44742.0</v>
      </c>
      <c r="K4" s="149">
        <v>44834.0</v>
      </c>
      <c r="L4" s="149">
        <v>44926.0</v>
      </c>
      <c r="M4" s="149">
        <v>45016.0</v>
      </c>
      <c r="N4" s="149">
        <v>45107.0</v>
      </c>
      <c r="O4" s="149">
        <v>45199.0</v>
      </c>
      <c r="P4" s="149">
        <v>45291.0</v>
      </c>
      <c r="Q4" s="150">
        <v>45382.0</v>
      </c>
      <c r="R4" s="150">
        <v>45473.0</v>
      </c>
      <c r="S4" s="149">
        <v>45565.0</v>
      </c>
      <c r="T4" s="151" t="s">
        <v>132</v>
      </c>
    </row>
    <row r="5" ht="12.0" customHeight="1">
      <c r="A5" s="5"/>
      <c r="B5" s="152" t="s">
        <v>133</v>
      </c>
      <c r="C5" s="153"/>
      <c r="D5" s="153"/>
      <c r="E5" s="154"/>
      <c r="F5" s="153"/>
      <c r="G5" s="46"/>
      <c r="H5" s="46"/>
      <c r="I5" s="46"/>
      <c r="J5" s="46"/>
      <c r="K5" s="46"/>
      <c r="L5" s="46"/>
      <c r="M5" s="46"/>
      <c r="N5" s="155"/>
      <c r="O5" s="155"/>
      <c r="P5" s="155"/>
      <c r="Q5" s="155"/>
      <c r="R5" s="155"/>
      <c r="S5" s="155"/>
    </row>
    <row r="6" ht="12.0" customHeight="1">
      <c r="A6" s="5"/>
      <c r="B6" s="156" t="s">
        <v>134</v>
      </c>
      <c r="C6" s="157">
        <v>56569.0</v>
      </c>
      <c r="D6" s="157">
        <v>127654.0</v>
      </c>
      <c r="E6" s="18">
        <v>39612.0</v>
      </c>
      <c r="F6" s="18">
        <v>84337.0</v>
      </c>
      <c r="G6" s="18">
        <v>82129.0</v>
      </c>
      <c r="H6" s="18">
        <v>125957.0</v>
      </c>
      <c r="I6" s="18">
        <v>29223.0</v>
      </c>
      <c r="J6" s="18">
        <v>55222.0</v>
      </c>
      <c r="K6" s="18">
        <v>95830.0</v>
      </c>
      <c r="L6" s="18">
        <v>95710.0</v>
      </c>
      <c r="M6" s="18">
        <f>52382-38954</f>
        <v>13428</v>
      </c>
      <c r="N6" s="18">
        <v>82603.0</v>
      </c>
      <c r="O6" s="18">
        <f>136383-56939</f>
        <v>79444</v>
      </c>
      <c r="P6" s="18">
        <v>132573.0</v>
      </c>
      <c r="Q6" s="18">
        <v>22409.0</v>
      </c>
      <c r="R6" s="18">
        <v>70917.0</v>
      </c>
      <c r="S6" s="18">
        <v>99490.0</v>
      </c>
      <c r="T6" s="16">
        <v>161159.0</v>
      </c>
    </row>
    <row r="7" ht="12.0" customHeight="1">
      <c r="A7" s="5"/>
      <c r="B7" s="158" t="s">
        <v>135</v>
      </c>
      <c r="C7" s="153"/>
      <c r="D7" s="153"/>
      <c r="E7" s="159"/>
      <c r="F7" s="159"/>
      <c r="G7" s="159"/>
      <c r="H7" s="159"/>
      <c r="I7" s="159"/>
      <c r="J7" s="159"/>
      <c r="K7" s="159"/>
      <c r="L7" s="159"/>
      <c r="M7" s="159"/>
      <c r="N7" s="160"/>
      <c r="O7" s="160"/>
      <c r="P7" s="160"/>
      <c r="Q7" s="160"/>
      <c r="R7" s="160"/>
      <c r="S7" s="160"/>
    </row>
    <row r="8" ht="12.0" customHeight="1">
      <c r="A8" s="5"/>
      <c r="B8" s="161" t="s">
        <v>136</v>
      </c>
      <c r="C8" s="88">
        <v>25577.0</v>
      </c>
      <c r="D8" s="88">
        <v>29882.0</v>
      </c>
      <c r="E8" s="17">
        <v>7795.0</v>
      </c>
      <c r="F8" s="17">
        <v>16019.0</v>
      </c>
      <c r="G8" s="17">
        <v>30102.0</v>
      </c>
      <c r="H8" s="17">
        <v>48354.0</v>
      </c>
      <c r="I8" s="17">
        <v>19390.0</v>
      </c>
      <c r="J8" s="17">
        <v>43596.0</v>
      </c>
      <c r="K8" s="17">
        <v>67154.0</v>
      </c>
      <c r="L8" s="17">
        <v>94558.0</v>
      </c>
      <c r="M8" s="17">
        <v>25053.0</v>
      </c>
      <c r="N8" s="18">
        <v>48109.0</v>
      </c>
      <c r="O8" s="18">
        <v>70980.0</v>
      </c>
      <c r="P8" s="18">
        <v>93213.0</v>
      </c>
      <c r="Q8" s="18">
        <v>21876.0</v>
      </c>
      <c r="R8" s="18">
        <v>45262.0</v>
      </c>
      <c r="S8" s="18">
        <v>69119.0</v>
      </c>
      <c r="T8" s="16">
        <v>90431.0</v>
      </c>
    </row>
    <row r="9" ht="12.0" customHeight="1">
      <c r="A9" s="5"/>
      <c r="B9" s="161" t="s">
        <v>137</v>
      </c>
      <c r="C9" s="88">
        <v>567.0</v>
      </c>
      <c r="D9" s="88">
        <v>689.0</v>
      </c>
      <c r="E9" s="17">
        <v>81.0</v>
      </c>
      <c r="F9" s="17">
        <v>448.0</v>
      </c>
      <c r="G9" s="17">
        <v>338.0</v>
      </c>
      <c r="H9" s="17">
        <v>1237.0</v>
      </c>
      <c r="I9" s="17">
        <v>1926.0</v>
      </c>
      <c r="J9" s="17">
        <v>2025.0</v>
      </c>
      <c r="K9" s="17">
        <v>2137.0</v>
      </c>
      <c r="L9" s="17">
        <v>3781.0</v>
      </c>
      <c r="M9" s="17">
        <v>-95.0</v>
      </c>
      <c r="N9" s="18">
        <v>195.0</v>
      </c>
      <c r="O9" s="18">
        <v>875.0</v>
      </c>
      <c r="P9" s="18">
        <v>1689.0</v>
      </c>
      <c r="Q9" s="18">
        <v>326.0</v>
      </c>
      <c r="R9" s="18">
        <v>373.0</v>
      </c>
      <c r="S9" s="18">
        <v>2768.0</v>
      </c>
      <c r="T9" s="16">
        <v>4473.0</v>
      </c>
    </row>
    <row r="10" ht="12.0" customHeight="1">
      <c r="A10" s="5"/>
      <c r="B10" s="161" t="s">
        <v>138</v>
      </c>
      <c r="C10" s="88">
        <v>2971.0</v>
      </c>
      <c r="D10" s="88">
        <v>7789.0</v>
      </c>
      <c r="E10" s="17">
        <v>1460.0</v>
      </c>
      <c r="F10" s="17">
        <f>-1168+2617</f>
        <v>1449</v>
      </c>
      <c r="G10" s="17">
        <f>25998+4409</f>
        <v>30407</v>
      </c>
      <c r="H10" s="17">
        <f>45627+9460</f>
        <v>55087</v>
      </c>
      <c r="I10" s="17">
        <f>4488-6359</f>
        <v>-1871</v>
      </c>
      <c r="J10" s="17">
        <f>10164-170</f>
        <v>9994</v>
      </c>
      <c r="K10" s="17">
        <v>30437.0</v>
      </c>
      <c r="L10" s="17">
        <f>55323+1833</f>
        <v>57156</v>
      </c>
      <c r="M10" s="17">
        <f>22085+2498</f>
        <v>24583</v>
      </c>
      <c r="N10" s="18">
        <f>44071+1438-629</f>
        <v>44880</v>
      </c>
      <c r="O10" s="18">
        <v>65796.0</v>
      </c>
      <c r="P10" s="18">
        <v>86793.0</v>
      </c>
      <c r="Q10" s="18">
        <v>18410.0</v>
      </c>
      <c r="R10" s="18">
        <v>37957.0</v>
      </c>
      <c r="S10" s="18">
        <v>59279.0</v>
      </c>
      <c r="T10" s="18">
        <v>72677.0</v>
      </c>
    </row>
    <row r="11" ht="12.0" customHeight="1">
      <c r="A11" s="5"/>
      <c r="B11" s="162" t="s">
        <v>139</v>
      </c>
      <c r="C11" s="88">
        <v>-919.0</v>
      </c>
      <c r="D11" s="88">
        <v>-2512.0</v>
      </c>
      <c r="E11" s="17">
        <v>7751.0</v>
      </c>
      <c r="F11" s="17">
        <v>-2405.0</v>
      </c>
      <c r="G11" s="17">
        <v>3898.0</v>
      </c>
      <c r="H11" s="17">
        <v>3084.0</v>
      </c>
      <c r="I11" s="17">
        <v>-4487.0</v>
      </c>
      <c r="J11" s="17">
        <v>314.0</v>
      </c>
      <c r="K11" s="17">
        <v>-5709.0</v>
      </c>
      <c r="L11" s="17">
        <v>-7114.0</v>
      </c>
      <c r="M11" s="17">
        <v>-4544.0</v>
      </c>
      <c r="N11" s="18">
        <v>-13922.0</v>
      </c>
      <c r="O11" s="18">
        <v>-13257.0</v>
      </c>
      <c r="P11" s="18">
        <v>-14735.0</v>
      </c>
      <c r="Q11" s="18">
        <v>-243.0</v>
      </c>
      <c r="R11" s="18">
        <v>5896.0</v>
      </c>
      <c r="S11" s="18">
        <v>5409.0</v>
      </c>
      <c r="T11" s="16">
        <v>11803.0</v>
      </c>
    </row>
    <row r="12" ht="12.0" customHeight="1">
      <c r="A12" s="5"/>
      <c r="B12" s="163" t="s">
        <v>140</v>
      </c>
      <c r="C12" s="24">
        <v>29219.0</v>
      </c>
      <c r="D12" s="24">
        <v>65137.0</v>
      </c>
      <c r="E12" s="18">
        <v>20807.0</v>
      </c>
      <c r="F12" s="18">
        <v>38658.0</v>
      </c>
      <c r="G12" s="18">
        <v>57515.0</v>
      </c>
      <c r="H12" s="18">
        <v>84417.0</v>
      </c>
      <c r="I12" s="18">
        <v>15314.0</v>
      </c>
      <c r="J12" s="18">
        <v>33330.0</v>
      </c>
      <c r="K12" s="18">
        <v>49867.0</v>
      </c>
      <c r="L12" s="18">
        <v>104562.0</v>
      </c>
      <c r="M12" s="18">
        <f>11723+38954 </f>
        <v>50677</v>
      </c>
      <c r="N12" s="18">
        <v>40640.0</v>
      </c>
      <c r="O12" s="18">
        <f>36186+56939</f>
        <v>93125</v>
      </c>
      <c r="P12" s="18">
        <v>76722.0</v>
      </c>
      <c r="Q12" s="18">
        <v>16810.0</v>
      </c>
      <c r="R12" s="18">
        <v>33695.0</v>
      </c>
      <c r="S12" s="18">
        <v>62848.0</v>
      </c>
      <c r="T12" s="16">
        <v>75302.0</v>
      </c>
    </row>
    <row r="13" ht="12.0" customHeight="1">
      <c r="A13" s="5"/>
      <c r="B13" s="164" t="s">
        <v>141</v>
      </c>
      <c r="C13" s="88">
        <v>1091.0</v>
      </c>
      <c r="D13" s="88">
        <v>196.0</v>
      </c>
      <c r="E13" s="17">
        <v>3258.0</v>
      </c>
      <c r="F13" s="17">
        <v>60.0</v>
      </c>
      <c r="G13" s="17">
        <v>918.0</v>
      </c>
      <c r="H13" s="17">
        <v>497.0</v>
      </c>
      <c r="I13" s="17">
        <v>-130.0</v>
      </c>
      <c r="J13" s="17">
        <v>710.0</v>
      </c>
      <c r="K13" s="17">
        <v>385.0</v>
      </c>
      <c r="L13" s="17">
        <v>329.0</v>
      </c>
      <c r="M13" s="17">
        <v>1605.0</v>
      </c>
      <c r="N13" s="18">
        <v>1737.0</v>
      </c>
      <c r="O13" s="18">
        <v>2573.0</v>
      </c>
      <c r="P13" s="18">
        <v>1556.0</v>
      </c>
      <c r="Q13" s="18">
        <v>1787.0</v>
      </c>
      <c r="R13" s="18">
        <v>2584.0</v>
      </c>
      <c r="S13" s="18">
        <v>7832.0</v>
      </c>
      <c r="T13" s="16">
        <v>14604.0</v>
      </c>
    </row>
    <row r="14" ht="12.0" customHeight="1">
      <c r="A14" s="5"/>
      <c r="B14" s="162" t="s">
        <v>142</v>
      </c>
      <c r="C14" s="88">
        <v>0.0</v>
      </c>
      <c r="D14" s="88">
        <v>0.0</v>
      </c>
      <c r="E14" s="17">
        <v>0.0</v>
      </c>
      <c r="F14" s="17">
        <v>0.0</v>
      </c>
      <c r="G14" s="17">
        <v>21818.0</v>
      </c>
      <c r="H14" s="17">
        <v>21894.0</v>
      </c>
      <c r="I14" s="17">
        <v>0.0</v>
      </c>
      <c r="J14" s="17">
        <v>0.0</v>
      </c>
      <c r="K14" s="17">
        <v>0.0</v>
      </c>
      <c r="L14" s="17">
        <v>0.0</v>
      </c>
      <c r="M14" s="17">
        <v>0.0</v>
      </c>
      <c r="N14" s="18">
        <v>0.0</v>
      </c>
      <c r="O14" s="18">
        <v>0.0</v>
      </c>
      <c r="P14" s="18">
        <v>0.0</v>
      </c>
      <c r="Q14" s="18">
        <v>0.0</v>
      </c>
      <c r="R14" s="18">
        <v>0.0</v>
      </c>
      <c r="S14" s="18">
        <v>0.0</v>
      </c>
      <c r="T14" s="18">
        <v>0.0</v>
      </c>
    </row>
    <row r="15" ht="12.0" customHeight="1">
      <c r="A15" s="5"/>
      <c r="B15" s="165" t="s">
        <v>143</v>
      </c>
      <c r="C15" s="88">
        <v>23.0</v>
      </c>
      <c r="D15" s="88">
        <v>-12.0</v>
      </c>
      <c r="E15" s="17">
        <v>2.0</v>
      </c>
      <c r="F15" s="17">
        <v>2.0</v>
      </c>
      <c r="G15" s="17">
        <v>346.0</v>
      </c>
      <c r="H15" s="17">
        <v>472.0</v>
      </c>
      <c r="I15" s="17">
        <v>571.0</v>
      </c>
      <c r="J15" s="17">
        <v>385.0</v>
      </c>
      <c r="K15" s="17">
        <v>386.0</v>
      </c>
      <c r="L15" s="17">
        <v>386.0</v>
      </c>
      <c r="M15" s="17">
        <v>-273.0</v>
      </c>
      <c r="N15" s="18">
        <v>-268.0</v>
      </c>
      <c r="O15" s="18">
        <v>-286.0</v>
      </c>
      <c r="P15" s="18">
        <v>-424.0</v>
      </c>
      <c r="Q15" s="18">
        <v>76.0</v>
      </c>
      <c r="R15" s="18">
        <v>-22.0</v>
      </c>
      <c r="S15" s="18">
        <v>-22.0</v>
      </c>
      <c r="T15" s="18">
        <v>-106.0</v>
      </c>
    </row>
    <row r="16" ht="12.0" customHeight="1">
      <c r="A16" s="5"/>
      <c r="B16" s="161" t="s">
        <v>144</v>
      </c>
      <c r="C16" s="88">
        <v>14891.0</v>
      </c>
      <c r="D16" s="88">
        <v>-18.0</v>
      </c>
      <c r="E16" s="17">
        <v>-629.0</v>
      </c>
      <c r="F16" s="17">
        <v>0.0</v>
      </c>
      <c r="G16" s="17">
        <v>0.0</v>
      </c>
      <c r="H16" s="17">
        <v>0.0</v>
      </c>
      <c r="I16" s="17">
        <v>0.0</v>
      </c>
      <c r="J16" s="17">
        <v>0.0</v>
      </c>
      <c r="K16" s="17">
        <v>0.0</v>
      </c>
      <c r="L16" s="17">
        <v>0.0</v>
      </c>
      <c r="M16" s="17">
        <v>0.0</v>
      </c>
      <c r="N16" s="18">
        <v>0.0</v>
      </c>
      <c r="O16" s="18">
        <v>0.0</v>
      </c>
      <c r="P16" s="18">
        <v>0.0</v>
      </c>
      <c r="Q16" s="18">
        <v>0.0</v>
      </c>
      <c r="R16" s="18">
        <v>0.0</v>
      </c>
      <c r="S16" s="18">
        <v>0.0</v>
      </c>
      <c r="T16" s="18">
        <v>0.0</v>
      </c>
    </row>
    <row r="17" ht="12.0" customHeight="1">
      <c r="A17" s="5"/>
      <c r="B17" s="162" t="s">
        <v>145</v>
      </c>
      <c r="C17" s="88">
        <v>3170.0</v>
      </c>
      <c r="D17" s="88">
        <v>942.0</v>
      </c>
      <c r="E17" s="17">
        <v>172.0</v>
      </c>
      <c r="F17" s="17">
        <v>390.0</v>
      </c>
      <c r="G17" s="17">
        <v>694.0</v>
      </c>
      <c r="H17" s="17">
        <v>2531.0</v>
      </c>
      <c r="I17" s="17">
        <v>1239.0</v>
      </c>
      <c r="J17" s="17">
        <v>1133.0</v>
      </c>
      <c r="K17" s="17">
        <v>1894.0</v>
      </c>
      <c r="L17" s="17">
        <v>5486.0</v>
      </c>
      <c r="M17" s="17">
        <v>5393.0</v>
      </c>
      <c r="N17" s="18">
        <v>15113.0</v>
      </c>
      <c r="O17" s="18">
        <v>21740.0</v>
      </c>
      <c r="P17" s="18">
        <v>28116.0</v>
      </c>
      <c r="Q17" s="18">
        <v>3772.0</v>
      </c>
      <c r="R17" s="18">
        <v>10451.0</v>
      </c>
      <c r="S17" s="18">
        <v>21299.0</v>
      </c>
      <c r="T17" s="16">
        <v>28173.0</v>
      </c>
    </row>
    <row r="18" ht="12.0" customHeight="1">
      <c r="A18" s="5"/>
      <c r="B18" s="164" t="s">
        <v>146</v>
      </c>
      <c r="C18" s="87">
        <v>0.0</v>
      </c>
      <c r="D18" s="87">
        <v>0.0</v>
      </c>
      <c r="E18" s="17">
        <v>0.0</v>
      </c>
      <c r="F18" s="17">
        <v>0.0</v>
      </c>
      <c r="G18" s="17">
        <v>0.0</v>
      </c>
      <c r="H18" s="17">
        <v>0.0</v>
      </c>
      <c r="I18" s="17">
        <v>0.0</v>
      </c>
      <c r="J18" s="17">
        <v>5123.0</v>
      </c>
      <c r="K18" s="17">
        <v>7240.0</v>
      </c>
      <c r="L18" s="17">
        <v>11497.0</v>
      </c>
      <c r="M18" s="17">
        <v>1589.0</v>
      </c>
      <c r="N18" s="18">
        <v>4509.0</v>
      </c>
      <c r="O18" s="18">
        <v>2783.0</v>
      </c>
      <c r="P18" s="18">
        <v>4863.0</v>
      </c>
      <c r="Q18" s="18">
        <v>1063.0</v>
      </c>
      <c r="R18" s="18">
        <v>2364.0</v>
      </c>
      <c r="S18" s="18">
        <v>0.0</v>
      </c>
      <c r="T18" s="18">
        <v>0.0</v>
      </c>
    </row>
    <row r="19" ht="12.0" customHeight="1">
      <c r="A19" s="5"/>
      <c r="B19" s="161" t="s">
        <v>147</v>
      </c>
      <c r="C19" s="87"/>
      <c r="D19" s="87"/>
      <c r="E19" s="159"/>
      <c r="F19" s="17"/>
      <c r="G19" s="17"/>
      <c r="H19" s="17"/>
      <c r="I19" s="17"/>
      <c r="J19" s="17"/>
      <c r="K19" s="17"/>
      <c r="L19" s="17"/>
      <c r="M19" s="17"/>
      <c r="N19" s="18"/>
      <c r="O19" s="18"/>
      <c r="P19" s="18">
        <v>18327.0</v>
      </c>
      <c r="Q19" s="18">
        <v>0.0</v>
      </c>
      <c r="R19" s="18">
        <v>0.0</v>
      </c>
      <c r="S19" s="18">
        <v>0.0</v>
      </c>
      <c r="T19" s="18">
        <v>0.0</v>
      </c>
    </row>
    <row r="20" ht="12.0" customHeight="1">
      <c r="A20" s="5"/>
      <c r="B20" s="161" t="s">
        <v>148</v>
      </c>
      <c r="C20" s="87">
        <v>205.0</v>
      </c>
      <c r="D20" s="87">
        <f>469-4324</f>
        <v>-3855</v>
      </c>
      <c r="E20" s="159">
        <v>-1.0</v>
      </c>
      <c r="F20" s="17">
        <v>-42.0</v>
      </c>
      <c r="G20" s="17">
        <v>52.0</v>
      </c>
      <c r="H20" s="17">
        <v>98.0</v>
      </c>
      <c r="I20" s="17"/>
      <c r="J20" s="17">
        <v>0.0</v>
      </c>
      <c r="K20" s="17">
        <f>-1824</f>
        <v>-1824</v>
      </c>
      <c r="L20" s="17">
        <v>-1855.0</v>
      </c>
      <c r="M20" s="17">
        <v>41.0</v>
      </c>
      <c r="N20" s="18">
        <v>0.0</v>
      </c>
      <c r="O20" s="18">
        <v>-559.0</v>
      </c>
      <c r="P20" s="18">
        <v>-571.0</v>
      </c>
      <c r="Q20" s="18">
        <v>10.0</v>
      </c>
      <c r="R20" s="18">
        <v>9.0</v>
      </c>
      <c r="S20" s="18">
        <v>7.0</v>
      </c>
      <c r="T20" s="117">
        <v>4.0</v>
      </c>
    </row>
    <row r="21" ht="12.0" customHeight="1">
      <c r="A21" s="5"/>
      <c r="B21" s="152" t="s">
        <v>149</v>
      </c>
      <c r="C21" s="87"/>
      <c r="D21" s="87"/>
      <c r="E21" s="159"/>
      <c r="F21" s="159"/>
      <c r="G21" s="159"/>
      <c r="H21" s="159"/>
      <c r="I21" s="159"/>
      <c r="J21" s="159"/>
      <c r="K21" s="159"/>
      <c r="L21" s="159"/>
      <c r="M21" s="159"/>
      <c r="N21" s="160"/>
      <c r="O21" s="160"/>
      <c r="P21" s="160"/>
      <c r="Q21" s="160"/>
      <c r="R21" s="160"/>
      <c r="S21" s="160"/>
    </row>
    <row r="22" ht="12.0" customHeight="1">
      <c r="A22" s="5"/>
      <c r="B22" s="166" t="s">
        <v>13</v>
      </c>
      <c r="C22" s="87">
        <v>-36926.0</v>
      </c>
      <c r="D22" s="87">
        <v>-56187.0</v>
      </c>
      <c r="E22" s="87">
        <v>-53084.0</v>
      </c>
      <c r="F22" s="87">
        <v>-98928.0</v>
      </c>
      <c r="G22" s="87">
        <v>-155199.0</v>
      </c>
      <c r="H22" s="87">
        <v>-155176.0</v>
      </c>
      <c r="I22" s="87">
        <v>-57686.0</v>
      </c>
      <c r="J22" s="87">
        <v>-162516.0</v>
      </c>
      <c r="K22" s="87">
        <v>-192402.0</v>
      </c>
      <c r="L22" s="87">
        <v>-185675.0</v>
      </c>
      <c r="M22" s="87">
        <v>30560.0</v>
      </c>
      <c r="N22" s="87">
        <v>-1266.0</v>
      </c>
      <c r="O22" s="87">
        <v>34334.0</v>
      </c>
      <c r="P22" s="167">
        <v>67708.0</v>
      </c>
      <c r="Q22" s="87">
        <v>65426.0</v>
      </c>
      <c r="R22" s="87">
        <v>-33682.0</v>
      </c>
      <c r="S22" s="87">
        <v>-30199.0</v>
      </c>
      <c r="T22" s="36">
        <v>2356.0</v>
      </c>
    </row>
    <row r="23" ht="12.0" customHeight="1">
      <c r="A23" s="5"/>
      <c r="B23" s="166" t="s">
        <v>14</v>
      </c>
      <c r="C23" s="17">
        <v>20.0</v>
      </c>
      <c r="D23" s="17">
        <v>461.0</v>
      </c>
      <c r="E23" s="17">
        <v>-1078.0</v>
      </c>
      <c r="F23" s="17">
        <v>440.0</v>
      </c>
      <c r="G23" s="17">
        <v>-13260.0</v>
      </c>
      <c r="H23" s="17">
        <v>-13806.0</v>
      </c>
      <c r="I23" s="17">
        <v>-3330.0</v>
      </c>
      <c r="J23" s="17">
        <v>-8498.0</v>
      </c>
      <c r="K23" s="17">
        <v>-2297.0</v>
      </c>
      <c r="L23" s="17">
        <v>-547.0</v>
      </c>
      <c r="M23" s="17">
        <v>245.0</v>
      </c>
      <c r="N23" s="18">
        <v>-18834.0</v>
      </c>
      <c r="O23" s="18">
        <v>-23279.0</v>
      </c>
      <c r="P23" s="18">
        <v>-31755.0</v>
      </c>
      <c r="Q23" s="18">
        <v>-7119.0</v>
      </c>
      <c r="R23" s="18">
        <v>-12733.0</v>
      </c>
      <c r="S23" s="18">
        <v>-19988.0</v>
      </c>
      <c r="T23" s="36">
        <v>-36307.0</v>
      </c>
    </row>
    <row r="24" ht="12.0" customHeight="1">
      <c r="A24" s="5"/>
      <c r="B24" s="162" t="s">
        <v>15</v>
      </c>
      <c r="C24" s="17">
        <v>789.0</v>
      </c>
      <c r="D24" s="17">
        <v>507.0</v>
      </c>
      <c r="E24" s="17">
        <v>-7310.0</v>
      </c>
      <c r="F24" s="17">
        <v>-461.0</v>
      </c>
      <c r="G24" s="17">
        <v>-2.0</v>
      </c>
      <c r="H24" s="17">
        <v>-91.0</v>
      </c>
      <c r="I24" s="17">
        <v>-15242.0</v>
      </c>
      <c r="J24" s="17">
        <v>-158.0</v>
      </c>
      <c r="K24" s="17">
        <v>930.0</v>
      </c>
      <c r="L24" s="18">
        <v>1267.0</v>
      </c>
      <c r="M24" s="17">
        <v>-11281.0</v>
      </c>
      <c r="N24" s="18">
        <v>0.0</v>
      </c>
      <c r="O24" s="18">
        <v>935.0</v>
      </c>
      <c r="P24" s="18">
        <v>0.0</v>
      </c>
      <c r="Q24" s="18">
        <v>0.0</v>
      </c>
      <c r="R24" s="18">
        <v>0.0</v>
      </c>
      <c r="S24" s="18">
        <v>0.0</v>
      </c>
      <c r="T24" s="18">
        <v>0.0</v>
      </c>
      <c r="W24" s="20"/>
    </row>
    <row r="25" ht="12.0" customHeight="1">
      <c r="A25" s="5"/>
      <c r="B25" s="161" t="s">
        <v>22</v>
      </c>
      <c r="C25" s="17">
        <v>-105.0</v>
      </c>
      <c r="D25" s="17" t="s">
        <v>43</v>
      </c>
      <c r="E25" s="17">
        <v>0.0</v>
      </c>
      <c r="F25" s="17">
        <v>7.0</v>
      </c>
      <c r="G25" s="17">
        <v>7.0</v>
      </c>
      <c r="H25" s="17">
        <v>4.0</v>
      </c>
      <c r="I25" s="17">
        <v>-3022.0</v>
      </c>
      <c r="J25" s="17">
        <v>-6258.0</v>
      </c>
      <c r="K25" s="17">
        <v>0.0</v>
      </c>
      <c r="L25" s="18">
        <v>-6741.0</v>
      </c>
      <c r="M25" s="17">
        <v>110.0</v>
      </c>
      <c r="N25" s="18">
        <v>0.0</v>
      </c>
      <c r="O25" s="18">
        <v>0.0</v>
      </c>
      <c r="P25" s="18">
        <v>0.0</v>
      </c>
      <c r="Q25" s="18">
        <v>0.0</v>
      </c>
      <c r="R25" s="18">
        <v>0.0</v>
      </c>
      <c r="S25" s="18">
        <v>0.0</v>
      </c>
      <c r="T25" s="18">
        <v>0.0</v>
      </c>
    </row>
    <row r="26" ht="12.0" customHeight="1">
      <c r="A26" s="5"/>
      <c r="B26" s="161" t="s">
        <v>29</v>
      </c>
      <c r="C26" s="17">
        <v>1697.0</v>
      </c>
      <c r="D26" s="17">
        <v>6746.0</v>
      </c>
      <c r="E26" s="17">
        <v>3693.0</v>
      </c>
      <c r="F26" s="17">
        <v>2349.0</v>
      </c>
      <c r="G26" s="17">
        <v>4075.0</v>
      </c>
      <c r="H26" s="17">
        <v>12215.0</v>
      </c>
      <c r="I26" s="17">
        <v>-31279.0</v>
      </c>
      <c r="J26" s="17">
        <v>-31796.0</v>
      </c>
      <c r="K26" s="17">
        <v>-34281.0</v>
      </c>
      <c r="L26" s="18">
        <v>-29769.0</v>
      </c>
      <c r="M26" s="17">
        <v>-11672.0</v>
      </c>
      <c r="N26" s="18">
        <v>-13663.0</v>
      </c>
      <c r="O26" s="18">
        <v>-16185.0</v>
      </c>
      <c r="P26" s="18">
        <v>-13112.0</v>
      </c>
      <c r="Q26" s="18">
        <v>-319.0</v>
      </c>
      <c r="R26" s="18">
        <v>-2046.0</v>
      </c>
      <c r="S26" s="18">
        <v>-7526.0</v>
      </c>
      <c r="T26" s="18">
        <v>-87.0</v>
      </c>
    </row>
    <row r="27" ht="12.0" customHeight="1">
      <c r="A27" s="5"/>
      <c r="B27" s="161" t="s">
        <v>32</v>
      </c>
      <c r="C27" s="17">
        <v>16825.0</v>
      </c>
      <c r="D27" s="17">
        <v>49086.0</v>
      </c>
      <c r="E27" s="17">
        <v>7413.0</v>
      </c>
      <c r="F27" s="17">
        <v>2427.0</v>
      </c>
      <c r="G27" s="17">
        <v>43788.0</v>
      </c>
      <c r="H27" s="17">
        <v>63083.0</v>
      </c>
      <c r="I27" s="17">
        <v>15553.0</v>
      </c>
      <c r="J27" s="17">
        <v>-27461.0</v>
      </c>
      <c r="K27" s="17">
        <v>7448.0</v>
      </c>
      <c r="L27" s="18">
        <v>10729.0</v>
      </c>
      <c r="M27" s="17">
        <v>-7628.0</v>
      </c>
      <c r="N27" s="18">
        <v>-59154.0</v>
      </c>
      <c r="O27" s="18">
        <v>-42070.0</v>
      </c>
      <c r="P27" s="18">
        <v>-61538.0</v>
      </c>
      <c r="Q27" s="18">
        <v>12177.0</v>
      </c>
      <c r="R27" s="18">
        <v>4246.0</v>
      </c>
      <c r="S27" s="18">
        <v>52141.0</v>
      </c>
      <c r="T27" s="16">
        <v>68703.0</v>
      </c>
    </row>
    <row r="28" ht="12.0" customHeight="1">
      <c r="A28" s="5"/>
      <c r="B28" s="161" t="s">
        <v>150</v>
      </c>
      <c r="C28" s="17">
        <v>-11398.0</v>
      </c>
      <c r="D28" s="17">
        <v>-12275.0</v>
      </c>
      <c r="E28" s="17">
        <v>-1431.0</v>
      </c>
      <c r="F28" s="17">
        <v>-14088.0</v>
      </c>
      <c r="G28" s="17">
        <v>-3797.0</v>
      </c>
      <c r="H28" s="17">
        <v>-17364.0</v>
      </c>
      <c r="I28" s="17">
        <v>-901.0</v>
      </c>
      <c r="J28" s="17">
        <v>8958.0</v>
      </c>
      <c r="K28" s="17">
        <v>1568.0</v>
      </c>
      <c r="L28" s="18">
        <v>-9681.0</v>
      </c>
      <c r="M28" s="17">
        <v>0.0</v>
      </c>
      <c r="N28" s="18">
        <v>0.0</v>
      </c>
      <c r="O28" s="18">
        <v>0.0</v>
      </c>
      <c r="P28" s="18">
        <v>1720.0</v>
      </c>
      <c r="Q28" s="18">
        <v>0.0</v>
      </c>
      <c r="R28" s="18">
        <v>0.0</v>
      </c>
      <c r="S28" s="18">
        <v>0.0</v>
      </c>
      <c r="T28" s="18">
        <v>0.0</v>
      </c>
    </row>
    <row r="29" ht="12.0" customHeight="1">
      <c r="A29" s="5"/>
      <c r="B29" s="161" t="s">
        <v>151</v>
      </c>
      <c r="C29" s="17">
        <v>-346.0</v>
      </c>
      <c r="D29" s="17">
        <v>-407.0</v>
      </c>
      <c r="E29" s="17">
        <v>849.0</v>
      </c>
      <c r="F29" s="17">
        <v>1130.0</v>
      </c>
      <c r="G29" s="17">
        <v>1448.0</v>
      </c>
      <c r="H29" s="17">
        <v>1698.0</v>
      </c>
      <c r="I29" s="17">
        <v>-682.0</v>
      </c>
      <c r="J29" s="17">
        <v>986.0</v>
      </c>
      <c r="K29" s="17">
        <v>4509.0</v>
      </c>
      <c r="L29" s="18">
        <v>6376.0</v>
      </c>
      <c r="M29" s="17">
        <v>633.0</v>
      </c>
      <c r="N29" s="18">
        <v>0.0</v>
      </c>
      <c r="O29" s="18">
        <v>1274.0</v>
      </c>
      <c r="P29" s="18">
        <v>0.0</v>
      </c>
      <c r="Q29" s="18">
        <v>0.0</v>
      </c>
      <c r="R29" s="18">
        <v>0.0</v>
      </c>
      <c r="S29" s="18">
        <v>0.0</v>
      </c>
      <c r="T29" s="18">
        <v>0.0</v>
      </c>
    </row>
    <row r="30" ht="12.0" customHeight="1">
      <c r="A30" s="5"/>
      <c r="B30" s="162" t="s">
        <v>37</v>
      </c>
      <c r="C30" s="17">
        <v>8595.0</v>
      </c>
      <c r="D30" s="17">
        <v>-7138.0</v>
      </c>
      <c r="E30" s="17">
        <v>-1644.0</v>
      </c>
      <c r="F30" s="17">
        <v>-5807.0</v>
      </c>
      <c r="G30" s="17">
        <v>-9036.0</v>
      </c>
      <c r="H30" s="17">
        <v>1922.0</v>
      </c>
      <c r="I30" s="17">
        <v>-2021.0</v>
      </c>
      <c r="J30" s="17">
        <v>-3058.0</v>
      </c>
      <c r="K30" s="17">
        <v>-4893.0</v>
      </c>
      <c r="L30" s="18">
        <v>9636.0</v>
      </c>
      <c r="M30" s="17">
        <v>-12657.0</v>
      </c>
      <c r="N30" s="18">
        <v>-18060.0</v>
      </c>
      <c r="O30" s="18">
        <v>-18484.0</v>
      </c>
      <c r="P30" s="18">
        <v>17175.0</v>
      </c>
      <c r="Q30" s="18">
        <v>-19587.0</v>
      </c>
      <c r="R30" s="18">
        <v>-25941.0</v>
      </c>
      <c r="S30" s="18">
        <v>-21895.0</v>
      </c>
      <c r="T30" s="18">
        <v>-12151.0</v>
      </c>
    </row>
    <row r="31" ht="12.0" customHeight="1">
      <c r="A31" s="5"/>
      <c r="B31" s="162" t="s">
        <v>152</v>
      </c>
      <c r="C31" s="111">
        <v>5833.0</v>
      </c>
      <c r="D31" s="111">
        <f>-11435-43352</f>
        <v>-54787</v>
      </c>
      <c r="E31" s="17">
        <v>-4156.0</v>
      </c>
      <c r="F31" s="17">
        <v>-2786.0</v>
      </c>
      <c r="G31" s="17">
        <f>-6538-628</f>
        <v>-7166</v>
      </c>
      <c r="H31" s="17">
        <f>-21054-628</f>
        <v>-21682</v>
      </c>
      <c r="I31" s="17">
        <v>-9529.0</v>
      </c>
      <c r="J31" s="17">
        <v>-9140.0</v>
      </c>
      <c r="K31" s="17">
        <v>217.0</v>
      </c>
      <c r="L31" s="18">
        <v>565.0</v>
      </c>
      <c r="M31" s="17">
        <v>10795.0</v>
      </c>
      <c r="N31" s="18">
        <v>5016.0</v>
      </c>
      <c r="O31" s="18">
        <v>-5235.0</v>
      </c>
      <c r="P31" s="18">
        <v>5976.0</v>
      </c>
      <c r="Q31" s="18">
        <v>-6603.0</v>
      </c>
      <c r="R31" s="18">
        <v>-8080.0</v>
      </c>
      <c r="S31" s="18">
        <v>-5630.0</v>
      </c>
      <c r="T31" s="36">
        <v>-14043.0</v>
      </c>
    </row>
    <row r="32" ht="12.0" customHeight="1">
      <c r="A32" s="5"/>
      <c r="B32" s="168" t="s">
        <v>153</v>
      </c>
      <c r="C32" s="169">
        <f t="shared" ref="C32:N32" si="1">sum(C6:C31)</f>
        <v>118348</v>
      </c>
      <c r="D32" s="169">
        <f t="shared" si="1"/>
        <v>151898</v>
      </c>
      <c r="E32" s="169">
        <f t="shared" si="1"/>
        <v>23560</v>
      </c>
      <c r="F32" s="169">
        <f t="shared" si="1"/>
        <v>23199</v>
      </c>
      <c r="G32" s="169">
        <f t="shared" si="1"/>
        <v>89075</v>
      </c>
      <c r="H32" s="169">
        <f t="shared" si="1"/>
        <v>214431</v>
      </c>
      <c r="I32" s="169">
        <f t="shared" si="1"/>
        <v>-46964</v>
      </c>
      <c r="J32" s="169">
        <f t="shared" si="1"/>
        <v>-87109</v>
      </c>
      <c r="K32" s="169">
        <f t="shared" si="1"/>
        <v>28596</v>
      </c>
      <c r="L32" s="169">
        <f t="shared" si="1"/>
        <v>160656</v>
      </c>
      <c r="M32" s="169">
        <f t="shared" si="1"/>
        <v>116562</v>
      </c>
      <c r="N32" s="170">
        <f t="shared" si="1"/>
        <v>117635</v>
      </c>
      <c r="O32" s="170">
        <f>sum(O6:O31)+1</f>
        <v>254505</v>
      </c>
      <c r="P32" s="170">
        <f t="shared" ref="P32:T32" si="2">sum(P6:P31)</f>
        <v>414296</v>
      </c>
      <c r="Q32" s="170">
        <f t="shared" si="2"/>
        <v>130271</v>
      </c>
      <c r="R32" s="170">
        <f t="shared" si="2"/>
        <v>131250</v>
      </c>
      <c r="S32" s="170">
        <f t="shared" si="2"/>
        <v>294932</v>
      </c>
      <c r="T32" s="170">
        <f t="shared" si="2"/>
        <v>466991</v>
      </c>
    </row>
    <row r="33" ht="12.0" customHeight="1">
      <c r="A33" s="5"/>
      <c r="B33" s="161" t="s">
        <v>154</v>
      </c>
      <c r="C33" s="111">
        <v>-25085.0</v>
      </c>
      <c r="D33" s="111">
        <v>-47044.0</v>
      </c>
      <c r="E33" s="17">
        <v>-15394.0</v>
      </c>
      <c r="F33" s="17">
        <v>-23321.0</v>
      </c>
      <c r="G33" s="17">
        <v>-44468.0</v>
      </c>
      <c r="H33" s="17">
        <v>-64150.0</v>
      </c>
      <c r="I33" s="17">
        <v>-4818.0</v>
      </c>
      <c r="J33" s="17">
        <v>-21074.0</v>
      </c>
      <c r="K33" s="17">
        <v>-33467.0</v>
      </c>
      <c r="L33" s="17">
        <v>-48299.0</v>
      </c>
      <c r="M33" s="17">
        <v>-6808.0</v>
      </c>
      <c r="N33" s="18">
        <v>-18713.0</v>
      </c>
      <c r="O33" s="18">
        <v>-25516.0</v>
      </c>
      <c r="P33" s="18">
        <v>-27407.0</v>
      </c>
      <c r="Q33" s="18">
        <v>-3303.0</v>
      </c>
      <c r="R33" s="18">
        <v>-7103.0</v>
      </c>
      <c r="S33" s="18">
        <v>-16383.0</v>
      </c>
      <c r="T33" s="18">
        <v>-24293.0</v>
      </c>
    </row>
    <row r="34" ht="12.0" customHeight="1">
      <c r="A34" s="5"/>
      <c r="B34" s="161" t="s">
        <v>155</v>
      </c>
      <c r="C34" s="111">
        <v>-1912.0</v>
      </c>
      <c r="D34" s="111">
        <v>-3880.0</v>
      </c>
      <c r="E34" s="17">
        <v>-1412.0</v>
      </c>
      <c r="F34" s="17">
        <v>-1966.0</v>
      </c>
      <c r="G34" s="17">
        <v>-2296.0</v>
      </c>
      <c r="H34" s="17">
        <v>-12149.0</v>
      </c>
      <c r="I34" s="17">
        <v>-19458.0</v>
      </c>
      <c r="J34" s="17">
        <v>-38379.0</v>
      </c>
      <c r="K34" s="17">
        <v>-51152.0</v>
      </c>
      <c r="L34" s="17">
        <v>-70096.0</v>
      </c>
      <c r="M34" s="17">
        <v>-15534.0</v>
      </c>
      <c r="N34" s="18">
        <v>-37156.0</v>
      </c>
      <c r="O34" s="18">
        <v>-52356.0</v>
      </c>
      <c r="P34" s="18">
        <v>-91788.0</v>
      </c>
      <c r="Q34" s="18">
        <v>-7019.0</v>
      </c>
      <c r="R34" s="18">
        <v>-26642.0</v>
      </c>
      <c r="S34" s="18">
        <v>-36964.0</v>
      </c>
      <c r="T34" s="18">
        <v>-69603.0</v>
      </c>
    </row>
    <row r="35" ht="12.0" customHeight="1">
      <c r="A35" s="5"/>
      <c r="B35" s="162" t="s">
        <v>156</v>
      </c>
      <c r="C35" s="111">
        <v>-6129.0</v>
      </c>
      <c r="D35" s="111">
        <v>-5023.0</v>
      </c>
      <c r="E35" s="17">
        <v>-1311.0</v>
      </c>
      <c r="F35" s="17">
        <v>-2607.0</v>
      </c>
      <c r="G35" s="17">
        <v>-3972.0</v>
      </c>
      <c r="H35" s="17">
        <v>-5753.0</v>
      </c>
      <c r="I35" s="17">
        <v>-1479.0</v>
      </c>
      <c r="J35" s="17">
        <v>-3174.0</v>
      </c>
      <c r="K35" s="17">
        <v>-4796.0</v>
      </c>
      <c r="L35" s="17">
        <v>-6169.0</v>
      </c>
      <c r="M35" s="17">
        <v>-1148.0</v>
      </c>
      <c r="N35" s="18">
        <v>-2153.0</v>
      </c>
      <c r="O35" s="18">
        <v>-3070.0</v>
      </c>
      <c r="P35" s="18">
        <v>-4057.0</v>
      </c>
      <c r="Q35" s="18">
        <v>-820.0</v>
      </c>
      <c r="R35" s="18">
        <v>-1663.0</v>
      </c>
      <c r="S35" s="18">
        <v>-2671.0</v>
      </c>
      <c r="T35" s="18">
        <v>-3804.0</v>
      </c>
    </row>
    <row r="36" ht="12.0" customHeight="1">
      <c r="A36" s="5"/>
      <c r="B36" s="162" t="s">
        <v>157</v>
      </c>
      <c r="C36" s="17">
        <v>0.0</v>
      </c>
      <c r="D36" s="17">
        <v>0.0</v>
      </c>
      <c r="E36" s="17"/>
      <c r="F36" s="17"/>
      <c r="G36" s="17"/>
      <c r="H36" s="17">
        <v>0.0</v>
      </c>
      <c r="I36" s="17">
        <v>0.0</v>
      </c>
      <c r="J36" s="17">
        <v>0.0</v>
      </c>
      <c r="K36" s="17">
        <v>0.0</v>
      </c>
      <c r="L36" s="17">
        <v>0.0</v>
      </c>
      <c r="M36" s="17">
        <v>0.0</v>
      </c>
      <c r="N36" s="18">
        <v>2495.0</v>
      </c>
      <c r="O36" s="18">
        <v>4198.0</v>
      </c>
      <c r="P36" s="18">
        <v>4198.0</v>
      </c>
      <c r="Q36" s="18">
        <v>0.0</v>
      </c>
      <c r="R36" s="18">
        <v>362.0</v>
      </c>
      <c r="S36" s="18">
        <v>4551.0</v>
      </c>
      <c r="T36" s="18">
        <v>4788.0</v>
      </c>
    </row>
    <row r="37" ht="12.0" customHeight="1">
      <c r="A37" s="5"/>
      <c r="B37" s="168" t="s">
        <v>158</v>
      </c>
      <c r="C37" s="169">
        <f t="shared" ref="C37:D37" si="3">sum(C32:C36)</f>
        <v>85222</v>
      </c>
      <c r="D37" s="169">
        <f t="shared" si="3"/>
        <v>95951</v>
      </c>
      <c r="E37" s="169">
        <f t="shared" ref="E37:G37" si="4">sum(E32:E35)</f>
        <v>5443</v>
      </c>
      <c r="F37" s="169">
        <f t="shared" si="4"/>
        <v>-4695</v>
      </c>
      <c r="G37" s="169">
        <f t="shared" si="4"/>
        <v>38339</v>
      </c>
      <c r="H37" s="169">
        <f t="shared" ref="H37:T37" si="5">sum(H32:H36)</f>
        <v>132379</v>
      </c>
      <c r="I37" s="169">
        <f t="shared" si="5"/>
        <v>-72719</v>
      </c>
      <c r="J37" s="169">
        <f t="shared" si="5"/>
        <v>-149736</v>
      </c>
      <c r="K37" s="169">
        <f t="shared" si="5"/>
        <v>-60819</v>
      </c>
      <c r="L37" s="169">
        <f t="shared" si="5"/>
        <v>36092</v>
      </c>
      <c r="M37" s="169">
        <f t="shared" si="5"/>
        <v>93072</v>
      </c>
      <c r="N37" s="170">
        <f t="shared" si="5"/>
        <v>62108</v>
      </c>
      <c r="O37" s="170">
        <f t="shared" si="5"/>
        <v>177761</v>
      </c>
      <c r="P37" s="170">
        <f t="shared" si="5"/>
        <v>295242</v>
      </c>
      <c r="Q37" s="170">
        <f t="shared" si="5"/>
        <v>119129</v>
      </c>
      <c r="R37" s="170">
        <f t="shared" si="5"/>
        <v>96204</v>
      </c>
      <c r="S37" s="170">
        <f t="shared" si="5"/>
        <v>243465</v>
      </c>
      <c r="T37" s="170">
        <f t="shared" si="5"/>
        <v>374079</v>
      </c>
    </row>
    <row r="38" ht="12.0" customHeight="1">
      <c r="A38" s="5"/>
      <c r="B38" s="152" t="s">
        <v>159</v>
      </c>
      <c r="C38" s="128"/>
      <c r="D38" s="128"/>
      <c r="E38" s="159"/>
      <c r="F38" s="159"/>
      <c r="G38" s="159"/>
      <c r="H38" s="159"/>
      <c r="I38" s="159"/>
      <c r="J38" s="159"/>
      <c r="K38" s="159"/>
      <c r="L38" s="159"/>
      <c r="M38" s="159"/>
      <c r="N38" s="160"/>
      <c r="O38" s="160"/>
      <c r="P38" s="160"/>
      <c r="Q38" s="160"/>
      <c r="R38" s="160"/>
      <c r="S38" s="160"/>
    </row>
    <row r="39" ht="15.75" customHeight="1">
      <c r="A39" s="5"/>
      <c r="B39" s="165" t="s">
        <v>160</v>
      </c>
      <c r="C39" s="111">
        <v>-16551.0</v>
      </c>
      <c r="D39" s="111">
        <v>-21391.0</v>
      </c>
      <c r="E39" s="17">
        <v>-9607.0</v>
      </c>
      <c r="F39" s="17">
        <v>-17164.0</v>
      </c>
      <c r="G39" s="17">
        <v>-22112.0</v>
      </c>
      <c r="H39" s="17">
        <v>-29907.0</v>
      </c>
      <c r="I39" s="17">
        <v>-8295.0</v>
      </c>
      <c r="J39" s="17">
        <v>-15520.0</v>
      </c>
      <c r="K39" s="17">
        <v>-20163.0</v>
      </c>
      <c r="L39" s="17">
        <v>-22967.0</v>
      </c>
      <c r="M39" s="17">
        <v>-4247.0</v>
      </c>
      <c r="N39" s="18">
        <v>-8265.0</v>
      </c>
      <c r="O39" s="18">
        <v>-14738.0</v>
      </c>
      <c r="P39" s="18">
        <v>-24109.0</v>
      </c>
      <c r="Q39" s="18">
        <v>-11175.0</v>
      </c>
      <c r="R39" s="18">
        <v>-24320.0</v>
      </c>
      <c r="S39" s="18">
        <v>-39192.0</v>
      </c>
      <c r="T39" s="18">
        <v>-57083.0</v>
      </c>
    </row>
    <row r="40" ht="12.0" customHeight="1">
      <c r="A40" s="5"/>
      <c r="B40" s="161" t="s">
        <v>161</v>
      </c>
      <c r="C40" s="111">
        <v>0.0</v>
      </c>
      <c r="D40" s="111">
        <v>0.0</v>
      </c>
      <c r="E40" s="17">
        <v>0.0</v>
      </c>
      <c r="F40" s="17">
        <v>0.0</v>
      </c>
      <c r="G40" s="17">
        <v>-641784.0</v>
      </c>
      <c r="H40" s="17">
        <v>-692722.0</v>
      </c>
      <c r="I40" s="17">
        <v>-265137.0</v>
      </c>
      <c r="J40" s="17">
        <v>-289865.0</v>
      </c>
      <c r="K40" s="17">
        <v>-321799.0</v>
      </c>
      <c r="L40" s="17">
        <v>-745726.0</v>
      </c>
      <c r="M40" s="17">
        <v>0.0</v>
      </c>
      <c r="N40" s="18"/>
      <c r="O40" s="18">
        <v>0.0</v>
      </c>
      <c r="P40" s="18">
        <v>0.0</v>
      </c>
      <c r="Q40" s="18">
        <v>0.0</v>
      </c>
      <c r="R40" s="18">
        <v>0.0</v>
      </c>
      <c r="S40" s="18">
        <v>0.0</v>
      </c>
      <c r="T40" s="18">
        <v>0.0</v>
      </c>
    </row>
    <row r="41" ht="12.0" customHeight="1">
      <c r="A41" s="5"/>
      <c r="B41" s="162" t="s">
        <v>162</v>
      </c>
      <c r="C41" s="111">
        <v>0.0</v>
      </c>
      <c r="D41" s="111">
        <v>0.0</v>
      </c>
      <c r="E41" s="17">
        <v>0.0</v>
      </c>
      <c r="F41" s="17"/>
      <c r="G41" s="17">
        <v>0.0</v>
      </c>
      <c r="H41" s="17">
        <v>-784915.0</v>
      </c>
      <c r="I41" s="17">
        <v>350128.0</v>
      </c>
      <c r="J41" s="17">
        <v>514394.0</v>
      </c>
      <c r="K41" s="17">
        <v>582367.0</v>
      </c>
      <c r="L41" s="17">
        <v>655533.0</v>
      </c>
      <c r="M41" s="17">
        <v>1474.0</v>
      </c>
      <c r="N41" s="18">
        <v>56996.0</v>
      </c>
      <c r="O41" s="18">
        <v>54214.0</v>
      </c>
      <c r="P41" s="18">
        <v>90298.0</v>
      </c>
      <c r="Q41" s="18">
        <v>3164.0</v>
      </c>
      <c r="R41" s="18">
        <v>3164.0</v>
      </c>
      <c r="S41" s="18">
        <v>3164.0</v>
      </c>
      <c r="T41" s="18">
        <v>3164.0</v>
      </c>
    </row>
    <row r="42" ht="12.0" customHeight="1">
      <c r="A42" s="5"/>
      <c r="B42" s="162" t="s">
        <v>163</v>
      </c>
      <c r="C42" s="111">
        <v>0.0</v>
      </c>
      <c r="D42" s="111">
        <v>0.0</v>
      </c>
      <c r="E42" s="17">
        <v>0.0</v>
      </c>
      <c r="F42" s="17">
        <v>0.0</v>
      </c>
      <c r="G42" s="17">
        <v>0.0</v>
      </c>
      <c r="H42" s="17">
        <v>0.0</v>
      </c>
      <c r="I42" s="17">
        <v>0.0</v>
      </c>
      <c r="J42" s="17">
        <v>0.0</v>
      </c>
      <c r="K42" s="17">
        <v>20981.0</v>
      </c>
      <c r="L42" s="17">
        <v>25263.0</v>
      </c>
      <c r="M42" s="17">
        <v>0.0</v>
      </c>
      <c r="N42" s="18"/>
      <c r="O42" s="18">
        <v>0.0</v>
      </c>
      <c r="P42" s="18">
        <v>0.0</v>
      </c>
      <c r="Q42" s="18">
        <v>0.0</v>
      </c>
      <c r="R42" s="18">
        <v>0.0</v>
      </c>
      <c r="S42" s="18">
        <v>0.0</v>
      </c>
      <c r="T42" s="18">
        <v>0.0</v>
      </c>
    </row>
    <row r="43" ht="12.0" customHeight="1">
      <c r="A43" s="5"/>
      <c r="B43" s="162" t="s">
        <v>164</v>
      </c>
      <c r="C43" s="111">
        <v>0.0</v>
      </c>
      <c r="D43" s="111">
        <v>0.0</v>
      </c>
      <c r="E43" s="17">
        <v>0.0</v>
      </c>
      <c r="F43" s="17">
        <v>0.0</v>
      </c>
      <c r="G43" s="17">
        <v>0.0</v>
      </c>
      <c r="H43" s="17">
        <v>0.0</v>
      </c>
      <c r="I43" s="17">
        <v>16134.0</v>
      </c>
      <c r="J43" s="17">
        <v>16134.0</v>
      </c>
      <c r="K43" s="17">
        <v>0.0</v>
      </c>
      <c r="L43" s="17">
        <v>0.0</v>
      </c>
      <c r="M43" s="17">
        <v>0.0</v>
      </c>
      <c r="N43" s="18"/>
      <c r="O43" s="18">
        <v>0.0</v>
      </c>
      <c r="P43" s="18">
        <v>0.0</v>
      </c>
      <c r="Q43" s="18">
        <v>0.0</v>
      </c>
      <c r="R43" s="18">
        <v>0.0</v>
      </c>
      <c r="S43" s="18">
        <v>0.0</v>
      </c>
      <c r="T43" s="18">
        <v>0.0</v>
      </c>
    </row>
    <row r="44" ht="12.0" customHeight="1">
      <c r="A44" s="5"/>
      <c r="B44" s="162" t="s">
        <v>165</v>
      </c>
      <c r="C44" s="111">
        <v>0.0</v>
      </c>
      <c r="D44" s="111">
        <v>0.0</v>
      </c>
      <c r="E44" s="17">
        <v>0.0</v>
      </c>
      <c r="F44" s="17">
        <v>0.0</v>
      </c>
      <c r="G44" s="17">
        <v>0.0</v>
      </c>
      <c r="H44" s="17">
        <v>0.0</v>
      </c>
      <c r="I44" s="17">
        <v>0.0</v>
      </c>
      <c r="J44" s="17">
        <v>0.0</v>
      </c>
      <c r="K44" s="17">
        <v>0.0</v>
      </c>
      <c r="L44" s="17">
        <v>5337.0</v>
      </c>
      <c r="M44" s="17">
        <v>0.0</v>
      </c>
      <c r="N44" s="18"/>
      <c r="O44" s="18">
        <v>0.0</v>
      </c>
      <c r="P44" s="18">
        <v>0.0</v>
      </c>
      <c r="Q44" s="18">
        <v>0.0</v>
      </c>
      <c r="R44" s="18">
        <v>0.0</v>
      </c>
      <c r="S44" s="18">
        <v>0.0</v>
      </c>
      <c r="T44" s="18">
        <v>0.0</v>
      </c>
    </row>
    <row r="45" ht="12.0" customHeight="1">
      <c r="A45" s="5"/>
      <c r="B45" s="161" t="s">
        <v>166</v>
      </c>
      <c r="C45" s="111">
        <v>0.0</v>
      </c>
      <c r="D45" s="111">
        <v>0.0</v>
      </c>
      <c r="E45" s="111">
        <v>0.0</v>
      </c>
      <c r="F45" s="111">
        <v>0.0</v>
      </c>
      <c r="G45" s="111">
        <v>0.0</v>
      </c>
      <c r="H45" s="111">
        <v>0.0</v>
      </c>
      <c r="I45" s="111">
        <v>0.0</v>
      </c>
      <c r="J45" s="111">
        <v>0.0</v>
      </c>
      <c r="K45" s="111">
        <v>-23061.0</v>
      </c>
      <c r="L45" s="111">
        <v>0.0</v>
      </c>
      <c r="M45" s="17">
        <v>0.0</v>
      </c>
      <c r="N45" s="18">
        <v>0.0</v>
      </c>
      <c r="O45" s="18">
        <v>0.0</v>
      </c>
      <c r="P45" s="18">
        <v>0.0</v>
      </c>
      <c r="Q45" s="18">
        <v>0.0</v>
      </c>
      <c r="R45" s="18">
        <v>0.0</v>
      </c>
      <c r="S45" s="18">
        <v>0.0</v>
      </c>
      <c r="T45" s="18">
        <v>0.0</v>
      </c>
    </row>
    <row r="46" ht="12.0" customHeight="1">
      <c r="A46" s="5"/>
      <c r="B46" s="171" t="s">
        <v>167</v>
      </c>
      <c r="C46" s="169">
        <f t="shared" ref="C46:D46" si="6">SUM(C39:C45)</f>
        <v>-16551</v>
      </c>
      <c r="D46" s="169">
        <f t="shared" si="6"/>
        <v>-21391</v>
      </c>
      <c r="E46" s="169">
        <f t="shared" ref="E46:F46" si="7">SUM(E39:E44)</f>
        <v>-9607</v>
      </c>
      <c r="F46" s="169">
        <f t="shared" si="7"/>
        <v>-17164</v>
      </c>
      <c r="G46" s="169">
        <f t="shared" ref="G46:T46" si="8">SUM(G39:G45)</f>
        <v>-663896</v>
      </c>
      <c r="H46" s="169">
        <f t="shared" si="8"/>
        <v>-1507544</v>
      </c>
      <c r="I46" s="169">
        <f t="shared" si="8"/>
        <v>92830</v>
      </c>
      <c r="J46" s="169">
        <f t="shared" si="8"/>
        <v>225143</v>
      </c>
      <c r="K46" s="169">
        <f t="shared" si="8"/>
        <v>238325</v>
      </c>
      <c r="L46" s="169">
        <f t="shared" si="8"/>
        <v>-82560</v>
      </c>
      <c r="M46" s="169">
        <f t="shared" si="8"/>
        <v>-2773</v>
      </c>
      <c r="N46" s="170">
        <f t="shared" si="8"/>
        <v>48731</v>
      </c>
      <c r="O46" s="170">
        <f t="shared" si="8"/>
        <v>39476</v>
      </c>
      <c r="P46" s="170">
        <f t="shared" si="8"/>
        <v>66189</v>
      </c>
      <c r="Q46" s="170">
        <f t="shared" si="8"/>
        <v>-8011</v>
      </c>
      <c r="R46" s="170">
        <f t="shared" si="8"/>
        <v>-21156</v>
      </c>
      <c r="S46" s="170">
        <f t="shared" si="8"/>
        <v>-36028</v>
      </c>
      <c r="T46" s="170">
        <f t="shared" si="8"/>
        <v>-53919</v>
      </c>
    </row>
    <row r="47" ht="12.0" customHeight="1">
      <c r="A47" s="5"/>
      <c r="B47" s="172" t="s">
        <v>168</v>
      </c>
      <c r="C47" s="5"/>
      <c r="D47" s="5"/>
      <c r="E47" s="159"/>
      <c r="F47" s="159"/>
      <c r="G47" s="159"/>
      <c r="H47" s="159"/>
      <c r="I47" s="159"/>
      <c r="J47" s="159"/>
      <c r="K47" s="159"/>
      <c r="L47" s="159"/>
      <c r="M47" s="159"/>
      <c r="N47" s="160"/>
      <c r="O47" s="160"/>
      <c r="P47" s="160"/>
      <c r="Q47" s="160"/>
      <c r="R47" s="160"/>
      <c r="S47" s="160"/>
    </row>
    <row r="48" ht="12.0" customHeight="1">
      <c r="A48" s="5"/>
      <c r="B48" s="161" t="s">
        <v>169</v>
      </c>
      <c r="C48" s="111">
        <v>0.0</v>
      </c>
      <c r="D48" s="111">
        <v>0.0</v>
      </c>
      <c r="E48" s="17">
        <v>0.0</v>
      </c>
      <c r="F48" s="17">
        <v>691.0</v>
      </c>
      <c r="G48" s="17">
        <v>989.0</v>
      </c>
      <c r="H48" s="17">
        <v>1282.0</v>
      </c>
      <c r="I48" s="17">
        <v>0.0</v>
      </c>
      <c r="J48" s="17">
        <v>8785.0</v>
      </c>
      <c r="K48" s="17">
        <v>0.0</v>
      </c>
      <c r="L48" s="17" t="s">
        <v>43</v>
      </c>
      <c r="M48" s="17">
        <v>0.0</v>
      </c>
      <c r="N48" s="18">
        <v>0.0</v>
      </c>
      <c r="O48" s="18">
        <v>0.0</v>
      </c>
      <c r="P48" s="18">
        <v>0.0</v>
      </c>
      <c r="Q48" s="18">
        <v>0.0</v>
      </c>
      <c r="R48" s="18">
        <v>0.0</v>
      </c>
      <c r="S48" s="18">
        <v>0.0</v>
      </c>
      <c r="T48" s="18">
        <v>0.0</v>
      </c>
    </row>
    <row r="49" ht="12.0" customHeight="1">
      <c r="A49" s="5"/>
      <c r="B49" s="161" t="s">
        <v>170</v>
      </c>
      <c r="C49" s="111">
        <v>0.0</v>
      </c>
      <c r="D49" s="111">
        <v>0.0</v>
      </c>
      <c r="E49" s="17">
        <v>0.0</v>
      </c>
      <c r="F49" s="17">
        <v>0.0</v>
      </c>
      <c r="G49" s="17">
        <v>0.0</v>
      </c>
      <c r="H49" s="17">
        <v>915947.0</v>
      </c>
      <c r="I49" s="17">
        <v>0.0</v>
      </c>
      <c r="J49" s="17">
        <v>0.0</v>
      </c>
      <c r="K49" s="17">
        <v>0.0</v>
      </c>
      <c r="L49" s="17" t="s">
        <v>43</v>
      </c>
      <c r="M49" s="17">
        <v>0.0</v>
      </c>
      <c r="N49" s="18">
        <v>0.0</v>
      </c>
      <c r="O49" s="18">
        <v>0.0</v>
      </c>
      <c r="P49" s="18">
        <v>0.0</v>
      </c>
      <c r="Q49" s="18">
        <v>0.0</v>
      </c>
      <c r="R49" s="18">
        <v>0.0</v>
      </c>
      <c r="S49" s="18">
        <v>0.0</v>
      </c>
      <c r="T49" s="18">
        <v>0.0</v>
      </c>
    </row>
    <row r="50" ht="12.0" customHeight="1">
      <c r="A50" s="5"/>
      <c r="B50" s="161" t="s">
        <v>171</v>
      </c>
      <c r="C50" s="111">
        <v>0.0</v>
      </c>
      <c r="D50" s="111">
        <v>0.0</v>
      </c>
      <c r="E50" s="17">
        <v>0.0</v>
      </c>
      <c r="F50" s="17">
        <v>0.0</v>
      </c>
      <c r="G50" s="17">
        <v>0.0</v>
      </c>
      <c r="H50" s="17">
        <v>-55874.0</v>
      </c>
      <c r="I50" s="17">
        <v>0.0</v>
      </c>
      <c r="J50" s="17">
        <v>0.0</v>
      </c>
      <c r="K50" s="17">
        <v>0.0</v>
      </c>
      <c r="L50" s="17" t="s">
        <v>43</v>
      </c>
      <c r="M50" s="17">
        <v>0.0</v>
      </c>
      <c r="N50" s="18">
        <v>0.0</v>
      </c>
      <c r="O50" s="18">
        <v>0.0</v>
      </c>
      <c r="P50" s="18">
        <v>0.0</v>
      </c>
      <c r="Q50" s="18">
        <v>0.0</v>
      </c>
      <c r="R50" s="18">
        <v>0.0</v>
      </c>
      <c r="S50" s="18">
        <v>0.0</v>
      </c>
      <c r="T50" s="18">
        <v>0.0</v>
      </c>
    </row>
    <row r="51" ht="12.0" customHeight="1">
      <c r="A51" s="5"/>
      <c r="B51" s="161" t="s">
        <v>172</v>
      </c>
      <c r="C51" s="17">
        <v>-40059.0</v>
      </c>
      <c r="D51" s="17">
        <v>-30977.0</v>
      </c>
      <c r="E51" s="17">
        <v>0.0</v>
      </c>
      <c r="F51" s="17">
        <v>-71039.0</v>
      </c>
      <c r="G51" s="17">
        <v>-71039.0</v>
      </c>
      <c r="H51" s="17">
        <v>-126045.0</v>
      </c>
      <c r="I51" s="17">
        <v>0.0</v>
      </c>
      <c r="J51" s="17">
        <v>0.0</v>
      </c>
      <c r="K51" s="17">
        <v>0.0</v>
      </c>
      <c r="L51" s="17" t="s">
        <v>43</v>
      </c>
      <c r="M51" s="17">
        <v>0.0</v>
      </c>
      <c r="N51" s="18">
        <v>0.0</v>
      </c>
      <c r="O51" s="18">
        <v>0.0</v>
      </c>
      <c r="P51" s="18">
        <v>0.0</v>
      </c>
      <c r="Q51" s="18">
        <v>0.0</v>
      </c>
      <c r="R51" s="18">
        <v>0.0</v>
      </c>
      <c r="S51" s="18">
        <v>0.0</v>
      </c>
      <c r="T51" s="18">
        <v>0.0</v>
      </c>
    </row>
    <row r="52" ht="12.0" customHeight="1">
      <c r="A52" s="5"/>
      <c r="B52" s="161" t="s">
        <v>173</v>
      </c>
      <c r="C52" s="17">
        <v>-2676.0</v>
      </c>
      <c r="D52" s="17">
        <v>-4276.0</v>
      </c>
      <c r="E52" s="17">
        <v>0.0</v>
      </c>
      <c r="F52" s="17">
        <v>-460.0</v>
      </c>
      <c r="G52" s="17">
        <v>-713.0</v>
      </c>
      <c r="H52" s="17">
        <v>-6288.0</v>
      </c>
      <c r="I52" s="17">
        <v>0.0</v>
      </c>
      <c r="J52" s="17">
        <v>0.0</v>
      </c>
      <c r="K52" s="17">
        <v>0.0</v>
      </c>
      <c r="L52" s="17"/>
      <c r="M52" s="17">
        <v>0.0</v>
      </c>
      <c r="N52" s="18">
        <v>0.0</v>
      </c>
      <c r="O52" s="18">
        <v>0.0</v>
      </c>
      <c r="P52" s="18">
        <v>0.0</v>
      </c>
      <c r="Q52" s="18">
        <v>0.0</v>
      </c>
      <c r="R52" s="18">
        <v>0.0</v>
      </c>
      <c r="S52" s="18">
        <v>0.0</v>
      </c>
      <c r="T52" s="18">
        <v>0.0</v>
      </c>
    </row>
    <row r="53" ht="12.0" customHeight="1">
      <c r="A53" s="5"/>
      <c r="B53" s="161" t="s">
        <v>174</v>
      </c>
      <c r="C53" s="17">
        <v>-10949.0</v>
      </c>
      <c r="D53" s="17">
        <v>-15500.0</v>
      </c>
      <c r="E53" s="17">
        <v>-3647.0</v>
      </c>
      <c r="F53" s="17">
        <v>-7854.0</v>
      </c>
      <c r="G53" s="17">
        <v>-12407.0</v>
      </c>
      <c r="H53" s="17">
        <v>-17656.0</v>
      </c>
      <c r="I53" s="17">
        <v>-6084.0</v>
      </c>
      <c r="J53" s="17">
        <v>-12576.0</v>
      </c>
      <c r="K53" s="17">
        <v>-19828.0</v>
      </c>
      <c r="L53" s="17">
        <v>-26993.0</v>
      </c>
      <c r="M53" s="17">
        <v>-5919.0</v>
      </c>
      <c r="N53" s="18">
        <v>-12290.0</v>
      </c>
      <c r="O53" s="18">
        <v>-18465.0</v>
      </c>
      <c r="P53" s="18">
        <v>-24070.0</v>
      </c>
      <c r="Q53" s="18">
        <v>-5707.0</v>
      </c>
      <c r="R53" s="18">
        <v>-11465.0</v>
      </c>
      <c r="S53" s="18">
        <v>-16372.0</v>
      </c>
      <c r="T53" s="18">
        <v>-22494.0</v>
      </c>
    </row>
    <row r="54" ht="12.0" customHeight="1">
      <c r="A54" s="5"/>
      <c r="B54" s="161" t="s">
        <v>175</v>
      </c>
      <c r="C54" s="17">
        <v>8179.0</v>
      </c>
      <c r="D54" s="17">
        <v>144269.0</v>
      </c>
      <c r="E54" s="17">
        <v>22382.0</v>
      </c>
      <c r="F54" s="17">
        <v>88496.0</v>
      </c>
      <c r="G54" s="17">
        <v>740596.0</v>
      </c>
      <c r="H54" s="17">
        <v>740596.0</v>
      </c>
      <c r="I54" s="17">
        <v>0.0</v>
      </c>
      <c r="J54" s="17">
        <v>133789.0</v>
      </c>
      <c r="K54" s="17">
        <v>186239.0</v>
      </c>
      <c r="L54" s="17">
        <v>527507.0</v>
      </c>
      <c r="M54" s="17">
        <v>0.0</v>
      </c>
      <c r="N54" s="18">
        <v>0.0</v>
      </c>
      <c r="O54" s="18">
        <v>47950.0</v>
      </c>
      <c r="P54" s="18">
        <v>205093.0</v>
      </c>
      <c r="Q54" s="18">
        <v>49801.0</v>
      </c>
      <c r="R54" s="18">
        <v>49801.0</v>
      </c>
      <c r="S54" s="18">
        <v>104191.0</v>
      </c>
      <c r="T54" s="18">
        <v>104191.0</v>
      </c>
    </row>
    <row r="55" ht="11.25" customHeight="1">
      <c r="A55" s="5"/>
      <c r="B55" s="161" t="s">
        <v>176</v>
      </c>
      <c r="C55" s="17">
        <v>-24161.0</v>
      </c>
      <c r="D55" s="17">
        <v>-88107.0</v>
      </c>
      <c r="E55" s="17">
        <v>-38675.0</v>
      </c>
      <c r="F55" s="17">
        <v>-68265.0</v>
      </c>
      <c r="G55" s="17">
        <v>-71702.0</v>
      </c>
      <c r="H55" s="17">
        <v>-75196.0</v>
      </c>
      <c r="I55" s="17">
        <v>-38506.0</v>
      </c>
      <c r="J55" s="17">
        <v>-244384.0</v>
      </c>
      <c r="K55" s="17">
        <v>-279940.0</v>
      </c>
      <c r="L55" s="17">
        <v>-350571.0</v>
      </c>
      <c r="M55" s="17">
        <v>-19432.0</v>
      </c>
      <c r="N55" s="18">
        <v>-76992.0</v>
      </c>
      <c r="O55" s="18">
        <v>-163457.0</v>
      </c>
      <c r="P55" s="18">
        <v>-407013.0</v>
      </c>
      <c r="Q55" s="18">
        <v>-8924.0</v>
      </c>
      <c r="R55" s="18">
        <v>-34217.0</v>
      </c>
      <c r="S55" s="18">
        <v>-76471.0</v>
      </c>
      <c r="T55" s="18">
        <v>-122281.0</v>
      </c>
    </row>
    <row r="56" ht="12.0" customHeight="1">
      <c r="A56" s="5"/>
      <c r="B56" s="161" t="s">
        <v>177</v>
      </c>
      <c r="C56" s="111">
        <v>0.0</v>
      </c>
      <c r="D56" s="111">
        <v>0.0</v>
      </c>
      <c r="E56" s="17">
        <v>0.0</v>
      </c>
      <c r="F56" s="17">
        <v>0.0</v>
      </c>
      <c r="G56" s="17">
        <v>0.0</v>
      </c>
      <c r="H56" s="17">
        <v>0.0</v>
      </c>
      <c r="I56" s="17">
        <v>0.0</v>
      </c>
      <c r="J56" s="17">
        <v>0.0</v>
      </c>
      <c r="K56" s="17"/>
      <c r="L56" s="17">
        <v>-62338.0</v>
      </c>
      <c r="M56" s="17">
        <v>0.0</v>
      </c>
      <c r="N56" s="18">
        <v>-43184.0</v>
      </c>
      <c r="O56" s="18">
        <v>0.0</v>
      </c>
      <c r="P56" s="18">
        <v>-77338.0</v>
      </c>
      <c r="Q56" s="18">
        <v>0.0</v>
      </c>
      <c r="R56" s="18">
        <v>-3758.0</v>
      </c>
      <c r="S56" s="18">
        <v>-10390.0</v>
      </c>
      <c r="T56" s="18">
        <v>-100376.0</v>
      </c>
    </row>
    <row r="57" ht="12.0" customHeight="1">
      <c r="A57" s="5"/>
      <c r="B57" s="162" t="s">
        <v>178</v>
      </c>
      <c r="C57" s="111">
        <v>0.0</v>
      </c>
      <c r="D57" s="111">
        <v>0.0</v>
      </c>
      <c r="E57" s="17">
        <v>0.0</v>
      </c>
      <c r="F57" s="17">
        <v>0.0</v>
      </c>
      <c r="G57" s="17">
        <v>0.0</v>
      </c>
      <c r="H57" s="17">
        <v>0.0</v>
      </c>
      <c r="I57" s="17">
        <v>0.0</v>
      </c>
      <c r="J57" s="17">
        <v>0.0</v>
      </c>
      <c r="K57" s="17">
        <v>-62338.0</v>
      </c>
      <c r="L57" s="17">
        <v>0.0</v>
      </c>
      <c r="M57" s="17">
        <v>-1235.0</v>
      </c>
      <c r="N57" s="18">
        <v>0.0</v>
      </c>
      <c r="O57" s="18">
        <v>-47461.0</v>
      </c>
      <c r="P57" s="18">
        <v>0.0</v>
      </c>
      <c r="Q57" s="18">
        <v>0.0</v>
      </c>
      <c r="R57" s="18">
        <v>0.0</v>
      </c>
      <c r="S57" s="18">
        <v>0.0</v>
      </c>
      <c r="T57" s="18">
        <v>0.0</v>
      </c>
    </row>
    <row r="58" ht="12.0" customHeight="1">
      <c r="A58" s="5"/>
      <c r="B58" s="162" t="s">
        <v>179</v>
      </c>
      <c r="C58" s="111">
        <v>0.0</v>
      </c>
      <c r="D58" s="111">
        <v>0.0</v>
      </c>
      <c r="E58" s="17">
        <v>0.0</v>
      </c>
      <c r="F58" s="17">
        <v>0.0</v>
      </c>
      <c r="G58" s="17">
        <v>0.0</v>
      </c>
      <c r="H58" s="17">
        <v>0.0</v>
      </c>
      <c r="I58" s="17">
        <v>5128.0</v>
      </c>
      <c r="J58" s="17">
        <v>0.0</v>
      </c>
      <c r="K58" s="17">
        <v>10447.0</v>
      </c>
      <c r="L58" s="17">
        <v>12668.0</v>
      </c>
      <c r="M58" s="17">
        <v>478.0</v>
      </c>
      <c r="N58" s="18">
        <v>532.0</v>
      </c>
      <c r="O58" s="18">
        <v>578.0</v>
      </c>
      <c r="P58" s="18">
        <v>1227.0</v>
      </c>
      <c r="Q58" s="18">
        <v>921.0</v>
      </c>
      <c r="R58" s="18">
        <v>1123.0</v>
      </c>
      <c r="S58" s="18">
        <v>3262.0</v>
      </c>
      <c r="T58" s="16">
        <v>4703.0</v>
      </c>
    </row>
    <row r="59" ht="12.0" customHeight="1">
      <c r="A59" s="5"/>
      <c r="B59" s="166" t="s">
        <v>180</v>
      </c>
      <c r="C59" s="111">
        <v>0.0</v>
      </c>
      <c r="D59" s="111">
        <v>0.0</v>
      </c>
      <c r="E59" s="17">
        <v>0.0</v>
      </c>
      <c r="F59" s="17">
        <v>0.0</v>
      </c>
      <c r="G59" s="17">
        <v>0.0</v>
      </c>
      <c r="H59" s="17">
        <v>0.0</v>
      </c>
      <c r="I59" s="17">
        <v>-381.0</v>
      </c>
      <c r="J59" s="17">
        <v>-656.0</v>
      </c>
      <c r="K59" s="17">
        <v>390.0</v>
      </c>
      <c r="L59" s="17">
        <v>390.0</v>
      </c>
      <c r="M59" s="17">
        <v>2839.0</v>
      </c>
      <c r="N59" s="18">
        <v>5983.0</v>
      </c>
      <c r="O59" s="18">
        <v>9325.0</v>
      </c>
      <c r="P59" s="18">
        <v>12200.0</v>
      </c>
      <c r="Q59" s="18">
        <v>2728.0</v>
      </c>
      <c r="R59" s="18">
        <v>5171.0</v>
      </c>
      <c r="S59" s="18">
        <v>7046.0</v>
      </c>
      <c r="T59" s="16">
        <v>8014.0</v>
      </c>
    </row>
    <row r="60" ht="12.0" customHeight="1">
      <c r="A60" s="5"/>
      <c r="B60" s="162" t="s">
        <v>181</v>
      </c>
      <c r="C60" s="111">
        <v>0.0</v>
      </c>
      <c r="D60" s="111">
        <v>0.0</v>
      </c>
      <c r="E60" s="17">
        <v>0.0</v>
      </c>
      <c r="F60" s="17">
        <v>0.0</v>
      </c>
      <c r="G60" s="17">
        <v>0.0</v>
      </c>
      <c r="H60" s="17">
        <v>0.0</v>
      </c>
      <c r="I60" s="17">
        <v>0.0</v>
      </c>
      <c r="J60" s="17">
        <v>0.0</v>
      </c>
      <c r="K60" s="17">
        <v>0.0</v>
      </c>
      <c r="L60" s="17">
        <v>0.0</v>
      </c>
      <c r="M60" s="17">
        <v>0.0</v>
      </c>
      <c r="N60" s="18">
        <v>-18476.0</v>
      </c>
      <c r="O60" s="18">
        <v>-37827.0</v>
      </c>
      <c r="P60" s="18">
        <v>-43414.0</v>
      </c>
      <c r="Q60" s="18">
        <v>-4143.0</v>
      </c>
      <c r="R60" s="18">
        <v>-30611.0</v>
      </c>
      <c r="S60" s="18">
        <v>-50659.0</v>
      </c>
      <c r="T60" s="173">
        <v>-77589.0</v>
      </c>
    </row>
    <row r="61" ht="12.0" customHeight="1">
      <c r="A61" s="5"/>
      <c r="B61" s="168" t="s">
        <v>182</v>
      </c>
      <c r="C61" s="169">
        <f t="shared" ref="C61:D61" si="9">SUM(C48:C59)</f>
        <v>-69666</v>
      </c>
      <c r="D61" s="169">
        <f t="shared" si="9"/>
        <v>5409</v>
      </c>
      <c r="E61" s="169">
        <f>SUM(E48:E58)</f>
        <v>-19940</v>
      </c>
      <c r="F61" s="169">
        <f t="shared" ref="F61:M61" si="10">SUM(F48:F59)</f>
        <v>-58431</v>
      </c>
      <c r="G61" s="169">
        <f t="shared" si="10"/>
        <v>585724</v>
      </c>
      <c r="H61" s="169">
        <f t="shared" si="10"/>
        <v>1376766</v>
      </c>
      <c r="I61" s="169">
        <f t="shared" si="10"/>
        <v>-39843</v>
      </c>
      <c r="J61" s="169">
        <f t="shared" si="10"/>
        <v>-115042</v>
      </c>
      <c r="K61" s="169">
        <f t="shared" si="10"/>
        <v>-165030</v>
      </c>
      <c r="L61" s="169">
        <f t="shared" si="10"/>
        <v>100663</v>
      </c>
      <c r="M61" s="169">
        <f t="shared" si="10"/>
        <v>-23269</v>
      </c>
      <c r="N61" s="170">
        <f t="shared" ref="N61:T61" si="11">SUM(N48:N60)</f>
        <v>-144427</v>
      </c>
      <c r="O61" s="170">
        <f t="shared" si="11"/>
        <v>-209357</v>
      </c>
      <c r="P61" s="170">
        <f t="shared" si="11"/>
        <v>-333315</v>
      </c>
      <c r="Q61" s="170">
        <f t="shared" si="11"/>
        <v>34676</v>
      </c>
      <c r="R61" s="170">
        <f t="shared" si="11"/>
        <v>-23956</v>
      </c>
      <c r="S61" s="170">
        <f t="shared" si="11"/>
        <v>-39393</v>
      </c>
      <c r="T61" s="170">
        <f t="shared" si="11"/>
        <v>-205832</v>
      </c>
    </row>
    <row r="62" ht="12.0" customHeight="1">
      <c r="A62" s="5"/>
      <c r="B62" s="152" t="s">
        <v>183</v>
      </c>
      <c r="C62" s="174">
        <v>5140.0</v>
      </c>
      <c r="D62" s="174">
        <v>84990.0</v>
      </c>
      <c r="E62" s="174">
        <f t="shared" ref="E62:T62" si="12">E37+E46+E61</f>
        <v>-24104</v>
      </c>
      <c r="F62" s="174">
        <f t="shared" si="12"/>
        <v>-80290</v>
      </c>
      <c r="G62" s="174">
        <f t="shared" si="12"/>
        <v>-39833</v>
      </c>
      <c r="H62" s="174">
        <f t="shared" si="12"/>
        <v>1601</v>
      </c>
      <c r="I62" s="174">
        <f t="shared" si="12"/>
        <v>-19732</v>
      </c>
      <c r="J62" s="174">
        <f t="shared" si="12"/>
        <v>-39635</v>
      </c>
      <c r="K62" s="174">
        <f t="shared" si="12"/>
        <v>12476</v>
      </c>
      <c r="L62" s="174">
        <f t="shared" si="12"/>
        <v>54195</v>
      </c>
      <c r="M62" s="174">
        <f t="shared" si="12"/>
        <v>67030</v>
      </c>
      <c r="N62" s="175">
        <f t="shared" si="12"/>
        <v>-33588</v>
      </c>
      <c r="O62" s="175">
        <f t="shared" si="12"/>
        <v>7880</v>
      </c>
      <c r="P62" s="175">
        <f t="shared" si="12"/>
        <v>28116</v>
      </c>
      <c r="Q62" s="175">
        <f t="shared" si="12"/>
        <v>145794</v>
      </c>
      <c r="R62" s="175">
        <f t="shared" si="12"/>
        <v>51092</v>
      </c>
      <c r="S62" s="175">
        <f t="shared" si="12"/>
        <v>168044</v>
      </c>
      <c r="T62" s="175">
        <f t="shared" si="12"/>
        <v>114328</v>
      </c>
    </row>
    <row r="63" ht="12.0" customHeight="1">
      <c r="A63" s="5"/>
      <c r="B63" s="176"/>
      <c r="C63" s="5"/>
      <c r="D63" s="5"/>
      <c r="E63" s="159"/>
      <c r="F63" s="159"/>
      <c r="G63" s="159"/>
      <c r="H63" s="159"/>
      <c r="I63" s="159"/>
      <c r="J63" s="159"/>
      <c r="K63" s="159"/>
      <c r="L63" s="159"/>
      <c r="M63" s="159"/>
      <c r="N63" s="160"/>
      <c r="O63" s="160"/>
      <c r="P63" s="160"/>
      <c r="Q63" s="160"/>
      <c r="R63" s="160"/>
      <c r="S63" s="160"/>
    </row>
    <row r="64" ht="12.0" customHeight="1">
      <c r="A64" s="5"/>
      <c r="B64" s="161" t="s">
        <v>184</v>
      </c>
      <c r="C64" s="17">
        <v>77079.0</v>
      </c>
      <c r="D64" s="17">
        <v>79500.0</v>
      </c>
      <c r="E64" s="17">
        <v>162827.0</v>
      </c>
      <c r="F64" s="17">
        <v>162827.0</v>
      </c>
      <c r="G64" s="17">
        <v>162827.0</v>
      </c>
      <c r="H64" s="17">
        <v>162827.0</v>
      </c>
      <c r="I64" s="17">
        <v>135727.0</v>
      </c>
      <c r="J64" s="17">
        <v>135727.0</v>
      </c>
      <c r="K64" s="17">
        <v>135727.0</v>
      </c>
      <c r="L64" s="17">
        <v>135727.0</v>
      </c>
      <c r="M64" s="17">
        <v>185727.0</v>
      </c>
      <c r="N64" s="18">
        <v>185727.0</v>
      </c>
      <c r="O64" s="18">
        <v>185727.0</v>
      </c>
      <c r="P64" s="18">
        <v>185727.0</v>
      </c>
      <c r="Q64" s="18">
        <v>211638.0</v>
      </c>
      <c r="R64" s="18">
        <v>211638.0</v>
      </c>
      <c r="S64" s="18">
        <v>211638.0</v>
      </c>
      <c r="T64" s="16">
        <v>211638.0</v>
      </c>
      <c r="X64" s="20"/>
    </row>
    <row r="65" ht="12.0" customHeight="1">
      <c r="A65" s="5"/>
      <c r="B65" s="161" t="s">
        <v>185</v>
      </c>
      <c r="C65" s="17">
        <v>-1464.0</v>
      </c>
      <c r="D65" s="17">
        <v>-1663.0</v>
      </c>
      <c r="E65" s="17">
        <v>-7426.0</v>
      </c>
      <c r="F65" s="17">
        <v>5713.0</v>
      </c>
      <c r="G65" s="17">
        <v>-2937.0</v>
      </c>
      <c r="H65" s="17">
        <v>-20949.0</v>
      </c>
      <c r="I65" s="17">
        <v>15832.0</v>
      </c>
      <c r="J65" s="17">
        <v>8098.0</v>
      </c>
      <c r="K65" s="17">
        <v>3647.0</v>
      </c>
      <c r="L65" s="17">
        <v>-4195.0</v>
      </c>
      <c r="M65" s="17">
        <v>-1207.0</v>
      </c>
      <c r="N65" s="18">
        <v>-2907.0</v>
      </c>
      <c r="O65" s="18">
        <v>688.0</v>
      </c>
      <c r="P65" s="18">
        <v>-2205.0</v>
      </c>
      <c r="Q65" s="18">
        <v>2864.0</v>
      </c>
      <c r="R65" s="18">
        <v>2040.0</v>
      </c>
      <c r="S65" s="18">
        <v>3687.0</v>
      </c>
      <c r="T65" s="16">
        <v>24615.0</v>
      </c>
    </row>
    <row r="66" ht="12.0" customHeight="1">
      <c r="A66" s="5"/>
      <c r="B66" s="177" t="s">
        <v>186</v>
      </c>
      <c r="C66" s="178">
        <v>-1255.0</v>
      </c>
      <c r="D66" s="178">
        <v>0.0</v>
      </c>
      <c r="E66" s="178">
        <v>0.0</v>
      </c>
      <c r="F66" s="178">
        <v>-7752.0</v>
      </c>
      <c r="G66" s="178">
        <v>-7752.0</v>
      </c>
      <c r="H66" s="178">
        <v>-7752.0</v>
      </c>
      <c r="I66" s="178">
        <v>0.0</v>
      </c>
      <c r="J66" s="178">
        <v>0.0</v>
      </c>
      <c r="K66" s="178">
        <v>0.0</v>
      </c>
      <c r="L66" s="178">
        <v>0.0</v>
      </c>
      <c r="M66" s="178">
        <v>0.0</v>
      </c>
      <c r="N66" s="179">
        <v>0.0</v>
      </c>
      <c r="O66" s="179">
        <v>0.0</v>
      </c>
      <c r="P66" s="179">
        <v>0.0</v>
      </c>
      <c r="Q66" s="179">
        <v>0.0</v>
      </c>
      <c r="R66" s="179">
        <v>0.0</v>
      </c>
      <c r="S66" s="179">
        <v>0.0</v>
      </c>
      <c r="T66" s="179">
        <v>0.0</v>
      </c>
    </row>
    <row r="67" ht="12.0" customHeight="1">
      <c r="A67" s="5"/>
      <c r="B67" s="180" t="s">
        <v>11</v>
      </c>
      <c r="C67" s="169">
        <f t="shared" ref="C67:T67" si="13">sum(C62:C66)</f>
        <v>79500</v>
      </c>
      <c r="D67" s="169">
        <f t="shared" si="13"/>
        <v>162827</v>
      </c>
      <c r="E67" s="169">
        <f t="shared" si="13"/>
        <v>131297</v>
      </c>
      <c r="F67" s="169">
        <f t="shared" si="13"/>
        <v>80498</v>
      </c>
      <c r="G67" s="169">
        <f t="shared" si="13"/>
        <v>112305</v>
      </c>
      <c r="H67" s="169">
        <f t="shared" si="13"/>
        <v>135727</v>
      </c>
      <c r="I67" s="169">
        <f t="shared" si="13"/>
        <v>131827</v>
      </c>
      <c r="J67" s="169">
        <f t="shared" si="13"/>
        <v>104190</v>
      </c>
      <c r="K67" s="169">
        <f t="shared" si="13"/>
        <v>151850</v>
      </c>
      <c r="L67" s="169">
        <f t="shared" si="13"/>
        <v>185727</v>
      </c>
      <c r="M67" s="169">
        <f t="shared" si="13"/>
        <v>251550</v>
      </c>
      <c r="N67" s="170">
        <f t="shared" si="13"/>
        <v>149232</v>
      </c>
      <c r="O67" s="170">
        <f t="shared" si="13"/>
        <v>194295</v>
      </c>
      <c r="P67" s="170">
        <f t="shared" si="13"/>
        <v>211638</v>
      </c>
      <c r="Q67" s="170">
        <f t="shared" si="13"/>
        <v>360296</v>
      </c>
      <c r="R67" s="170">
        <f t="shared" si="13"/>
        <v>264770</v>
      </c>
      <c r="S67" s="170">
        <f t="shared" si="13"/>
        <v>383369</v>
      </c>
      <c r="T67" s="170">
        <f t="shared" si="13"/>
        <v>350581</v>
      </c>
    </row>
    <row r="68" ht="15.75" customHeight="1"/>
    <row r="69" ht="15.75" customHeight="1">
      <c r="B69" s="181" t="s">
        <v>187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1" width="4.38"/>
    <col customWidth="1" min="2" max="2" width="36.75"/>
    <col customWidth="1" min="3" max="3" width="8.75"/>
    <col customWidth="1" min="4" max="4" width="6.63"/>
    <col customWidth="1" min="5" max="5" width="8.75"/>
    <col customWidth="1" min="6" max="6" width="6.63"/>
    <col customWidth="1" min="7" max="7" width="10.5"/>
    <col customWidth="1" min="8" max="8" width="5.75"/>
    <col customWidth="1" min="9" max="9" width="9.5"/>
    <col customWidth="1" min="10" max="10" width="5.75"/>
    <col customWidth="1" min="11" max="11" width="10.25"/>
    <col customWidth="1" min="12" max="12" width="5.75"/>
    <col customWidth="1" min="13" max="13" width="10.25"/>
    <col customWidth="1" min="14" max="14" width="5.75"/>
    <col customWidth="1" min="15" max="15" width="10.25"/>
    <col customWidth="1" min="16" max="16" width="5.75"/>
    <col customWidth="1" min="17" max="17" width="8.13"/>
    <col customWidth="1" min="18" max="18" width="7.0"/>
    <col customWidth="1" min="19" max="19" width="8.13"/>
    <col customWidth="1" min="20" max="20" width="7.0"/>
    <col customWidth="1" min="21" max="21" width="9.5"/>
    <col customWidth="1" min="22" max="22" width="7.0"/>
    <col customWidth="1" min="23" max="23" width="8.13"/>
    <col customWidth="1" min="24" max="24" width="7.0"/>
    <col customWidth="1" min="25" max="25" width="9.5"/>
    <col customWidth="1" min="26" max="26" width="7.0"/>
    <col customWidth="1" min="27" max="27" width="8.13"/>
    <col customWidth="1" min="28" max="28" width="7.0"/>
    <col customWidth="1" min="29" max="29" width="9.5"/>
    <col customWidth="1" min="30" max="30" width="7.0"/>
    <col customWidth="1" min="31" max="31" width="9.5"/>
    <col customWidth="1" min="32" max="32" width="7.0"/>
    <col customWidth="1" min="33" max="33" width="9.5"/>
    <col customWidth="1" min="34" max="34" width="7.0"/>
    <col customWidth="1" min="35" max="35" width="9.5"/>
    <col customWidth="1" min="36" max="36" width="7.0"/>
    <col customWidth="1" min="37" max="37" width="9.5"/>
    <col customWidth="1" min="38" max="38" width="7.0"/>
    <col customWidth="1" min="39" max="39" width="9.5"/>
    <col customWidth="1" min="40" max="40" width="7.0"/>
    <col customWidth="1" min="41" max="41" width="8.5"/>
    <col customWidth="1" min="42" max="42" width="7.0"/>
    <col customWidth="1" min="43" max="43" width="9.5"/>
    <col customWidth="1" min="44" max="44" width="7.0"/>
  </cols>
  <sheetData>
    <row r="1" ht="12.0" customHeight="1">
      <c r="A1" s="1" t="s">
        <v>188</v>
      </c>
      <c r="B1" s="2"/>
      <c r="C1" s="2"/>
      <c r="D1" s="2"/>
      <c r="E1" s="2"/>
      <c r="F1" s="182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</row>
    <row r="2" ht="12.0" customHeight="1">
      <c r="A2" s="4" t="s">
        <v>1</v>
      </c>
      <c r="B2" s="4"/>
      <c r="C2" s="5"/>
      <c r="D2" s="5"/>
      <c r="E2" s="5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5"/>
      <c r="AL2" s="184"/>
      <c r="AM2" s="185"/>
      <c r="AN2" s="184"/>
      <c r="AO2" s="184"/>
      <c r="AP2" s="184"/>
      <c r="AQ2" s="184"/>
      <c r="AR2" s="184"/>
    </row>
    <row r="3" ht="12.0" customHeight="1">
      <c r="A3" s="4"/>
      <c r="B3" s="33"/>
      <c r="C3" s="5"/>
      <c r="D3" s="5"/>
      <c r="E3" s="5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5"/>
      <c r="AL3" s="184"/>
      <c r="AM3" s="185"/>
      <c r="AN3" s="184"/>
      <c r="AO3" s="184"/>
      <c r="AP3" s="184"/>
      <c r="AQ3" s="184"/>
      <c r="AR3" s="184"/>
    </row>
    <row r="4" ht="12.0" customHeight="1">
      <c r="A4" s="4"/>
      <c r="B4" s="33" t="s">
        <v>189</v>
      </c>
      <c r="C4" s="5"/>
      <c r="D4" s="5"/>
      <c r="E4" s="5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</row>
    <row r="5">
      <c r="A5" s="40"/>
      <c r="B5" s="107"/>
      <c r="C5" s="186">
        <v>2021.0</v>
      </c>
      <c r="E5" s="186" t="s">
        <v>64</v>
      </c>
      <c r="G5" s="186" t="s">
        <v>65</v>
      </c>
      <c r="I5" s="186" t="s">
        <v>66</v>
      </c>
      <c r="K5" s="186" t="s">
        <v>67</v>
      </c>
      <c r="M5" s="186" t="s">
        <v>68</v>
      </c>
      <c r="O5" s="186">
        <v>2022.0</v>
      </c>
      <c r="Q5" s="186" t="s">
        <v>70</v>
      </c>
      <c r="S5" s="186" t="s">
        <v>71</v>
      </c>
      <c r="U5" s="186" t="s">
        <v>72</v>
      </c>
      <c r="W5" s="186" t="s">
        <v>73</v>
      </c>
      <c r="Y5" s="186" t="s">
        <v>74</v>
      </c>
      <c r="AA5" s="186" t="s">
        <v>75</v>
      </c>
      <c r="AC5" s="186">
        <v>2023.0</v>
      </c>
      <c r="AE5" s="186" t="s">
        <v>76</v>
      </c>
      <c r="AG5" s="186" t="s">
        <v>77</v>
      </c>
      <c r="AI5" s="186" t="s">
        <v>78</v>
      </c>
      <c r="AK5" s="186" t="s">
        <v>79</v>
      </c>
      <c r="AM5" s="186" t="s">
        <v>80</v>
      </c>
      <c r="AO5" s="187" t="s">
        <v>81</v>
      </c>
      <c r="AQ5" s="187">
        <v>2024.0</v>
      </c>
    </row>
    <row r="6" ht="12.0" customHeight="1">
      <c r="A6" s="40"/>
      <c r="B6" s="46" t="s">
        <v>190</v>
      </c>
      <c r="C6" s="188">
        <v>494189.0</v>
      </c>
      <c r="D6" s="189">
        <f t="shared" ref="D6:D11" si="1">C6/$C$12</f>
        <v>0.3421461111</v>
      </c>
      <c r="E6" s="188">
        <v>156326.0</v>
      </c>
      <c r="F6" s="189">
        <f t="shared" ref="F6:F11" si="2">E6/$E$12</f>
        <v>0.3178184568</v>
      </c>
      <c r="G6" s="190">
        <v>161662.0</v>
      </c>
      <c r="H6" s="191">
        <f t="shared" ref="H6:H11" si="3">G6/$G$12</f>
        <v>0.3079188214</v>
      </c>
      <c r="I6" s="190">
        <v>317987.0</v>
      </c>
      <c r="J6" s="191">
        <f t="shared" ref="J6:J11" si="4">I6/$I$12</f>
        <v>0.3127063282</v>
      </c>
      <c r="K6" s="190">
        <v>161185.0</v>
      </c>
      <c r="L6" s="191">
        <f t="shared" ref="L6:L11" si="5">K6/$K$12</f>
        <v>0.2883359749</v>
      </c>
      <c r="M6" s="190">
        <v>479172.0</v>
      </c>
      <c r="N6" s="191">
        <f t="shared" ref="N6:N11" si="6">M6/$M$12</f>
        <v>0.3040614758</v>
      </c>
      <c r="O6" s="190">
        <v>652089.0</v>
      </c>
      <c r="P6" s="191">
        <f t="shared" ref="P6:P11" si="7">O6/$O$12</f>
        <v>0.2980692139</v>
      </c>
      <c r="Q6" s="192">
        <v>174783.0</v>
      </c>
      <c r="R6" s="189">
        <v>0.2865</v>
      </c>
      <c r="S6" s="185">
        <v>159031.0</v>
      </c>
      <c r="T6" s="189">
        <f t="shared" ref="T6:T11" si="8">S6/$S$12</f>
        <v>0.2781079058</v>
      </c>
      <c r="U6" s="185">
        <v>333814.0</v>
      </c>
      <c r="V6" s="189">
        <f t="shared" ref="V6:V11" si="9">U6/$U$12</f>
        <v>0.2824566094</v>
      </c>
      <c r="W6" s="185">
        <v>158592.0</v>
      </c>
      <c r="X6" s="189">
        <f t="shared" ref="X6:X11" si="10">W6/$W$12</f>
        <v>0.2997488107</v>
      </c>
      <c r="Y6" s="185">
        <v>492406.0</v>
      </c>
      <c r="Z6" s="189">
        <f t="shared" ref="Z6:Z11" si="11">Y6/$Y$12</f>
        <v>0.2878040712</v>
      </c>
      <c r="AA6" s="185">
        <v>154657.0</v>
      </c>
      <c r="AB6" s="189">
        <f t="shared" ref="AB6:AB11" si="12">AA6/$AA$12</f>
        <v>0.2959602725</v>
      </c>
      <c r="AC6" s="185">
        <f t="shared" ref="AC6:AC10" si="13">Y6+AA6</f>
        <v>647063</v>
      </c>
      <c r="AD6" s="189">
        <f t="shared" ref="AD6:AD11" si="14">AC6/$AC$12</f>
        <v>0.2897124917</v>
      </c>
      <c r="AE6" s="185">
        <v>147720.0</v>
      </c>
      <c r="AF6" s="189">
        <f t="shared" ref="AF6:AF11" si="15">AE6/$AE$12</f>
        <v>0.2821727993</v>
      </c>
      <c r="AG6" s="185">
        <v>157689.0</v>
      </c>
      <c r="AH6" s="189">
        <f t="shared" ref="AH6:AH11" si="16">AG6/$AG$12</f>
        <v>0.2787738751</v>
      </c>
      <c r="AI6" s="185">
        <f t="shared" ref="AI6:AI11" si="17">AE6+AG6</f>
        <v>305409</v>
      </c>
      <c r="AJ6" s="189">
        <f t="shared" ref="AJ6:AJ11" si="18">AI6/$AI$12</f>
        <v>0.2804075798</v>
      </c>
      <c r="AK6" s="185">
        <v>176422.0</v>
      </c>
      <c r="AL6" s="189">
        <f t="shared" ref="AL6:AL11" si="19">AK6/$AK$12</f>
        <v>0.2835637135</v>
      </c>
      <c r="AM6" s="185">
        <v>481831.0</v>
      </c>
      <c r="AN6" s="189">
        <f t="shared" ref="AN6:AN11" si="20">AM6/$AM$12</f>
        <v>0.2815550093</v>
      </c>
      <c r="AO6" s="193">
        <v>202069.0</v>
      </c>
      <c r="AP6" s="189">
        <f t="shared" ref="AP6:AP11" si="21">AO6/$AO$12</f>
        <v>0.3077941286</v>
      </c>
      <c r="AQ6" s="193">
        <v>683900.0</v>
      </c>
      <c r="AR6" s="189">
        <f t="shared" ref="AR6:AR11" si="22">AQ6/$AQ$12</f>
        <v>0.2888301008</v>
      </c>
    </row>
    <row r="7" ht="12.0" customHeight="1">
      <c r="A7" s="40"/>
      <c r="B7" s="46" t="s">
        <v>191</v>
      </c>
      <c r="C7" s="188">
        <v>370152.0</v>
      </c>
      <c r="D7" s="189">
        <f t="shared" si="1"/>
        <v>0.2562705105</v>
      </c>
      <c r="E7" s="188">
        <v>104369.0</v>
      </c>
      <c r="F7" s="189">
        <f t="shared" si="2"/>
        <v>0.212187317</v>
      </c>
      <c r="G7" s="190">
        <v>119650.0</v>
      </c>
      <c r="H7" s="191">
        <f t="shared" si="3"/>
        <v>0.2278982505</v>
      </c>
      <c r="I7" s="190">
        <v>224019.0</v>
      </c>
      <c r="J7" s="191">
        <f t="shared" si="4"/>
        <v>0.2202988139</v>
      </c>
      <c r="K7" s="190">
        <v>127097.0</v>
      </c>
      <c r="L7" s="191">
        <f t="shared" si="5"/>
        <v>0.2273576164</v>
      </c>
      <c r="M7" s="190">
        <v>351116.0</v>
      </c>
      <c r="N7" s="191">
        <f t="shared" si="6"/>
        <v>0.2228027705</v>
      </c>
      <c r="O7" s="190">
        <v>473871.0</v>
      </c>
      <c r="P7" s="191">
        <f t="shared" si="7"/>
        <v>0.2166059487</v>
      </c>
      <c r="Q7" s="192">
        <v>116156.2963</v>
      </c>
      <c r="R7" s="189">
        <v>0.1904</v>
      </c>
      <c r="S7" s="185">
        <v>121993.0</v>
      </c>
      <c r="T7" s="189">
        <f t="shared" si="8"/>
        <v>0.213337134</v>
      </c>
      <c r="U7" s="185">
        <v>238149.0</v>
      </c>
      <c r="V7" s="189">
        <f t="shared" si="9"/>
        <v>0.2015097003</v>
      </c>
      <c r="W7" s="185">
        <v>105562.0</v>
      </c>
      <c r="X7" s="189">
        <f t="shared" si="10"/>
        <v>0.1995187901</v>
      </c>
      <c r="Y7" s="185">
        <v>343712.0</v>
      </c>
      <c r="Z7" s="189">
        <f t="shared" si="11"/>
        <v>0.2008946132</v>
      </c>
      <c r="AA7" s="185">
        <v>104875.0</v>
      </c>
      <c r="AB7" s="189">
        <f t="shared" si="12"/>
        <v>0.2006946571</v>
      </c>
      <c r="AC7" s="185">
        <f t="shared" si="13"/>
        <v>448587</v>
      </c>
      <c r="AD7" s="189">
        <f t="shared" si="14"/>
        <v>0.2008479198</v>
      </c>
      <c r="AE7" s="185">
        <v>110002.0</v>
      </c>
      <c r="AF7" s="189">
        <f t="shared" si="15"/>
        <v>0.2101243723</v>
      </c>
      <c r="AG7" s="185">
        <v>131714.0</v>
      </c>
      <c r="AH7" s="189">
        <f t="shared" si="16"/>
        <v>0.2328534152</v>
      </c>
      <c r="AI7" s="185">
        <f t="shared" si="17"/>
        <v>241716</v>
      </c>
      <c r="AJ7" s="189">
        <f t="shared" si="18"/>
        <v>0.2219286221</v>
      </c>
      <c r="AK7" s="185">
        <v>139212.0</v>
      </c>
      <c r="AL7" s="189">
        <f t="shared" si="19"/>
        <v>0.223755947</v>
      </c>
      <c r="AM7" s="185">
        <v>380928.0</v>
      </c>
      <c r="AN7" s="189">
        <f t="shared" si="20"/>
        <v>0.222592956</v>
      </c>
      <c r="AO7" s="193">
        <v>134284.0</v>
      </c>
      <c r="AP7" s="189">
        <f t="shared" si="21"/>
        <v>0.2045431351</v>
      </c>
      <c r="AQ7" s="193">
        <v>515212.0</v>
      </c>
      <c r="AR7" s="189">
        <f t="shared" si="22"/>
        <v>0.2175884397</v>
      </c>
    </row>
    <row r="8" ht="12.0" customHeight="1">
      <c r="A8" s="40"/>
      <c r="B8" s="194" t="s">
        <v>192</v>
      </c>
      <c r="C8" s="188">
        <v>145846.0</v>
      </c>
      <c r="D8" s="189">
        <f t="shared" si="1"/>
        <v>0.1009748127</v>
      </c>
      <c r="E8" s="188">
        <v>73222.0</v>
      </c>
      <c r="F8" s="189">
        <f t="shared" si="2"/>
        <v>0.1488639321</v>
      </c>
      <c r="G8" s="190">
        <v>75167.0</v>
      </c>
      <c r="H8" s="191">
        <f t="shared" si="3"/>
        <v>0.1431711475</v>
      </c>
      <c r="I8" s="190">
        <v>148389.0</v>
      </c>
      <c r="J8" s="191">
        <f t="shared" si="4"/>
        <v>0.1459247684</v>
      </c>
      <c r="K8" s="190">
        <v>79226.0</v>
      </c>
      <c r="L8" s="191">
        <f t="shared" si="5"/>
        <v>0.1417235223</v>
      </c>
      <c r="M8" s="190">
        <v>227615.0</v>
      </c>
      <c r="N8" s="191">
        <f t="shared" si="6"/>
        <v>0.1444344678</v>
      </c>
      <c r="O8" s="190">
        <v>307995.0</v>
      </c>
      <c r="P8" s="191">
        <f t="shared" si="7"/>
        <v>0.140784199</v>
      </c>
      <c r="Q8" s="192">
        <v>75814.35065</v>
      </c>
      <c r="R8" s="189">
        <v>0.1243</v>
      </c>
      <c r="S8" s="185">
        <v>68099.0</v>
      </c>
      <c r="T8" s="189">
        <f t="shared" si="8"/>
        <v>0.119089173</v>
      </c>
      <c r="U8" s="185">
        <v>143913.0</v>
      </c>
      <c r="V8" s="189">
        <f t="shared" si="9"/>
        <v>0.121771939</v>
      </c>
      <c r="W8" s="185">
        <v>64438.0</v>
      </c>
      <c r="X8" s="189">
        <f t="shared" si="10"/>
        <v>0.121791855</v>
      </c>
      <c r="Y8" s="185">
        <v>208351.0</v>
      </c>
      <c r="Z8" s="189">
        <f t="shared" si="11"/>
        <v>0.1217780978</v>
      </c>
      <c r="AA8" s="185">
        <v>66206.0</v>
      </c>
      <c r="AB8" s="189">
        <f t="shared" si="12"/>
        <v>0.1266954991</v>
      </c>
      <c r="AC8" s="185">
        <f t="shared" si="13"/>
        <v>274557</v>
      </c>
      <c r="AD8" s="189">
        <f t="shared" si="14"/>
        <v>0.1229286678</v>
      </c>
      <c r="AE8" s="185">
        <v>91058.0</v>
      </c>
      <c r="AF8" s="189">
        <f t="shared" si="15"/>
        <v>0.1739377929</v>
      </c>
      <c r="AG8" s="185">
        <v>105374.0</v>
      </c>
      <c r="AH8" s="189">
        <f t="shared" si="16"/>
        <v>0.1862876822</v>
      </c>
      <c r="AI8" s="185">
        <f t="shared" si="17"/>
        <v>196432</v>
      </c>
      <c r="AJ8" s="189">
        <f t="shared" si="18"/>
        <v>0.1803516652</v>
      </c>
      <c r="AK8" s="185">
        <v>130334.0</v>
      </c>
      <c r="AL8" s="189">
        <f t="shared" si="19"/>
        <v>0.2094863058</v>
      </c>
      <c r="AM8" s="185">
        <v>326766.0</v>
      </c>
      <c r="AN8" s="189">
        <f t="shared" si="20"/>
        <v>0.1909437213</v>
      </c>
      <c r="AO8" s="193">
        <v>138627.0</v>
      </c>
      <c r="AP8" s="189">
        <f t="shared" si="21"/>
        <v>0.2111584492</v>
      </c>
      <c r="AQ8" s="193">
        <v>465392.0</v>
      </c>
      <c r="AR8" s="189">
        <f t="shared" si="22"/>
        <v>0.1965480601</v>
      </c>
    </row>
    <row r="9" ht="12.0" customHeight="1">
      <c r="A9" s="40"/>
      <c r="B9" s="194" t="s">
        <v>193</v>
      </c>
      <c r="C9" s="188">
        <v>170296.0</v>
      </c>
      <c r="D9" s="189">
        <f t="shared" si="1"/>
        <v>0.117902491</v>
      </c>
      <c r="E9" s="188">
        <v>68056.0</v>
      </c>
      <c r="F9" s="189">
        <f t="shared" si="2"/>
        <v>0.1383611997</v>
      </c>
      <c r="G9" s="190">
        <v>69895.0</v>
      </c>
      <c r="H9" s="191">
        <f t="shared" si="3"/>
        <v>0.1331295296</v>
      </c>
      <c r="I9" s="190">
        <v>137951.0</v>
      </c>
      <c r="J9" s="191">
        <f t="shared" si="4"/>
        <v>0.1356601078</v>
      </c>
      <c r="K9" s="190">
        <v>78146.0</v>
      </c>
      <c r="L9" s="191">
        <f t="shared" si="5"/>
        <v>0.1397915631</v>
      </c>
      <c r="M9" s="190">
        <v>216097.0</v>
      </c>
      <c r="N9" s="191">
        <f t="shared" si="6"/>
        <v>0.1371256516</v>
      </c>
      <c r="O9" s="190">
        <v>329787.0</v>
      </c>
      <c r="P9" s="191">
        <f t="shared" si="7"/>
        <v>0.1507452999</v>
      </c>
      <c r="Q9" s="192">
        <v>125060.2087</v>
      </c>
      <c r="R9" s="189">
        <v>0.205</v>
      </c>
      <c r="S9" s="185">
        <v>104127.0</v>
      </c>
      <c r="T9" s="189">
        <f t="shared" si="8"/>
        <v>0.1820936919</v>
      </c>
      <c r="U9" s="185">
        <v>229187.0</v>
      </c>
      <c r="V9" s="189">
        <f t="shared" si="9"/>
        <v>0.1939265068</v>
      </c>
      <c r="W9" s="185">
        <v>84147.0</v>
      </c>
      <c r="X9" s="189">
        <f t="shared" si="10"/>
        <v>0.1590430991</v>
      </c>
      <c r="Y9" s="185">
        <v>313334.0</v>
      </c>
      <c r="Z9" s="189">
        <f t="shared" si="11"/>
        <v>0.1831391186</v>
      </c>
      <c r="AA9" s="185">
        <v>73957.0</v>
      </c>
      <c r="AB9" s="189">
        <f t="shared" si="12"/>
        <v>0.1415282456</v>
      </c>
      <c r="AC9" s="185">
        <f t="shared" si="13"/>
        <v>387291</v>
      </c>
      <c r="AD9" s="189">
        <f t="shared" si="14"/>
        <v>0.1734035799</v>
      </c>
      <c r="AE9" s="185">
        <v>60628.0</v>
      </c>
      <c r="AF9" s="189">
        <f t="shared" si="15"/>
        <v>0.1158108075</v>
      </c>
      <c r="AG9" s="185">
        <v>64134.0</v>
      </c>
      <c r="AH9" s="189">
        <f t="shared" si="16"/>
        <v>0.1133806651</v>
      </c>
      <c r="AI9" s="185">
        <f t="shared" si="17"/>
        <v>124762</v>
      </c>
      <c r="AJ9" s="189">
        <f t="shared" si="18"/>
        <v>0.1145487214</v>
      </c>
      <c r="AK9" s="185">
        <v>70863.0</v>
      </c>
      <c r="AL9" s="189">
        <f t="shared" si="19"/>
        <v>0.1138983541</v>
      </c>
      <c r="AM9" s="185">
        <v>195625.0</v>
      </c>
      <c r="AN9" s="189">
        <f t="shared" si="20"/>
        <v>0.1143122769</v>
      </c>
      <c r="AO9" s="193">
        <v>77277.0</v>
      </c>
      <c r="AP9" s="189">
        <f t="shared" si="21"/>
        <v>0.1177093314</v>
      </c>
      <c r="AQ9" s="193">
        <v>272901.0</v>
      </c>
      <c r="AR9" s="189">
        <f t="shared" si="22"/>
        <v>0.1152537262</v>
      </c>
    </row>
    <row r="10" ht="12.0" customHeight="1">
      <c r="A10" s="40"/>
      <c r="B10" s="194" t="s">
        <v>194</v>
      </c>
      <c r="C10" s="188">
        <v>197286.0</v>
      </c>
      <c r="D10" s="189">
        <f t="shared" si="1"/>
        <v>0.1365887093</v>
      </c>
      <c r="E10" s="188">
        <v>62893.0</v>
      </c>
      <c r="F10" s="189">
        <f t="shared" si="2"/>
        <v>0.1278645664</v>
      </c>
      <c r="G10" s="190">
        <v>67835.0</v>
      </c>
      <c r="H10" s="191">
        <f t="shared" si="3"/>
        <v>0.1292058322</v>
      </c>
      <c r="I10" s="190">
        <v>130728.0</v>
      </c>
      <c r="J10" s="191">
        <f t="shared" si="4"/>
        <v>0.128557057</v>
      </c>
      <c r="K10" s="190">
        <v>72063.0</v>
      </c>
      <c r="L10" s="191">
        <f t="shared" si="5"/>
        <v>0.1289099814</v>
      </c>
      <c r="M10" s="190">
        <v>202791.0</v>
      </c>
      <c r="N10" s="191">
        <f t="shared" si="6"/>
        <v>0.1286822492</v>
      </c>
      <c r="O10" s="190">
        <v>274353.0</v>
      </c>
      <c r="P10" s="191">
        <f t="shared" si="7"/>
        <v>0.1254064753</v>
      </c>
      <c r="Q10" s="192">
        <v>63281.03588</v>
      </c>
      <c r="R10" s="189">
        <v>0.1037</v>
      </c>
      <c r="S10" s="185">
        <v>64387.0</v>
      </c>
      <c r="T10" s="189">
        <f t="shared" si="8"/>
        <v>0.112597756</v>
      </c>
      <c r="U10" s="185">
        <v>127668.0</v>
      </c>
      <c r="V10" s="189">
        <f t="shared" si="9"/>
        <v>0.1080262374</v>
      </c>
      <c r="W10" s="185">
        <v>57372.0</v>
      </c>
      <c r="X10" s="189">
        <f t="shared" si="10"/>
        <v>0.1084366725</v>
      </c>
      <c r="Y10" s="185">
        <v>185040.0</v>
      </c>
      <c r="Z10" s="189">
        <f t="shared" si="11"/>
        <v>0.1081531609</v>
      </c>
      <c r="AA10" s="185">
        <v>61998.0</v>
      </c>
      <c r="AB10" s="189">
        <f t="shared" si="12"/>
        <v>0.1186428353</v>
      </c>
      <c r="AC10" s="185">
        <f t="shared" si="13"/>
        <v>247038</v>
      </c>
      <c r="AD10" s="189">
        <f t="shared" si="14"/>
        <v>0.1106074594</v>
      </c>
      <c r="AE10" s="185">
        <v>54372.0</v>
      </c>
      <c r="AF10" s="189">
        <f t="shared" si="15"/>
        <v>0.1038606786</v>
      </c>
      <c r="AG10" s="185">
        <v>54410.0</v>
      </c>
      <c r="AH10" s="189">
        <f t="shared" si="16"/>
        <v>0.09618988353</v>
      </c>
      <c r="AI10" s="185">
        <f t="shared" si="17"/>
        <v>108782</v>
      </c>
      <c r="AJ10" s="189">
        <f t="shared" si="18"/>
        <v>0.09987687771</v>
      </c>
      <c r="AK10" s="185">
        <v>51353.0</v>
      </c>
      <c r="AL10" s="189">
        <f t="shared" si="19"/>
        <v>0.08253986113</v>
      </c>
      <c r="AM10" s="185">
        <v>160135.0</v>
      </c>
      <c r="AN10" s="189">
        <f t="shared" si="20"/>
        <v>0.09357391162</v>
      </c>
      <c r="AO10" s="193">
        <v>56344.0</v>
      </c>
      <c r="AP10" s="189">
        <f t="shared" si="21"/>
        <v>0.08582391353</v>
      </c>
      <c r="AQ10" s="193">
        <v>216480.0</v>
      </c>
      <c r="AR10" s="189">
        <f t="shared" si="22"/>
        <v>0.09142555963</v>
      </c>
    </row>
    <row r="11" ht="12.0" customHeight="1">
      <c r="A11" s="40"/>
      <c r="B11" s="195" t="s">
        <v>148</v>
      </c>
      <c r="C11" s="188">
        <v>66611.0</v>
      </c>
      <c r="D11" s="189">
        <f t="shared" si="1"/>
        <v>0.04611736524</v>
      </c>
      <c r="E11" s="188">
        <v>27006.0</v>
      </c>
      <c r="F11" s="189">
        <f t="shared" si="2"/>
        <v>0.05490452801</v>
      </c>
      <c r="G11" s="190">
        <v>30806.0</v>
      </c>
      <c r="H11" s="191">
        <f t="shared" si="3"/>
        <v>0.05867641877</v>
      </c>
      <c r="I11" s="190">
        <v>57813.0</v>
      </c>
      <c r="J11" s="191">
        <f t="shared" si="4"/>
        <v>0.05685292466</v>
      </c>
      <c r="K11" s="190">
        <v>41301.0</v>
      </c>
      <c r="L11" s="191">
        <f t="shared" si="5"/>
        <v>0.07388134192</v>
      </c>
      <c r="M11" s="190">
        <v>99114.0</v>
      </c>
      <c r="N11" s="191">
        <f t="shared" si="6"/>
        <v>0.06289338507</v>
      </c>
      <c r="O11" s="190">
        <v>149615.0</v>
      </c>
      <c r="P11" s="191">
        <f t="shared" si="7"/>
        <v>0.06838886324</v>
      </c>
      <c r="Q11" s="192">
        <v>54896.30225</v>
      </c>
      <c r="R11" s="189">
        <v>0.09</v>
      </c>
      <c r="S11" s="185">
        <v>54195.0</v>
      </c>
      <c r="T11" s="189">
        <f t="shared" si="8"/>
        <v>0.09477433932</v>
      </c>
      <c r="U11" s="185">
        <f>109093</f>
        <v>109093</v>
      </c>
      <c r="V11" s="189">
        <f t="shared" si="9"/>
        <v>0.09230900709</v>
      </c>
      <c r="W11" s="185">
        <v>58972.0</v>
      </c>
      <c r="X11" s="189">
        <f t="shared" si="10"/>
        <v>0.1114607727</v>
      </c>
      <c r="Y11" s="185">
        <v>168064.0</v>
      </c>
      <c r="Z11" s="189">
        <f t="shared" si="11"/>
        <v>0.09823093833</v>
      </c>
      <c r="AA11" s="185">
        <v>60868.0</v>
      </c>
      <c r="AB11" s="189">
        <f t="shared" si="12"/>
        <v>0.1164804042</v>
      </c>
      <c r="AC11" s="185">
        <f>Y11+AA11-2</f>
        <v>228930</v>
      </c>
      <c r="AD11" s="189">
        <f t="shared" si="14"/>
        <v>0.1024998814</v>
      </c>
      <c r="AE11" s="185">
        <v>59729.0</v>
      </c>
      <c r="AF11" s="189">
        <f t="shared" si="15"/>
        <v>0.1140935495</v>
      </c>
      <c r="AG11" s="185">
        <v>52331.0</v>
      </c>
      <c r="AH11" s="189">
        <f t="shared" si="16"/>
        <v>0.09251447887</v>
      </c>
      <c r="AI11" s="185">
        <f t="shared" si="17"/>
        <v>112060</v>
      </c>
      <c r="AJ11" s="189">
        <f t="shared" si="18"/>
        <v>0.1028865338</v>
      </c>
      <c r="AK11" s="185">
        <v>53976.0</v>
      </c>
      <c r="AL11" s="189">
        <f t="shared" si="19"/>
        <v>0.08675581844</v>
      </c>
      <c r="AM11" s="185">
        <v>166036.0</v>
      </c>
      <c r="AN11" s="189">
        <f t="shared" si="20"/>
        <v>0.09702212501</v>
      </c>
      <c r="AO11" s="193">
        <v>47906.0</v>
      </c>
      <c r="AP11" s="189">
        <f t="shared" si="21"/>
        <v>0.0729710422</v>
      </c>
      <c r="AQ11" s="193">
        <v>213943.0</v>
      </c>
      <c r="AR11" s="189">
        <f t="shared" si="22"/>
        <v>0.09035411356</v>
      </c>
    </row>
    <row r="12" ht="12.0" customHeight="1">
      <c r="A12" s="40"/>
      <c r="B12" s="196" t="s">
        <v>195</v>
      </c>
      <c r="C12" s="197">
        <f>SUM(C6:C11)</f>
        <v>1444380</v>
      </c>
      <c r="D12" s="198"/>
      <c r="E12" s="197">
        <f>SUM(E6:E11)</f>
        <v>491872</v>
      </c>
      <c r="F12" s="198"/>
      <c r="G12" s="197">
        <f>SUM(G6:G11)</f>
        <v>525015</v>
      </c>
      <c r="H12" s="197"/>
      <c r="I12" s="197">
        <f>SUM(I6:I11)</f>
        <v>1016887</v>
      </c>
      <c r="J12" s="197"/>
      <c r="K12" s="197">
        <f>SUM(K6:K11)</f>
        <v>559018</v>
      </c>
      <c r="L12" s="197"/>
      <c r="M12" s="197">
        <f>SUM(M6:M11)</f>
        <v>1575905</v>
      </c>
      <c r="N12" s="197"/>
      <c r="O12" s="197">
        <f>SUM(O6:O11)</f>
        <v>2187710</v>
      </c>
      <c r="P12" s="197"/>
      <c r="Q12" s="197">
        <f>SUM(Q6:Q11)</f>
        <v>609991.1938</v>
      </c>
      <c r="R12" s="198"/>
      <c r="S12" s="197">
        <f>SUM(S6:S11)</f>
        <v>571832</v>
      </c>
      <c r="T12" s="198"/>
      <c r="U12" s="197">
        <f>SUM(U6:U11)</f>
        <v>1181824</v>
      </c>
      <c r="V12" s="198"/>
      <c r="W12" s="197">
        <f>SUM(W6:W11)</f>
        <v>529083</v>
      </c>
      <c r="X12" s="198"/>
      <c r="Y12" s="197">
        <f>SUM(Y6:Y11)</f>
        <v>1710907</v>
      </c>
      <c r="Z12" s="198"/>
      <c r="AA12" s="197">
        <f>SUM(AA6:AA11)-1</f>
        <v>522560</v>
      </c>
      <c r="AB12" s="198"/>
      <c r="AC12" s="197">
        <f>SUM(AC6:AC11)</f>
        <v>2233466</v>
      </c>
      <c r="AD12" s="198"/>
      <c r="AE12" s="197">
        <f>SUM(AE6:AE11)</f>
        <v>523509</v>
      </c>
      <c r="AF12" s="198"/>
      <c r="AG12" s="197">
        <f>SUM(AG6:AG11)</f>
        <v>565652</v>
      </c>
      <c r="AH12" s="198"/>
      <c r="AI12" s="197">
        <f>SUM(AI6:AI11)</f>
        <v>1089161</v>
      </c>
      <c r="AJ12" s="198"/>
      <c r="AK12" s="197">
        <f>SUM(AK6:AK11)</f>
        <v>622160</v>
      </c>
      <c r="AL12" s="198"/>
      <c r="AM12" s="197">
        <f>SUM(AM6:AM11)</f>
        <v>1711321</v>
      </c>
      <c r="AN12" s="198"/>
      <c r="AO12" s="197">
        <f>SUM(AO6:AO11)</f>
        <v>656507</v>
      </c>
      <c r="AP12" s="198"/>
      <c r="AQ12" s="197">
        <f>SUM(AQ6:AQ11)</f>
        <v>2367828</v>
      </c>
      <c r="AR12" s="198"/>
    </row>
    <row r="13" ht="12.0" customHeight="1">
      <c r="A13" s="40"/>
      <c r="B13" s="40"/>
      <c r="C13" s="5"/>
      <c r="D13" s="5"/>
      <c r="E13" s="5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</row>
    <row r="14" ht="12.0" customHeight="1">
      <c r="A14" s="40"/>
      <c r="B14" s="40"/>
      <c r="C14" s="5"/>
      <c r="D14" s="5"/>
      <c r="E14" s="5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</row>
    <row r="15" ht="12.0" customHeight="1">
      <c r="A15" s="40"/>
      <c r="B15" s="33" t="s">
        <v>196</v>
      </c>
      <c r="C15" s="5"/>
      <c r="D15" s="5"/>
      <c r="E15" s="5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</row>
    <row r="16" ht="12.0" customHeight="1">
      <c r="A16" s="40"/>
      <c r="B16" s="40"/>
      <c r="C16" s="5"/>
      <c r="D16" s="5"/>
      <c r="E16" s="5"/>
      <c r="F16" s="184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</row>
    <row r="17" ht="12.0" customHeight="1">
      <c r="A17" s="40"/>
      <c r="B17" s="40"/>
      <c r="C17" s="186">
        <v>2021.0</v>
      </c>
      <c r="E17" s="186" t="s">
        <v>64</v>
      </c>
      <c r="G17" s="186" t="s">
        <v>65</v>
      </c>
      <c r="I17" s="186" t="s">
        <v>66</v>
      </c>
      <c r="K17" s="186" t="s">
        <v>67</v>
      </c>
      <c r="M17" s="186" t="s">
        <v>68</v>
      </c>
      <c r="O17" s="186">
        <v>2022.0</v>
      </c>
      <c r="Q17" s="186" t="s">
        <v>70</v>
      </c>
      <c r="S17" s="186" t="s">
        <v>71</v>
      </c>
      <c r="U17" s="186" t="s">
        <v>72</v>
      </c>
      <c r="W17" s="186" t="s">
        <v>73</v>
      </c>
      <c r="Y17" s="186" t="s">
        <v>74</v>
      </c>
      <c r="AA17" s="186" t="s">
        <v>75</v>
      </c>
      <c r="AC17" s="186">
        <v>2023.0</v>
      </c>
      <c r="AE17" s="186" t="s">
        <v>76</v>
      </c>
      <c r="AG17" s="186" t="s">
        <v>77</v>
      </c>
      <c r="AI17" s="186" t="s">
        <v>78</v>
      </c>
      <c r="AK17" s="186" t="s">
        <v>79</v>
      </c>
      <c r="AM17" s="186" t="s">
        <v>80</v>
      </c>
      <c r="AO17" s="187" t="s">
        <v>81</v>
      </c>
      <c r="AQ17" s="187">
        <v>2024.0</v>
      </c>
    </row>
    <row r="18" ht="12.0" customHeight="1">
      <c r="A18" s="40"/>
      <c r="B18" s="199" t="s">
        <v>197</v>
      </c>
      <c r="C18" s="14">
        <v>664858.0</v>
      </c>
      <c r="D18" s="189">
        <f t="shared" ref="D18:D21" si="23">C18/$C$22</f>
        <v>0.4603068445</v>
      </c>
      <c r="E18" s="14">
        <v>203940.0</v>
      </c>
      <c r="F18" s="184">
        <f t="shared" ref="F18:F21" si="24">E18/$E$22</f>
        <v>0.4146200638</v>
      </c>
      <c r="G18" s="190">
        <v>219304.0</v>
      </c>
      <c r="H18" s="191">
        <f t="shared" ref="H18:H21" si="25">G18/$G$22</f>
        <v>0.4177099702</v>
      </c>
      <c r="I18" s="190">
        <v>423244.0</v>
      </c>
      <c r="J18" s="191">
        <f t="shared" ref="J18:J21" si="26">I18/$I$22</f>
        <v>0.416215371</v>
      </c>
      <c r="K18" s="200">
        <v>232697.0</v>
      </c>
      <c r="L18" s="201">
        <f t="shared" ref="L18:L21" si="27">K18/$K$22</f>
        <v>0.4162602993</v>
      </c>
      <c r="M18" s="200">
        <v>655941.0</v>
      </c>
      <c r="N18" s="201">
        <f t="shared" ref="N18:N21" si="28">M18/$M$22</f>
        <v>0.4162313084</v>
      </c>
      <c r="O18" s="200">
        <v>923174.0</v>
      </c>
      <c r="P18" s="201">
        <f t="shared" ref="P18:P21" si="29">O18/$O$22</f>
        <v>0.4219818897</v>
      </c>
      <c r="Q18" s="192">
        <v>263386.0</v>
      </c>
      <c r="R18" s="201">
        <f t="shared" ref="R18:R21" si="30">Q18/Q$22</f>
        <v>0.4317866985</v>
      </c>
      <c r="S18" s="200">
        <v>256880.0</v>
      </c>
      <c r="T18" s="201">
        <f t="shared" ref="T18:T21" si="31">S18/$S$22</f>
        <v>0.4492228487</v>
      </c>
      <c r="U18" s="200">
        <v>539344.0</v>
      </c>
      <c r="V18" s="201">
        <f t="shared" ref="V18:V21" si="32">U18/$U$22</f>
        <v>0.4563657533</v>
      </c>
      <c r="W18" s="200">
        <v>222860.0</v>
      </c>
      <c r="X18" s="201">
        <f t="shared" ref="X18:X21" si="33">W18/$W$22</f>
        <v>0.421219355</v>
      </c>
      <c r="Y18" s="200">
        <v>762204.0</v>
      </c>
      <c r="Z18" s="201">
        <f t="shared" ref="Z18:Z21" si="34">Y18/$Y$22</f>
        <v>0.4454970375</v>
      </c>
      <c r="AA18" s="200">
        <v>215459.0</v>
      </c>
      <c r="AB18" s="201">
        <f t="shared" ref="AB18:AB21" si="35">AA18/$AA$22</f>
        <v>0.4123143754</v>
      </c>
      <c r="AC18" s="200">
        <f t="shared" ref="AC18:AC21" si="36">Y18+AA18</f>
        <v>977663</v>
      </c>
      <c r="AD18" s="201">
        <f t="shared" ref="AD18:AD21" si="37">AC18/$AC$22</f>
        <v>0.4377335496</v>
      </c>
      <c r="AE18" s="200">
        <v>217945.0</v>
      </c>
      <c r="AF18" s="201">
        <f t="shared" ref="AF18:AF21" si="38">AE18/$AE$22</f>
        <v>0.4163156698</v>
      </c>
      <c r="AG18" s="200">
        <v>251364.0</v>
      </c>
      <c r="AH18" s="201">
        <f t="shared" ref="AH18:AH21" si="39">AG18/$AG$22</f>
        <v>0.4443792296</v>
      </c>
      <c r="AI18" s="200">
        <f t="shared" ref="AI18:AI21" si="40">AE18+AG18</f>
        <v>469309</v>
      </c>
      <c r="AJ18" s="201">
        <f t="shared" ref="AJ18:AJ21" si="41">AI18/$AI$22</f>
        <v>0.4308903826</v>
      </c>
      <c r="AK18" s="200">
        <v>284910.0</v>
      </c>
      <c r="AL18" s="201">
        <f t="shared" ref="AL18:AL21" si="42">AK18/$AK$22</f>
        <v>0.4579368651</v>
      </c>
      <c r="AM18" s="200">
        <v>754219.0</v>
      </c>
      <c r="AN18" s="201">
        <f t="shared" ref="AN18:AN21" si="43">AM18/$AM$22</f>
        <v>0.4407232775</v>
      </c>
      <c r="AO18" s="202">
        <v>296927.0</v>
      </c>
      <c r="AP18" s="201">
        <f t="shared" ref="AP18:AP21" si="44">AO18/$AO$22</f>
        <v>0.4522830678</v>
      </c>
      <c r="AQ18" s="202">
        <v>1051145.0</v>
      </c>
      <c r="AR18" s="201">
        <f t="shared" ref="AR18:AR21" si="45">AQ18/$AQ$22</f>
        <v>0.4439279373</v>
      </c>
    </row>
    <row r="19" ht="12.0" customHeight="1">
      <c r="A19" s="40"/>
      <c r="B19" s="43" t="s">
        <v>198</v>
      </c>
      <c r="C19" s="14">
        <v>28148.0</v>
      </c>
      <c r="D19" s="189">
        <f t="shared" si="23"/>
        <v>0.01948794639</v>
      </c>
      <c r="E19" s="14">
        <v>37589.0</v>
      </c>
      <c r="F19" s="184">
        <f t="shared" si="24"/>
        <v>0.07642028821</v>
      </c>
      <c r="G19" s="190">
        <v>48160.0</v>
      </c>
      <c r="H19" s="191">
        <f t="shared" si="25"/>
        <v>0.09173071246</v>
      </c>
      <c r="I19" s="190">
        <v>85749.0</v>
      </c>
      <c r="J19" s="191">
        <f t="shared" si="26"/>
        <v>0.08432500366</v>
      </c>
      <c r="K19" s="200">
        <v>57061.0</v>
      </c>
      <c r="L19" s="201">
        <f t="shared" si="27"/>
        <v>0.1020736363</v>
      </c>
      <c r="M19" s="200">
        <v>142810.0</v>
      </c>
      <c r="N19" s="201">
        <f t="shared" si="28"/>
        <v>0.09062094479</v>
      </c>
      <c r="O19" s="200">
        <v>205992.0</v>
      </c>
      <c r="P19" s="201">
        <f t="shared" si="29"/>
        <v>0.09415873219</v>
      </c>
      <c r="Q19" s="192">
        <v>73726.0</v>
      </c>
      <c r="R19" s="201">
        <f t="shared" si="30"/>
        <v>0.1208640783</v>
      </c>
      <c r="S19" s="200">
        <v>58951.0</v>
      </c>
      <c r="T19" s="201">
        <f t="shared" si="31"/>
        <v>0.1030914674</v>
      </c>
      <c r="U19" s="200">
        <v>113600.0</v>
      </c>
      <c r="V19" s="201">
        <f t="shared" si="32"/>
        <v>0.0961226037</v>
      </c>
      <c r="W19" s="200">
        <v>54045.0</v>
      </c>
      <c r="X19" s="201">
        <f t="shared" si="33"/>
        <v>0.1021484342</v>
      </c>
      <c r="Y19" s="200">
        <v>167645.0</v>
      </c>
      <c r="Z19" s="201">
        <f t="shared" si="34"/>
        <v>0.09798603898</v>
      </c>
      <c r="AA19" s="200">
        <v>57053.0</v>
      </c>
      <c r="AB19" s="201">
        <f t="shared" si="35"/>
        <v>0.1091798071</v>
      </c>
      <c r="AC19" s="200">
        <f t="shared" si="36"/>
        <v>224698</v>
      </c>
      <c r="AD19" s="201">
        <f t="shared" si="37"/>
        <v>0.1006050685</v>
      </c>
      <c r="AE19" s="200">
        <v>61127.0</v>
      </c>
      <c r="AF19" s="201">
        <f t="shared" si="38"/>
        <v>0.1167639907</v>
      </c>
      <c r="AG19" s="200">
        <v>62376.0</v>
      </c>
      <c r="AH19" s="201">
        <f t="shared" si="39"/>
        <v>0.1102727472</v>
      </c>
      <c r="AI19" s="200">
        <f t="shared" si="40"/>
        <v>123503</v>
      </c>
      <c r="AJ19" s="201">
        <f t="shared" si="41"/>
        <v>0.1133927858</v>
      </c>
      <c r="AK19" s="200">
        <v>58444.0</v>
      </c>
      <c r="AL19" s="201">
        <f t="shared" si="42"/>
        <v>0.09393725087</v>
      </c>
      <c r="AM19" s="200">
        <v>181947.0</v>
      </c>
      <c r="AN19" s="201">
        <f t="shared" si="43"/>
        <v>0.1063196209</v>
      </c>
      <c r="AO19" s="202">
        <v>50531.0</v>
      </c>
      <c r="AP19" s="201">
        <f t="shared" si="44"/>
        <v>0.07696947633</v>
      </c>
      <c r="AQ19" s="202">
        <v>232478.0</v>
      </c>
      <c r="AR19" s="201">
        <f t="shared" si="45"/>
        <v>0.09818196254</v>
      </c>
    </row>
    <row r="20" ht="12.0" customHeight="1">
      <c r="A20" s="40"/>
      <c r="B20" s="203" t="s">
        <v>199</v>
      </c>
      <c r="C20" s="14">
        <v>701206.0</v>
      </c>
      <c r="D20" s="189">
        <f t="shared" si="23"/>
        <v>0.4854719672</v>
      </c>
      <c r="E20" s="14">
        <v>234706.0</v>
      </c>
      <c r="F20" s="184">
        <f t="shared" si="24"/>
        <v>0.4771688569</v>
      </c>
      <c r="G20" s="190">
        <v>242574.0</v>
      </c>
      <c r="H20" s="191">
        <f t="shared" si="25"/>
        <v>0.4620325134</v>
      </c>
      <c r="I20" s="190">
        <v>477280.0</v>
      </c>
      <c r="J20" s="191">
        <f t="shared" si="26"/>
        <v>0.4693540187</v>
      </c>
      <c r="K20" s="200">
        <v>247200.0</v>
      </c>
      <c r="L20" s="201">
        <f t="shared" si="27"/>
        <v>0.4422040077</v>
      </c>
      <c r="M20" s="200">
        <v>724480.0</v>
      </c>
      <c r="N20" s="201">
        <f t="shared" si="28"/>
        <v>0.4597231432</v>
      </c>
      <c r="O20" s="200">
        <v>975948.0</v>
      </c>
      <c r="P20" s="201">
        <f t="shared" si="29"/>
        <v>0.4461048311</v>
      </c>
      <c r="Q20" s="192">
        <v>240616.0</v>
      </c>
      <c r="R20" s="201">
        <f t="shared" si="30"/>
        <v>0.3944582789</v>
      </c>
      <c r="S20" s="200">
        <v>228058.0</v>
      </c>
      <c r="T20" s="201">
        <f t="shared" si="31"/>
        <v>0.3988199331</v>
      </c>
      <c r="U20" s="200">
        <v>468674.0</v>
      </c>
      <c r="V20" s="201">
        <f t="shared" si="32"/>
        <v>0.3965683554</v>
      </c>
      <c r="W20" s="200">
        <v>229804.0</v>
      </c>
      <c r="X20" s="201">
        <f t="shared" si="33"/>
        <v>0.4343439498</v>
      </c>
      <c r="Y20" s="200">
        <v>698478.0</v>
      </c>
      <c r="Z20" s="201">
        <f t="shared" si="34"/>
        <v>0.408250127</v>
      </c>
      <c r="AA20" s="200">
        <v>226396.0</v>
      </c>
      <c r="AB20" s="201">
        <f t="shared" si="35"/>
        <v>0.4332440294</v>
      </c>
      <c r="AC20" s="200">
        <f t="shared" si="36"/>
        <v>924874</v>
      </c>
      <c r="AD20" s="201">
        <f t="shared" si="37"/>
        <v>0.4140980879</v>
      </c>
      <c r="AE20" s="200">
        <v>222682.0</v>
      </c>
      <c r="AF20" s="201">
        <f t="shared" si="38"/>
        <v>0.4253642249</v>
      </c>
      <c r="AG20" s="200">
        <v>226097.0</v>
      </c>
      <c r="AH20" s="201">
        <f t="shared" si="39"/>
        <v>0.3997104227</v>
      </c>
      <c r="AI20" s="200">
        <f t="shared" si="40"/>
        <v>448779</v>
      </c>
      <c r="AJ20" s="201">
        <f t="shared" si="41"/>
        <v>0.4120410114</v>
      </c>
      <c r="AK20" s="200">
        <v>251396.0</v>
      </c>
      <c r="AL20" s="201">
        <f t="shared" si="42"/>
        <v>0.4040696927</v>
      </c>
      <c r="AM20" s="200">
        <v>700175.0</v>
      </c>
      <c r="AN20" s="201">
        <f t="shared" si="43"/>
        <v>0.4091429954</v>
      </c>
      <c r="AO20" s="202">
        <v>281701.0</v>
      </c>
      <c r="AP20" s="201">
        <f t="shared" si="44"/>
        <v>0.4290906266</v>
      </c>
      <c r="AQ20" s="202">
        <v>981876.0</v>
      </c>
      <c r="AR20" s="201">
        <f t="shared" si="45"/>
        <v>0.414673701</v>
      </c>
    </row>
    <row r="21" ht="12.0" customHeight="1">
      <c r="A21" s="40"/>
      <c r="B21" s="203" t="s">
        <v>200</v>
      </c>
      <c r="C21" s="14">
        <v>50168.0</v>
      </c>
      <c r="D21" s="189">
        <f t="shared" si="23"/>
        <v>0.03473324194</v>
      </c>
      <c r="E21" s="14">
        <v>15637.0</v>
      </c>
      <c r="F21" s="184">
        <f t="shared" si="24"/>
        <v>0.0317907911</v>
      </c>
      <c r="G21" s="190">
        <v>14977.0</v>
      </c>
      <c r="H21" s="191">
        <f t="shared" si="25"/>
        <v>0.028526804</v>
      </c>
      <c r="I21" s="190">
        <v>30614.0</v>
      </c>
      <c r="J21" s="191">
        <f t="shared" si="26"/>
        <v>0.03010560662</v>
      </c>
      <c r="K21" s="200">
        <v>22060.0</v>
      </c>
      <c r="L21" s="201">
        <f t="shared" si="27"/>
        <v>0.03946205668</v>
      </c>
      <c r="M21" s="200">
        <v>52674.0</v>
      </c>
      <c r="N21" s="201">
        <f t="shared" si="28"/>
        <v>0.03342460364</v>
      </c>
      <c r="O21" s="200">
        <v>82596.0</v>
      </c>
      <c r="P21" s="201">
        <f t="shared" si="29"/>
        <v>0.03775454699</v>
      </c>
      <c r="Q21" s="204">
        <v>32263.0</v>
      </c>
      <c r="R21" s="201">
        <f t="shared" si="30"/>
        <v>0.05289094429</v>
      </c>
      <c r="S21" s="200">
        <v>27943.0</v>
      </c>
      <c r="T21" s="201">
        <f t="shared" si="31"/>
        <v>0.04886575078</v>
      </c>
      <c r="U21" s="200">
        <v>60206.0</v>
      </c>
      <c r="V21" s="201">
        <f t="shared" si="32"/>
        <v>0.05094328766</v>
      </c>
      <c r="W21" s="200">
        <v>22374.0</v>
      </c>
      <c r="X21" s="201">
        <f t="shared" si="33"/>
        <v>0.04228826101</v>
      </c>
      <c r="Y21" s="200">
        <v>82580.0</v>
      </c>
      <c r="Z21" s="201">
        <f t="shared" si="34"/>
        <v>0.0482667965</v>
      </c>
      <c r="AA21" s="200">
        <v>23651.0</v>
      </c>
      <c r="AB21" s="201">
        <f t="shared" si="35"/>
        <v>0.04525987446</v>
      </c>
      <c r="AC21" s="200">
        <f t="shared" si="36"/>
        <v>106231</v>
      </c>
      <c r="AD21" s="201">
        <f t="shared" si="37"/>
        <v>0.047563294</v>
      </c>
      <c r="AE21" s="200">
        <v>21755.0</v>
      </c>
      <c r="AF21" s="201">
        <f t="shared" si="38"/>
        <v>0.0415561146</v>
      </c>
      <c r="AG21" s="200">
        <v>25815.0</v>
      </c>
      <c r="AH21" s="201">
        <f t="shared" si="39"/>
        <v>0.0456376005</v>
      </c>
      <c r="AI21" s="200">
        <f t="shared" si="40"/>
        <v>47570</v>
      </c>
      <c r="AJ21" s="201">
        <f t="shared" si="41"/>
        <v>0.0436758202</v>
      </c>
      <c r="AK21" s="200">
        <v>27410.0</v>
      </c>
      <c r="AL21" s="201">
        <f t="shared" si="42"/>
        <v>0.04405619133</v>
      </c>
      <c r="AM21" s="200">
        <v>74980.0</v>
      </c>
      <c r="AN21" s="201">
        <f t="shared" si="43"/>
        <v>0.04381410618</v>
      </c>
      <c r="AO21" s="202">
        <v>27348.0</v>
      </c>
      <c r="AP21" s="201">
        <f t="shared" si="44"/>
        <v>0.04165682925</v>
      </c>
      <c r="AQ21" s="202">
        <f>102329</f>
        <v>102329</v>
      </c>
      <c r="AR21" s="201">
        <f t="shared" si="45"/>
        <v>0.04321639916</v>
      </c>
    </row>
    <row r="22" ht="12.0" customHeight="1">
      <c r="A22" s="40"/>
      <c r="B22" s="205" t="s">
        <v>195</v>
      </c>
      <c r="C22" s="206">
        <f>SUM(C18:C21)</f>
        <v>1444380</v>
      </c>
      <c r="D22" s="207"/>
      <c r="E22" s="206">
        <f>SUM(E18:E21)</f>
        <v>491872</v>
      </c>
      <c r="F22" s="207"/>
      <c r="G22" s="206">
        <f>SUM(G18:G21)</f>
        <v>525015</v>
      </c>
      <c r="H22" s="206"/>
      <c r="I22" s="206">
        <f>SUM(I18:I21)</f>
        <v>1016887</v>
      </c>
      <c r="J22" s="206"/>
      <c r="K22" s="206">
        <f>SUM(K18:K21)</f>
        <v>559018</v>
      </c>
      <c r="L22" s="206"/>
      <c r="M22" s="206">
        <f>SUM(M18:M21)</f>
        <v>1575905</v>
      </c>
      <c r="N22" s="206"/>
      <c r="O22" s="206">
        <f>SUM(O18:O21)</f>
        <v>2187710</v>
      </c>
      <c r="P22" s="207"/>
      <c r="Q22" s="206">
        <f>SUM(Q18:Q21)</f>
        <v>609991</v>
      </c>
      <c r="R22" s="207"/>
      <c r="S22" s="206">
        <f>SUM(S18:S21)</f>
        <v>571832</v>
      </c>
      <c r="T22" s="207"/>
      <c r="U22" s="206">
        <f>SUM(U18:U21)</f>
        <v>1181824</v>
      </c>
      <c r="V22" s="207"/>
      <c r="W22" s="206">
        <f>SUM(W18:W21)</f>
        <v>529083</v>
      </c>
      <c r="X22" s="207"/>
      <c r="Y22" s="206">
        <f>SUM(Y18:Y21)</f>
        <v>1710907</v>
      </c>
      <c r="Z22" s="207"/>
      <c r="AA22" s="206">
        <f>SUM(AA18:AA21)+1</f>
        <v>522560</v>
      </c>
      <c r="AB22" s="207"/>
      <c r="AC22" s="206">
        <f>SUM(AC18:AC21)</f>
        <v>2233466</v>
      </c>
      <c r="AD22" s="207"/>
      <c r="AE22" s="206">
        <f>SUM(AE18:AE21)</f>
        <v>523509</v>
      </c>
      <c r="AF22" s="207"/>
      <c r="AG22" s="206">
        <f>SUM(AG18:AG21)</f>
        <v>565652</v>
      </c>
      <c r="AH22" s="207"/>
      <c r="AI22" s="206">
        <f>SUM(AI18:AI21)</f>
        <v>1089161</v>
      </c>
      <c r="AJ22" s="207"/>
      <c r="AK22" s="206">
        <f>SUM(AK18:AK21)</f>
        <v>622160</v>
      </c>
      <c r="AL22" s="206"/>
      <c r="AM22" s="206">
        <f>SUM(AM18:AM21)</f>
        <v>1711321</v>
      </c>
      <c r="AN22" s="207"/>
      <c r="AO22" s="206">
        <f>SUM(AO18:AO21)</f>
        <v>656507</v>
      </c>
      <c r="AP22" s="207"/>
      <c r="AQ22" s="208">
        <f>SUM(AQ18:AQ21)</f>
        <v>2367828</v>
      </c>
      <c r="AR22" s="207"/>
    </row>
    <row r="23" ht="12.0" customHeight="1">
      <c r="A23" s="40"/>
      <c r="B23" s="4"/>
      <c r="C23" s="5"/>
      <c r="D23" s="5"/>
      <c r="E23" s="5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</row>
    <row r="24" ht="12.0" customHeight="1">
      <c r="A24" s="40"/>
      <c r="B24" s="33" t="s">
        <v>201</v>
      </c>
      <c r="C24" s="5"/>
      <c r="D24" s="5"/>
      <c r="E24" s="5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</row>
    <row r="25" ht="12.0" customHeight="1">
      <c r="A25" s="40"/>
      <c r="B25" s="33"/>
      <c r="C25" s="5"/>
      <c r="D25" s="5"/>
      <c r="E25" s="5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</row>
    <row r="26" ht="12.0" customHeight="1">
      <c r="A26" s="40"/>
      <c r="B26" s="107"/>
      <c r="C26" s="186">
        <v>2021.0</v>
      </c>
      <c r="E26" s="186" t="s">
        <v>64</v>
      </c>
      <c r="G26" s="186" t="s">
        <v>65</v>
      </c>
      <c r="I26" s="186" t="s">
        <v>66</v>
      </c>
      <c r="K26" s="186" t="s">
        <v>67</v>
      </c>
      <c r="M26" s="186" t="s">
        <v>68</v>
      </c>
      <c r="O26" s="186">
        <v>2022.0</v>
      </c>
      <c r="Q26" s="186" t="s">
        <v>70</v>
      </c>
      <c r="S26" s="186" t="s">
        <v>71</v>
      </c>
      <c r="U26" s="186" t="s">
        <v>72</v>
      </c>
      <c r="W26" s="186" t="s">
        <v>73</v>
      </c>
      <c r="Y26" s="186" t="s">
        <v>74</v>
      </c>
      <c r="AA26" s="186" t="s">
        <v>75</v>
      </c>
      <c r="AC26" s="186">
        <v>2023.0</v>
      </c>
      <c r="AE26" s="186" t="s">
        <v>76</v>
      </c>
      <c r="AG26" s="186" t="s">
        <v>77</v>
      </c>
      <c r="AI26" s="186" t="s">
        <v>78</v>
      </c>
      <c r="AK26" s="186" t="s">
        <v>79</v>
      </c>
      <c r="AM26" s="186" t="s">
        <v>80</v>
      </c>
      <c r="AO26" s="187" t="s">
        <v>81</v>
      </c>
      <c r="AQ26" s="187">
        <v>2024.0</v>
      </c>
    </row>
    <row r="27" ht="12.0" customHeight="1">
      <c r="A27" s="40"/>
      <c r="B27" s="107" t="s">
        <v>202</v>
      </c>
      <c r="C27" s="209">
        <v>283311.0</v>
      </c>
      <c r="D27" s="189">
        <v>0.19614713579528933</v>
      </c>
      <c r="E27" s="209">
        <v>75831.0</v>
      </c>
      <c r="F27" s="210">
        <f t="shared" ref="F27:F28" si="46">E27/$E$22</f>
        <v>0.1541681576</v>
      </c>
      <c r="G27" s="211">
        <v>86777.0</v>
      </c>
      <c r="H27" s="212">
        <v>0.165</v>
      </c>
      <c r="I27" s="211">
        <v>162608.0</v>
      </c>
      <c r="J27" s="212">
        <v>0.16</v>
      </c>
      <c r="K27" s="211">
        <v>86748.0</v>
      </c>
      <c r="L27" s="212">
        <v>0.155</v>
      </c>
      <c r="M27" s="211">
        <v>249356.0</v>
      </c>
      <c r="N27" s="212">
        <v>0.158</v>
      </c>
      <c r="O27" s="211">
        <v>325505.0</v>
      </c>
      <c r="P27" s="210">
        <v>0.14878800206608736</v>
      </c>
      <c r="Q27" s="211">
        <v>67425.0</v>
      </c>
      <c r="R27" s="212">
        <v>0.111</v>
      </c>
      <c r="S27" s="185">
        <v>61736.0</v>
      </c>
      <c r="T27" s="189">
        <v>0.108</v>
      </c>
      <c r="U27" s="185">
        <v>129370.0</v>
      </c>
      <c r="V27" s="189">
        <v>0.109</v>
      </c>
      <c r="W27" s="185">
        <v>37428.0</v>
      </c>
      <c r="X27" s="189">
        <v>0.071</v>
      </c>
      <c r="Y27" s="185">
        <v>166798.0</v>
      </c>
      <c r="Z27" s="189">
        <v>0.097</v>
      </c>
      <c r="AA27" s="185">
        <v>33118.0</v>
      </c>
      <c r="AB27" s="189">
        <f t="shared" ref="AB27:AB28" si="47">AA27/$AA$22</f>
        <v>0.06337645438</v>
      </c>
      <c r="AC27" s="185">
        <v>185317.0</v>
      </c>
      <c r="AD27" s="189">
        <f t="shared" ref="AD27:AD28" si="48">AC27/$AC$22</f>
        <v>0.08297283236</v>
      </c>
      <c r="AE27" s="185">
        <v>33839.0</v>
      </c>
      <c r="AF27" s="189">
        <f t="shared" ref="AF27:AF28" si="49">AE27/$AE$22</f>
        <v>0.06463881232</v>
      </c>
      <c r="AG27" s="185">
        <v>35743.0</v>
      </c>
      <c r="AH27" s="189">
        <f t="shared" ref="AH27:AH28" si="50">AG27/$AG$22</f>
        <v>0.06318902788</v>
      </c>
      <c r="AI27" s="185">
        <f>AE27+AG27</f>
        <v>69582</v>
      </c>
      <c r="AJ27" s="189">
        <f t="shared" ref="AJ27:AJ28" si="51">AI27/$AI$22</f>
        <v>0.06388587179</v>
      </c>
      <c r="AK27" s="185">
        <v>48337.0</v>
      </c>
      <c r="AL27" s="189">
        <f t="shared" ref="AL27:AL28" si="52">AK27/$AK$22</f>
        <v>0.07769223351</v>
      </c>
      <c r="AM27" s="185">
        <v>117919.0</v>
      </c>
      <c r="AN27" s="189">
        <f t="shared" ref="AN27:AN28" si="53">AM27/$AM$22</f>
        <v>0.06890524922</v>
      </c>
      <c r="AO27" s="193">
        <v>64130.0</v>
      </c>
      <c r="AP27" s="189">
        <f t="shared" ref="AP27:AP28" si="54">AO27/$AO$22</f>
        <v>0.09768364998</v>
      </c>
      <c r="AQ27" s="193">
        <v>182049.0</v>
      </c>
      <c r="AR27" s="189">
        <f t="shared" ref="AR27:AR28" si="55">AQ27/$AQ$22</f>
        <v>0.07688438518</v>
      </c>
    </row>
    <row r="28" ht="12.0" customHeight="1">
      <c r="A28" s="40"/>
      <c r="B28" s="107" t="s">
        <v>203</v>
      </c>
      <c r="C28" s="209">
        <v>913890.0</v>
      </c>
      <c r="D28" s="189">
        <v>0.6327213060274997</v>
      </c>
      <c r="E28" s="209">
        <v>253427.0</v>
      </c>
      <c r="F28" s="210">
        <f t="shared" si="46"/>
        <v>0.5152295719</v>
      </c>
      <c r="G28" s="211">
        <v>275596.0</v>
      </c>
      <c r="H28" s="212">
        <v>0.525</v>
      </c>
      <c r="I28" s="211">
        <v>528927.0</v>
      </c>
      <c r="J28" s="212">
        <v>0.52</v>
      </c>
      <c r="K28" s="211">
        <v>283999.0</v>
      </c>
      <c r="L28" s="212">
        <v>0.508</v>
      </c>
      <c r="M28" s="211">
        <v>812754.0</v>
      </c>
      <c r="N28" s="212">
        <v>0.516</v>
      </c>
      <c r="O28" s="211">
        <v>1079941.0</v>
      </c>
      <c r="P28" s="210">
        <v>0.4936399248529284</v>
      </c>
      <c r="Q28" s="211">
        <v>270461.0</v>
      </c>
      <c r="R28" s="212">
        <v>0.443</v>
      </c>
      <c r="S28" s="185">
        <v>243714.0</v>
      </c>
      <c r="T28" s="189">
        <v>0.426</v>
      </c>
      <c r="U28" s="185">
        <v>504416.0</v>
      </c>
      <c r="V28" s="189">
        <v>0.427</v>
      </c>
      <c r="W28" s="185">
        <v>208305.0</v>
      </c>
      <c r="X28" s="189">
        <v>0.394</v>
      </c>
      <c r="Y28" s="185">
        <v>705773.0</v>
      </c>
      <c r="Z28" s="189">
        <v>0.413</v>
      </c>
      <c r="AA28" s="185">
        <v>199329.0</v>
      </c>
      <c r="AB28" s="189">
        <f t="shared" si="47"/>
        <v>0.3814471066</v>
      </c>
      <c r="AC28" s="185">
        <v>887282.0</v>
      </c>
      <c r="AD28" s="189">
        <f t="shared" si="48"/>
        <v>0.3972668489</v>
      </c>
      <c r="AE28" s="185">
        <v>215116.0</v>
      </c>
      <c r="AF28" s="189">
        <f t="shared" si="49"/>
        <v>0.4109117513</v>
      </c>
      <c r="AG28" s="185">
        <v>237074.0</v>
      </c>
      <c r="AH28" s="189">
        <f t="shared" si="50"/>
        <v>0.4191163472</v>
      </c>
      <c r="AI28" s="185">
        <v>450583.0</v>
      </c>
      <c r="AJ28" s="189">
        <f t="shared" si="51"/>
        <v>0.4136973322</v>
      </c>
      <c r="AK28" s="185">
        <v>260984.0</v>
      </c>
      <c r="AL28" s="189">
        <f t="shared" si="52"/>
        <v>0.4194805195</v>
      </c>
      <c r="AM28" s="185">
        <v>706077.0</v>
      </c>
      <c r="AN28" s="189">
        <f t="shared" si="53"/>
        <v>0.4125917931</v>
      </c>
      <c r="AO28" s="193">
        <v>279771.0</v>
      </c>
      <c r="AP28" s="189">
        <f t="shared" si="54"/>
        <v>0.4261508255</v>
      </c>
      <c r="AQ28" s="193">
        <v>973750.0</v>
      </c>
      <c r="AR28" s="189">
        <f t="shared" si="55"/>
        <v>0.4112418639</v>
      </c>
    </row>
    <row r="29" ht="15.75" customHeight="1"/>
    <row r="30" ht="15.75" customHeight="1"/>
    <row r="31" ht="15.75" customHeight="1"/>
    <row r="32" ht="15.75" customHeight="1">
      <c r="AK32" s="20"/>
    </row>
    <row r="33" ht="15.75" customHeight="1"/>
    <row r="34" ht="15.75" customHeight="1">
      <c r="AN34" s="20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E26:AF26"/>
    <mergeCell ref="AG26:AH26"/>
    <mergeCell ref="Q26:R26"/>
    <mergeCell ref="S26:T26"/>
    <mergeCell ref="U26:V26"/>
    <mergeCell ref="W26:X26"/>
    <mergeCell ref="Y26:Z26"/>
    <mergeCell ref="AA26:AB26"/>
    <mergeCell ref="AC26:AD26"/>
    <mergeCell ref="AE5:AF5"/>
    <mergeCell ref="AG5:AH5"/>
    <mergeCell ref="AI5:AJ5"/>
    <mergeCell ref="AK5:AL5"/>
    <mergeCell ref="AM5:AN5"/>
    <mergeCell ref="AO5:AP5"/>
    <mergeCell ref="AQ5:AR5"/>
    <mergeCell ref="Q5:R5"/>
    <mergeCell ref="S5:T5"/>
    <mergeCell ref="U5:V5"/>
    <mergeCell ref="W5:X5"/>
    <mergeCell ref="Y5:Z5"/>
    <mergeCell ref="AA5:AB5"/>
    <mergeCell ref="AC5:AD5"/>
    <mergeCell ref="C5:D5"/>
    <mergeCell ref="E5:F5"/>
    <mergeCell ref="G5:H5"/>
    <mergeCell ref="I5:J5"/>
    <mergeCell ref="K5:L5"/>
    <mergeCell ref="M5:N5"/>
    <mergeCell ref="O5:P5"/>
    <mergeCell ref="AE17:AF17"/>
    <mergeCell ref="AG17:AH17"/>
    <mergeCell ref="AI17:AJ17"/>
    <mergeCell ref="AK17:AL17"/>
    <mergeCell ref="AM17:AN17"/>
    <mergeCell ref="AO17:AP17"/>
    <mergeCell ref="AQ17:AR17"/>
    <mergeCell ref="Q17:R17"/>
    <mergeCell ref="S17:T17"/>
    <mergeCell ref="U17:V17"/>
    <mergeCell ref="W17:X17"/>
    <mergeCell ref="Y17:Z17"/>
    <mergeCell ref="AA17:AB17"/>
    <mergeCell ref="AC17:AD17"/>
    <mergeCell ref="C17:D17"/>
    <mergeCell ref="E17:F17"/>
    <mergeCell ref="G17:H17"/>
    <mergeCell ref="I17:J17"/>
    <mergeCell ref="K17:L17"/>
    <mergeCell ref="M17:N17"/>
    <mergeCell ref="O17:P17"/>
    <mergeCell ref="AI26:AJ26"/>
    <mergeCell ref="AK26:AL26"/>
    <mergeCell ref="AM26:AN26"/>
    <mergeCell ref="AO26:AP26"/>
    <mergeCell ref="AQ26:AR26"/>
    <mergeCell ref="C26:D26"/>
    <mergeCell ref="E26:F26"/>
    <mergeCell ref="G26:H26"/>
    <mergeCell ref="I26:J26"/>
    <mergeCell ref="K26:L26"/>
    <mergeCell ref="M26:N26"/>
    <mergeCell ref="O26:P26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1" width="4.38"/>
    <col customWidth="1" min="2" max="2" width="36.75"/>
    <col customWidth="1" min="3" max="3" width="8.75"/>
    <col customWidth="1" min="4" max="4" width="7.0"/>
    <col customWidth="1" min="5" max="5" width="8.75"/>
    <col customWidth="1" min="6" max="6" width="7.0"/>
    <col customWidth="1" min="7" max="7" width="8.75"/>
    <col customWidth="1" min="8" max="8" width="7.0"/>
    <col customWidth="1" min="9" max="9" width="8.75"/>
    <col customWidth="1" min="10" max="10" width="7.0"/>
    <col customWidth="1" min="11" max="11" width="8.75"/>
    <col customWidth="1" min="12" max="12" width="7.0"/>
    <col customWidth="1" min="13" max="13" width="8.75"/>
    <col customWidth="1" min="14" max="14" width="7.0"/>
    <col customWidth="1" min="15" max="15" width="8.75"/>
    <col customWidth="1" min="16" max="16" width="7.0"/>
    <col customWidth="1" min="17" max="17" width="8.75"/>
    <col customWidth="1" min="18" max="18" width="7.0"/>
    <col customWidth="1" min="19" max="19" width="8.75"/>
    <col customWidth="1" min="20" max="20" width="7.0"/>
    <col customWidth="1" min="21" max="21" width="8.75"/>
    <col customWidth="1" min="22" max="22" width="7.0"/>
    <col customWidth="1" min="23" max="23" width="8.75"/>
    <col customWidth="1" min="24" max="24" width="7.0"/>
    <col customWidth="1" min="25" max="25" width="8.75"/>
    <col customWidth="1" min="26" max="26" width="7.0"/>
    <col customWidth="1" min="27" max="27" width="10.25"/>
    <col customWidth="1" min="28" max="28" width="7.0"/>
    <col customWidth="1" min="29" max="29" width="8.75"/>
    <col customWidth="1" min="30" max="30" width="7.0"/>
    <col customWidth="1" min="31" max="31" width="8.75"/>
    <col customWidth="1" min="32" max="32" width="7.0"/>
    <col customWidth="1" min="33" max="33" width="10.25"/>
    <col customWidth="1" min="34" max="34" width="7.0"/>
    <col customWidth="1" min="35" max="35" width="8.75"/>
    <col customWidth="1" min="36" max="36" width="7.0"/>
    <col customWidth="1" min="37" max="37" width="10.25"/>
    <col customWidth="1" min="38" max="38" width="7.0"/>
    <col customWidth="1" min="39" max="39" width="8.75"/>
    <col customWidth="1" min="40" max="40" width="7.0"/>
    <col customWidth="1" min="41" max="41" width="10.25"/>
    <col customWidth="1" min="42" max="42" width="7.0"/>
  </cols>
  <sheetData>
    <row r="1" ht="12.0" customHeight="1">
      <c r="A1" s="1" t="s">
        <v>204</v>
      </c>
      <c r="B1" s="2"/>
      <c r="C1" s="2"/>
      <c r="D1" s="182"/>
      <c r="E1" s="2"/>
      <c r="F1" s="182"/>
      <c r="G1" s="2"/>
      <c r="H1" s="182"/>
      <c r="I1" s="2"/>
      <c r="J1" s="182"/>
      <c r="K1" s="2"/>
      <c r="L1" s="182"/>
      <c r="M1" s="2"/>
      <c r="N1" s="182"/>
      <c r="O1" s="2"/>
      <c r="P1" s="182"/>
      <c r="Q1" s="2"/>
      <c r="R1" s="182"/>
      <c r="S1" s="2"/>
      <c r="T1" s="182"/>
      <c r="U1" s="2"/>
      <c r="V1" s="182"/>
      <c r="W1" s="2"/>
      <c r="X1" s="182"/>
      <c r="Y1" s="2"/>
      <c r="Z1" s="182"/>
      <c r="AA1" s="213"/>
      <c r="AB1" s="214"/>
      <c r="AC1" s="2"/>
      <c r="AD1" s="182"/>
      <c r="AE1" s="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</row>
    <row r="2" ht="12.0" customHeight="1">
      <c r="A2" s="4" t="s">
        <v>1</v>
      </c>
      <c r="B2" s="4"/>
      <c r="C2" s="5"/>
      <c r="D2" s="184"/>
      <c r="E2" s="5"/>
      <c r="F2" s="184"/>
      <c r="G2" s="5"/>
      <c r="H2" s="184"/>
      <c r="I2" s="5"/>
      <c r="J2" s="184"/>
      <c r="K2" s="5"/>
      <c r="L2" s="184"/>
      <c r="M2" s="5"/>
      <c r="N2" s="184"/>
      <c r="O2" s="5"/>
      <c r="P2" s="184"/>
      <c r="Q2" s="5"/>
      <c r="R2" s="184"/>
      <c r="S2" s="5"/>
      <c r="T2" s="184"/>
      <c r="U2" s="5"/>
      <c r="V2" s="184"/>
      <c r="W2" s="5"/>
      <c r="X2" s="184"/>
      <c r="Y2" s="5"/>
      <c r="Z2" s="184"/>
      <c r="AA2" s="148"/>
      <c r="AB2" s="215"/>
      <c r="AC2" s="5"/>
      <c r="AD2" s="184"/>
      <c r="AE2" s="5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</row>
    <row r="3" ht="12.0" customHeight="1">
      <c r="A3" s="4"/>
      <c r="B3" s="33"/>
      <c r="C3" s="5"/>
      <c r="D3" s="184"/>
      <c r="E3" s="5"/>
      <c r="F3" s="184"/>
      <c r="G3" s="5"/>
      <c r="H3" s="184"/>
      <c r="I3" s="5"/>
      <c r="J3" s="184"/>
      <c r="K3" s="5"/>
      <c r="L3" s="184"/>
      <c r="M3" s="5"/>
      <c r="N3" s="184"/>
      <c r="O3" s="5"/>
      <c r="P3" s="184"/>
      <c r="Q3" s="5"/>
      <c r="R3" s="184"/>
      <c r="S3" s="5"/>
      <c r="T3" s="184"/>
      <c r="U3" s="5"/>
      <c r="V3" s="184"/>
      <c r="W3" s="5"/>
      <c r="X3" s="184"/>
      <c r="Y3" s="5"/>
      <c r="Z3" s="184"/>
      <c r="AA3" s="148"/>
      <c r="AB3" s="215"/>
      <c r="AC3" s="5"/>
      <c r="AD3" s="184"/>
      <c r="AE3" s="5"/>
      <c r="AF3" s="184"/>
      <c r="AG3" s="184"/>
      <c r="AH3" s="184"/>
      <c r="AI3" s="184"/>
      <c r="AJ3" s="184"/>
      <c r="AK3" s="184"/>
      <c r="AL3" s="184"/>
      <c r="AM3" s="192"/>
      <c r="AN3" s="184"/>
      <c r="AO3" s="184"/>
      <c r="AP3" s="184"/>
    </row>
    <row r="4" ht="12.0" customHeight="1">
      <c r="A4" s="4"/>
      <c r="B4" s="33" t="s">
        <v>189</v>
      </c>
      <c r="C4" s="5"/>
      <c r="D4" s="184"/>
      <c r="E4" s="5"/>
      <c r="F4" s="184"/>
      <c r="G4" s="5"/>
      <c r="H4" s="184"/>
      <c r="I4" s="5"/>
      <c r="J4" s="184"/>
      <c r="K4" s="5"/>
      <c r="L4" s="184"/>
      <c r="M4" s="5"/>
      <c r="N4" s="184"/>
      <c r="O4" s="5"/>
      <c r="P4" s="184"/>
      <c r="Q4" s="5"/>
      <c r="R4" s="184"/>
      <c r="S4" s="5"/>
      <c r="T4" s="184"/>
      <c r="U4" s="5"/>
      <c r="V4" s="184"/>
      <c r="W4" s="5"/>
      <c r="X4" s="184"/>
      <c r="Y4" s="5"/>
      <c r="Z4" s="184"/>
      <c r="AA4" s="148"/>
      <c r="AB4" s="215"/>
      <c r="AC4" s="5"/>
      <c r="AD4" s="184"/>
      <c r="AE4" s="5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</row>
    <row r="5">
      <c r="A5" s="40"/>
      <c r="B5" s="107"/>
      <c r="C5" s="186">
        <v>2019.0</v>
      </c>
      <c r="E5" s="186" t="s">
        <v>54</v>
      </c>
      <c r="G5" s="186" t="s">
        <v>205</v>
      </c>
      <c r="I5" s="186" t="s">
        <v>206</v>
      </c>
      <c r="K5" s="186" t="s">
        <v>207</v>
      </c>
      <c r="M5" s="186">
        <v>2020.0</v>
      </c>
      <c r="O5" s="186" t="s">
        <v>58</v>
      </c>
      <c r="Q5" s="186" t="s">
        <v>59</v>
      </c>
      <c r="S5" s="186" t="s">
        <v>208</v>
      </c>
      <c r="U5" s="186" t="s">
        <v>209</v>
      </c>
      <c r="W5" s="186" t="s">
        <v>210</v>
      </c>
      <c r="Y5" s="186" t="s">
        <v>211</v>
      </c>
      <c r="AA5" s="216">
        <v>2021.0</v>
      </c>
      <c r="AC5" s="186" t="s">
        <v>64</v>
      </c>
      <c r="AE5" s="186" t="s">
        <v>65</v>
      </c>
      <c r="AG5" s="186" t="s">
        <v>66</v>
      </c>
      <c r="AI5" s="186" t="s">
        <v>67</v>
      </c>
      <c r="AK5" s="186" t="s">
        <v>68</v>
      </c>
      <c r="AM5" s="186" t="s">
        <v>69</v>
      </c>
      <c r="AO5" s="186">
        <v>2022.0</v>
      </c>
    </row>
    <row r="6" ht="12.0" customHeight="1">
      <c r="A6" s="40"/>
      <c r="B6" s="107" t="s">
        <v>190</v>
      </c>
      <c r="C6" s="188">
        <v>231813.0</v>
      </c>
      <c r="D6" s="189">
        <f t="shared" ref="D6:D14" si="1">C6/$C$14</f>
        <v>0.3423448569</v>
      </c>
      <c r="E6" s="188">
        <v>144860.0</v>
      </c>
      <c r="F6" s="189">
        <f t="shared" ref="F6:F14" si="2">E6/$E$14</f>
        <v>0.3231649913</v>
      </c>
      <c r="G6" s="188">
        <v>85541.0</v>
      </c>
      <c r="H6" s="189">
        <f t="shared" ref="H6:H13" si="3">G6/$G$14</f>
        <v>0.3521698498</v>
      </c>
      <c r="I6" s="188">
        <v>230400.0</v>
      </c>
      <c r="J6" s="189">
        <f t="shared" ref="J6:J13" si="4">I6/$I$14</f>
        <v>0.3333564831</v>
      </c>
      <c r="K6" s="188">
        <v>93717.0</v>
      </c>
      <c r="L6" s="189">
        <f t="shared" ref="L6:L13" si="5">K6/$K$14</f>
        <v>0.3531599634</v>
      </c>
      <c r="M6" s="188">
        <v>324118.0</v>
      </c>
      <c r="N6" s="189">
        <f t="shared" ref="N6:N14" si="6">M6/$M$14</f>
        <v>0.3388516067</v>
      </c>
      <c r="O6" s="188">
        <v>98821.0</v>
      </c>
      <c r="P6" s="189">
        <f t="shared" ref="P6:P13" si="7">O6/$O$14</f>
        <v>0.3335257111</v>
      </c>
      <c r="Q6" s="188">
        <v>111268.0</v>
      </c>
      <c r="R6" s="189">
        <f t="shared" ref="R6:R14" si="8">Q6/$Q$14</f>
        <v>0.3528687953</v>
      </c>
      <c r="S6" s="217">
        <v>210089.0</v>
      </c>
      <c r="T6" s="132">
        <f t="shared" ref="T6:T13" si="9">S6/$S$14</f>
        <v>0.343498208</v>
      </c>
      <c r="U6" s="217">
        <v>134984.0</v>
      </c>
      <c r="V6" s="132">
        <f t="shared" ref="V6:V13" si="10">U6/$U$14</f>
        <v>0.3590286459</v>
      </c>
      <c r="W6" s="217">
        <v>345073.0</v>
      </c>
      <c r="X6" s="132">
        <f t="shared" ref="X6:X13" si="11">W6/$W$14</f>
        <v>0.349410583</v>
      </c>
      <c r="Y6" s="217">
        <v>142104.0</v>
      </c>
      <c r="Z6" s="132">
        <f t="shared" ref="Z6:Z13" si="12">Y6/$Y$14</f>
        <v>0.3110899005</v>
      </c>
      <c r="AA6" s="218">
        <v>487177.0</v>
      </c>
      <c r="AB6" s="219">
        <f t="shared" ref="AB6:AB13" si="13">AA6/$AA$14</f>
        <v>0.337291433</v>
      </c>
      <c r="AC6" s="188">
        <v>153598.4</v>
      </c>
      <c r="AD6" s="189">
        <f t="shared" ref="AD6:AD13" si="14">AC6/$AC$14</f>
        <v>0.3122732641</v>
      </c>
      <c r="AE6" s="188">
        <v>161466.0</v>
      </c>
      <c r="AF6" s="189">
        <f t="shared" ref="AF6:AF13" si="15">AE6/$AE$14</f>
        <v>0.3075454987</v>
      </c>
      <c r="AG6" s="185">
        <v>315064.0</v>
      </c>
      <c r="AH6" s="189">
        <f t="shared" ref="AH6:AH13" si="16">AG6/$AG$14</f>
        <v>0.3098318692</v>
      </c>
      <c r="AI6" s="185">
        <v>161185.0</v>
      </c>
      <c r="AJ6" s="189">
        <f t="shared" ref="AJ6:AJ13" si="17">AI6/$AI$14</f>
        <v>0.2883359749</v>
      </c>
      <c r="AK6" s="185">
        <v>476250.0</v>
      </c>
      <c r="AL6" s="189">
        <f t="shared" ref="AL6:AL13" si="18">AK6/$AK$14</f>
        <v>0.3022073031</v>
      </c>
      <c r="AM6" s="192">
        <v>172916.4</v>
      </c>
      <c r="AN6" s="189">
        <f t="shared" ref="AN6:AN13" si="19">AM6/$AI$14</f>
        <v>0.3093217034</v>
      </c>
      <c r="AO6" s="192">
        <f t="shared" ref="AO6:AO7" si="20">AM6+AK6</f>
        <v>649166.4</v>
      </c>
      <c r="AP6" s="189">
        <f t="shared" ref="AP6:AP13" si="21">AO6/$AK$14</f>
        <v>0.4119324452</v>
      </c>
    </row>
    <row r="7" ht="12.0" customHeight="1">
      <c r="A7" s="40"/>
      <c r="B7" s="107" t="s">
        <v>212</v>
      </c>
      <c r="C7" s="188">
        <v>116911.0</v>
      </c>
      <c r="D7" s="189">
        <f t="shared" si="1"/>
        <v>0.1726558889</v>
      </c>
      <c r="E7" s="188">
        <v>109430.0</v>
      </c>
      <c r="F7" s="189">
        <f t="shared" si="2"/>
        <v>0.2441249827</v>
      </c>
      <c r="G7" s="188">
        <v>66366.0</v>
      </c>
      <c r="H7" s="189">
        <f t="shared" si="3"/>
        <v>0.2732269233</v>
      </c>
      <c r="I7" s="188">
        <v>175796.0</v>
      </c>
      <c r="J7" s="189">
        <f t="shared" si="4"/>
        <v>0.2543521541</v>
      </c>
      <c r="K7" s="188">
        <v>68795.0</v>
      </c>
      <c r="L7" s="189">
        <f t="shared" si="5"/>
        <v>0.2592447441</v>
      </c>
      <c r="M7" s="188">
        <v>244590.0</v>
      </c>
      <c r="N7" s="189">
        <f t="shared" si="6"/>
        <v>0.2557084595</v>
      </c>
      <c r="O7" s="188">
        <v>84056.0</v>
      </c>
      <c r="P7" s="189">
        <f t="shared" si="7"/>
        <v>0.2836931136</v>
      </c>
      <c r="Q7" s="188">
        <v>88112.0</v>
      </c>
      <c r="R7" s="189">
        <f t="shared" si="8"/>
        <v>0.2794332179</v>
      </c>
      <c r="S7" s="217">
        <v>172169.0</v>
      </c>
      <c r="T7" s="132">
        <f t="shared" si="9"/>
        <v>0.2814985219</v>
      </c>
      <c r="U7" s="217">
        <v>78258.0</v>
      </c>
      <c r="V7" s="132">
        <f t="shared" si="10"/>
        <v>0.2081495864</v>
      </c>
      <c r="W7" s="217">
        <v>250426.0</v>
      </c>
      <c r="X7" s="132">
        <f t="shared" si="11"/>
        <v>0.253573866</v>
      </c>
      <c r="Y7" s="217">
        <v>90283.0</v>
      </c>
      <c r="Z7" s="132">
        <f t="shared" si="12"/>
        <v>0.1976448903</v>
      </c>
      <c r="AA7" s="218">
        <v>340709.0</v>
      </c>
      <c r="AB7" s="219">
        <f t="shared" si="13"/>
        <v>0.2358859857</v>
      </c>
      <c r="AC7" s="188">
        <v>94068.0</v>
      </c>
      <c r="AD7" s="189">
        <f t="shared" si="14"/>
        <v>0.19124497</v>
      </c>
      <c r="AE7" s="188">
        <v>107988.0</v>
      </c>
      <c r="AF7" s="189">
        <f t="shared" si="15"/>
        <v>0.2056855518</v>
      </c>
      <c r="AG7" s="185">
        <v>202056.0</v>
      </c>
      <c r="AH7" s="189">
        <f t="shared" si="16"/>
        <v>0.1987005439</v>
      </c>
      <c r="AI7" s="185">
        <v>114835.0</v>
      </c>
      <c r="AJ7" s="189">
        <f t="shared" si="17"/>
        <v>0.2054227234</v>
      </c>
      <c r="AK7" s="185">
        <v>316891.0</v>
      </c>
      <c r="AL7" s="189">
        <f t="shared" si="18"/>
        <v>0.2010850908</v>
      </c>
      <c r="AM7" s="192">
        <v>112131.88</v>
      </c>
      <c r="AN7" s="189">
        <f t="shared" si="19"/>
        <v>0.2005872441</v>
      </c>
      <c r="AO7" s="192">
        <f t="shared" si="20"/>
        <v>429022.88</v>
      </c>
      <c r="AP7" s="189">
        <f t="shared" si="21"/>
        <v>0.2722390499</v>
      </c>
    </row>
    <row r="8" ht="12.0" customHeight="1">
      <c r="A8" s="40"/>
      <c r="B8" s="107" t="s">
        <v>213</v>
      </c>
      <c r="C8" s="188">
        <v>92131.0</v>
      </c>
      <c r="D8" s="189">
        <f t="shared" si="1"/>
        <v>0.1360604194</v>
      </c>
      <c r="E8" s="188">
        <v>39214.0</v>
      </c>
      <c r="F8" s="189">
        <f t="shared" si="2"/>
        <v>0.08748165103</v>
      </c>
      <c r="G8" s="188">
        <v>17181.0</v>
      </c>
      <c r="H8" s="189">
        <f t="shared" si="3"/>
        <v>0.07073368547</v>
      </c>
      <c r="I8" s="188">
        <v>56395.0</v>
      </c>
      <c r="J8" s="189">
        <f t="shared" si="4"/>
        <v>0.08159565479</v>
      </c>
      <c r="K8" s="188">
        <v>25566.0</v>
      </c>
      <c r="L8" s="189">
        <f t="shared" si="5"/>
        <v>0.09634204705</v>
      </c>
      <c r="M8" s="188">
        <v>81961.0</v>
      </c>
      <c r="N8" s="189">
        <f t="shared" si="6"/>
        <v>0.08568674538</v>
      </c>
      <c r="O8" s="188">
        <v>32349.0</v>
      </c>
      <c r="P8" s="189">
        <f t="shared" si="7"/>
        <v>0.1091794581</v>
      </c>
      <c r="Q8" s="188">
        <v>30142.0</v>
      </c>
      <c r="R8" s="189">
        <f t="shared" si="8"/>
        <v>0.09559056716</v>
      </c>
      <c r="S8" s="217">
        <v>62491.0</v>
      </c>
      <c r="T8" s="132">
        <f t="shared" si="9"/>
        <v>0.102173586</v>
      </c>
      <c r="U8" s="217">
        <v>45515.0</v>
      </c>
      <c r="V8" s="132">
        <f t="shared" si="10"/>
        <v>0.121060191</v>
      </c>
      <c r="W8" s="217">
        <v>108006.0</v>
      </c>
      <c r="X8" s="132">
        <f t="shared" si="11"/>
        <v>0.1093636402</v>
      </c>
      <c r="Y8" s="217">
        <v>61305.0</v>
      </c>
      <c r="Z8" s="132">
        <f t="shared" si="12"/>
        <v>0.1342071043</v>
      </c>
      <c r="AA8" s="218">
        <v>169311.0</v>
      </c>
      <c r="AB8" s="219">
        <f t="shared" si="13"/>
        <v>0.1172205375</v>
      </c>
      <c r="AC8" s="188">
        <v>67752.9</v>
      </c>
      <c r="AD8" s="189">
        <f t="shared" si="14"/>
        <v>0.1377450496</v>
      </c>
      <c r="AE8" s="188">
        <v>69690.0</v>
      </c>
      <c r="AF8" s="189">
        <f t="shared" si="15"/>
        <v>0.1327390646</v>
      </c>
      <c r="AG8" s="185">
        <v>137443.0</v>
      </c>
      <c r="AH8" s="189">
        <f t="shared" si="16"/>
        <v>0.1351605439</v>
      </c>
      <c r="AI8" s="185">
        <v>77710.0</v>
      </c>
      <c r="AJ8" s="189">
        <f t="shared" si="17"/>
        <v>0.139011624</v>
      </c>
      <c r="AK8" s="185">
        <v>215153.0</v>
      </c>
      <c r="AL8" s="189">
        <f t="shared" si="18"/>
        <v>0.1365266307</v>
      </c>
      <c r="AM8" s="192">
        <v>113348.0</v>
      </c>
      <c r="AN8" s="189">
        <f t="shared" si="19"/>
        <v>0.2027627017</v>
      </c>
      <c r="AO8" s="192">
        <v>328500.0</v>
      </c>
      <c r="AP8" s="189">
        <f t="shared" si="21"/>
        <v>0.2084516516</v>
      </c>
    </row>
    <row r="9" ht="12.0" customHeight="1">
      <c r="A9" s="40"/>
      <c r="B9" s="107" t="s">
        <v>214</v>
      </c>
      <c r="C9" s="188">
        <v>85410.0</v>
      </c>
      <c r="D9" s="189">
        <f t="shared" si="1"/>
        <v>0.1261347475</v>
      </c>
      <c r="E9" s="188">
        <v>63058.0</v>
      </c>
      <c r="F9" s="189">
        <f t="shared" si="2"/>
        <v>0.1406747068</v>
      </c>
      <c r="G9" s="188">
        <v>34012.0</v>
      </c>
      <c r="H9" s="189">
        <f t="shared" si="3"/>
        <v>0.140026431</v>
      </c>
      <c r="I9" s="188">
        <v>97070.0</v>
      </c>
      <c r="J9" s="189">
        <f t="shared" si="4"/>
        <v>0.1404466745</v>
      </c>
      <c r="K9" s="188">
        <v>37693.0</v>
      </c>
      <c r="L9" s="189">
        <f t="shared" si="5"/>
        <v>0.1420410224</v>
      </c>
      <c r="M9" s="188">
        <v>134763.0</v>
      </c>
      <c r="N9" s="189">
        <f t="shared" si="6"/>
        <v>0.1408889944</v>
      </c>
      <c r="O9" s="188">
        <v>41806.0</v>
      </c>
      <c r="P9" s="189">
        <f t="shared" si="7"/>
        <v>0.1410972959</v>
      </c>
      <c r="Q9" s="188">
        <v>45798.0</v>
      </c>
      <c r="R9" s="189">
        <f t="shared" si="8"/>
        <v>0.1452410854</v>
      </c>
      <c r="S9" s="217">
        <v>87604.0</v>
      </c>
      <c r="T9" s="132">
        <f t="shared" si="9"/>
        <v>0.143233663</v>
      </c>
      <c r="U9" s="217">
        <v>51503.0</v>
      </c>
      <c r="V9" s="132">
        <f t="shared" si="10"/>
        <v>0.1369869936</v>
      </c>
      <c r="W9" s="217">
        <v>139107.0</v>
      </c>
      <c r="X9" s="132">
        <f t="shared" si="11"/>
        <v>0.1408555812</v>
      </c>
      <c r="Y9" s="217">
        <v>67268.0</v>
      </c>
      <c r="Z9" s="132">
        <f t="shared" si="12"/>
        <v>0.1472611286</v>
      </c>
      <c r="AA9" s="218">
        <v>206375.0</v>
      </c>
      <c r="AB9" s="219">
        <f t="shared" si="13"/>
        <v>0.1428813747</v>
      </c>
      <c r="AC9" s="188">
        <v>63422.4</v>
      </c>
      <c r="AD9" s="189">
        <f t="shared" si="14"/>
        <v>0.1289409256</v>
      </c>
      <c r="AE9" s="188">
        <v>70568.0</v>
      </c>
      <c r="AF9" s="189">
        <f t="shared" si="15"/>
        <v>0.1344113978</v>
      </c>
      <c r="AG9" s="185">
        <v>133990.0</v>
      </c>
      <c r="AH9" s="189">
        <f t="shared" si="16"/>
        <v>0.1317648864</v>
      </c>
      <c r="AI9" s="185">
        <v>74847.0</v>
      </c>
      <c r="AJ9" s="189">
        <f t="shared" si="17"/>
        <v>0.1338901431</v>
      </c>
      <c r="AK9" s="185">
        <v>208837.0</v>
      </c>
      <c r="AL9" s="189">
        <f t="shared" si="18"/>
        <v>0.1325187749</v>
      </c>
      <c r="AM9" s="192">
        <v>72463.0</v>
      </c>
      <c r="AN9" s="189">
        <f t="shared" si="19"/>
        <v>0.1296255219</v>
      </c>
      <c r="AO9" s="192">
        <v>281300.0</v>
      </c>
      <c r="AP9" s="189">
        <f t="shared" si="21"/>
        <v>0.1785006076</v>
      </c>
    </row>
    <row r="10" ht="12.0" customHeight="1">
      <c r="A10" s="40"/>
      <c r="B10" s="107" t="s">
        <v>215</v>
      </c>
      <c r="C10" s="188">
        <v>65130.0</v>
      </c>
      <c r="D10" s="189">
        <f t="shared" si="1"/>
        <v>0.09618494446</v>
      </c>
      <c r="E10" s="188">
        <v>45351.0</v>
      </c>
      <c r="F10" s="189">
        <f t="shared" si="2"/>
        <v>0.1011725495</v>
      </c>
      <c r="G10" s="188">
        <v>20188.0</v>
      </c>
      <c r="H10" s="189">
        <f t="shared" si="3"/>
        <v>0.08311341844</v>
      </c>
      <c r="I10" s="188">
        <v>65538.0</v>
      </c>
      <c r="J10" s="189">
        <f t="shared" si="4"/>
        <v>0.09482429335</v>
      </c>
      <c r="K10" s="188">
        <v>17508.0</v>
      </c>
      <c r="L10" s="189">
        <f t="shared" si="5"/>
        <v>0.06597655323</v>
      </c>
      <c r="M10" s="188">
        <v>83046.0</v>
      </c>
      <c r="N10" s="189">
        <f t="shared" si="6"/>
        <v>0.08682106681</v>
      </c>
      <c r="O10" s="188">
        <v>15978.0</v>
      </c>
      <c r="P10" s="189">
        <f t="shared" si="7"/>
        <v>0.05392653193</v>
      </c>
      <c r="Q10" s="188">
        <v>18232.0</v>
      </c>
      <c r="R10" s="189">
        <f t="shared" si="8"/>
        <v>0.05781989319</v>
      </c>
      <c r="S10" s="217">
        <v>34210.0</v>
      </c>
      <c r="T10" s="132">
        <f t="shared" si="9"/>
        <v>0.05593378852</v>
      </c>
      <c r="U10" s="217">
        <v>20930.0</v>
      </c>
      <c r="V10" s="132">
        <f t="shared" si="10"/>
        <v>0.05566933532</v>
      </c>
      <c r="W10" s="217">
        <v>55140.0</v>
      </c>
      <c r="X10" s="132">
        <f t="shared" si="11"/>
        <v>0.05583311226</v>
      </c>
      <c r="Y10" s="217">
        <v>34555.0</v>
      </c>
      <c r="Z10" s="132">
        <f t="shared" si="12"/>
        <v>0.07564679046</v>
      </c>
      <c r="AA10" s="218">
        <v>93871.0</v>
      </c>
      <c r="AB10" s="219">
        <f t="shared" si="13"/>
        <v>0.06499051496</v>
      </c>
      <c r="AC10" s="188">
        <v>35429.98</v>
      </c>
      <c r="AD10" s="189">
        <f t="shared" si="14"/>
        <v>0.07203092936</v>
      </c>
      <c r="AE10" s="188">
        <v>31624.0</v>
      </c>
      <c r="AF10" s="189">
        <f t="shared" si="15"/>
        <v>0.06023446949</v>
      </c>
      <c r="AG10" s="185">
        <v>67053.0</v>
      </c>
      <c r="AH10" s="189">
        <f t="shared" si="16"/>
        <v>0.06593948</v>
      </c>
      <c r="AI10" s="185">
        <v>32753.0</v>
      </c>
      <c r="AJ10" s="189">
        <f t="shared" si="17"/>
        <v>0.05859024217</v>
      </c>
      <c r="AK10" s="185">
        <v>99807.0</v>
      </c>
      <c r="AL10" s="189">
        <f t="shared" si="18"/>
        <v>0.06333313239</v>
      </c>
      <c r="AM10" s="192">
        <v>35759.05</v>
      </c>
      <c r="AN10" s="189">
        <f t="shared" si="19"/>
        <v>0.06396761822</v>
      </c>
      <c r="AO10" s="192">
        <f t="shared" ref="AO10:AO12" si="22">AM10+AK10</f>
        <v>135566.05</v>
      </c>
      <c r="AP10" s="189">
        <f t="shared" si="21"/>
        <v>0.08602425273</v>
      </c>
    </row>
    <row r="11" ht="12.0" customHeight="1">
      <c r="A11" s="40"/>
      <c r="B11" s="107" t="s">
        <v>216</v>
      </c>
      <c r="C11" s="188">
        <v>21042.0</v>
      </c>
      <c r="D11" s="189">
        <f t="shared" si="1"/>
        <v>0.0310751359</v>
      </c>
      <c r="E11" s="188">
        <v>22069.0</v>
      </c>
      <c r="F11" s="189">
        <f t="shared" si="2"/>
        <v>0.04923324722</v>
      </c>
      <c r="G11" s="188">
        <v>9557.0</v>
      </c>
      <c r="H11" s="189">
        <f t="shared" si="3"/>
        <v>0.03934589559</v>
      </c>
      <c r="I11" s="188">
        <v>31626.0</v>
      </c>
      <c r="J11" s="189">
        <f t="shared" si="4"/>
        <v>0.045758386</v>
      </c>
      <c r="K11" s="188">
        <v>9697.0</v>
      </c>
      <c r="L11" s="189">
        <f t="shared" si="5"/>
        <v>0.03654184582</v>
      </c>
      <c r="M11" s="188">
        <v>41323.0</v>
      </c>
      <c r="N11" s="189">
        <f t="shared" si="6"/>
        <v>0.0432014419</v>
      </c>
      <c r="O11" s="188">
        <v>12191.0</v>
      </c>
      <c r="P11" s="189">
        <f t="shared" si="7"/>
        <v>0.04114522161</v>
      </c>
      <c r="Q11" s="188">
        <v>11446.0</v>
      </c>
      <c r="R11" s="189">
        <f t="shared" si="8"/>
        <v>0.03629917165</v>
      </c>
      <c r="S11" s="217">
        <v>23638.0</v>
      </c>
      <c r="T11" s="132">
        <f t="shared" si="9"/>
        <v>0.038648433</v>
      </c>
      <c r="U11" s="217">
        <v>16458.0</v>
      </c>
      <c r="V11" s="132">
        <f t="shared" si="10"/>
        <v>0.04377476926</v>
      </c>
      <c r="W11" s="217">
        <v>40096.0</v>
      </c>
      <c r="X11" s="132">
        <f t="shared" si="11"/>
        <v>0.04060000851</v>
      </c>
      <c r="Y11" s="217">
        <v>22176.0</v>
      </c>
      <c r="Z11" s="132">
        <f t="shared" si="12"/>
        <v>0.04854704747</v>
      </c>
      <c r="AA11" s="218">
        <v>64336.0</v>
      </c>
      <c r="AB11" s="219">
        <f t="shared" si="13"/>
        <v>0.04454229496</v>
      </c>
      <c r="AC11" s="188">
        <v>19687.75</v>
      </c>
      <c r="AD11" s="189">
        <f t="shared" si="14"/>
        <v>0.04002618487</v>
      </c>
      <c r="AE11" s="188">
        <v>16965.0</v>
      </c>
      <c r="AF11" s="189">
        <f t="shared" si="15"/>
        <v>0.03231336248</v>
      </c>
      <c r="AG11" s="185">
        <v>36653.0</v>
      </c>
      <c r="AH11" s="189">
        <f t="shared" si="16"/>
        <v>0.03604431958</v>
      </c>
      <c r="AI11" s="185">
        <v>18855.0</v>
      </c>
      <c r="AJ11" s="189">
        <f t="shared" si="17"/>
        <v>0.0337287887</v>
      </c>
      <c r="AK11" s="185">
        <v>55508.0</v>
      </c>
      <c r="AL11" s="189">
        <f t="shared" si="18"/>
        <v>0.03522293539</v>
      </c>
      <c r="AM11" s="192">
        <v>22943.65</v>
      </c>
      <c r="AN11" s="189">
        <f t="shared" si="19"/>
        <v>0.04104277501</v>
      </c>
      <c r="AO11" s="192">
        <f t="shared" si="22"/>
        <v>78451.65</v>
      </c>
      <c r="AP11" s="189">
        <f t="shared" si="21"/>
        <v>0.04978196655</v>
      </c>
    </row>
    <row r="12" ht="12.0" customHeight="1">
      <c r="A12" s="40"/>
      <c r="B12" s="107" t="s">
        <v>217</v>
      </c>
      <c r="C12" s="188">
        <v>0.0</v>
      </c>
      <c r="D12" s="189">
        <f t="shared" si="1"/>
        <v>0</v>
      </c>
      <c r="E12" s="188">
        <v>0.0</v>
      </c>
      <c r="F12" s="189">
        <f t="shared" si="2"/>
        <v>0</v>
      </c>
      <c r="G12" s="188">
        <v>0.0</v>
      </c>
      <c r="H12" s="189">
        <f t="shared" si="3"/>
        <v>0</v>
      </c>
      <c r="I12" s="188">
        <v>0.0</v>
      </c>
      <c r="J12" s="189">
        <f t="shared" si="4"/>
        <v>0</v>
      </c>
      <c r="K12" s="188">
        <v>0.0</v>
      </c>
      <c r="L12" s="189">
        <f t="shared" si="5"/>
        <v>0</v>
      </c>
      <c r="M12" s="188">
        <v>0.0</v>
      </c>
      <c r="N12" s="189">
        <f t="shared" si="6"/>
        <v>0</v>
      </c>
      <c r="O12" s="188">
        <v>0.0</v>
      </c>
      <c r="P12" s="189">
        <f t="shared" si="7"/>
        <v>0</v>
      </c>
      <c r="Q12" s="188">
        <v>4923.0</v>
      </c>
      <c r="R12" s="189">
        <f t="shared" si="8"/>
        <v>0.01561251284</v>
      </c>
      <c r="S12" s="217">
        <v>10155.0</v>
      </c>
      <c r="T12" s="132">
        <f t="shared" si="9"/>
        <v>0.01660355517</v>
      </c>
      <c r="U12" s="217">
        <v>10713.0</v>
      </c>
      <c r="V12" s="132">
        <f t="shared" si="10"/>
        <v>0.02849429476</v>
      </c>
      <c r="W12" s="217">
        <v>20868.0</v>
      </c>
      <c r="X12" s="132">
        <f t="shared" si="11"/>
        <v>0.02113031169</v>
      </c>
      <c r="Y12" s="217">
        <v>16380.0</v>
      </c>
      <c r="Z12" s="132">
        <f t="shared" si="12"/>
        <v>0.03585861461</v>
      </c>
      <c r="AA12" s="218">
        <v>37247.0</v>
      </c>
      <c r="AB12" s="219">
        <f t="shared" si="13"/>
        <v>0.02578753514</v>
      </c>
      <c r="AC12" s="188">
        <v>0.0</v>
      </c>
      <c r="AD12" s="189">
        <f t="shared" si="14"/>
        <v>0</v>
      </c>
      <c r="AE12" s="188">
        <v>17596.0</v>
      </c>
      <c r="AF12" s="189">
        <f t="shared" si="15"/>
        <v>0.0335152329</v>
      </c>
      <c r="AG12" s="185">
        <v>34632.0</v>
      </c>
      <c r="AH12" s="189">
        <f t="shared" si="16"/>
        <v>0.03405688144</v>
      </c>
      <c r="AI12" s="185">
        <v>20229.0</v>
      </c>
      <c r="AJ12" s="189">
        <f t="shared" si="17"/>
        <v>0.0361866702</v>
      </c>
      <c r="AK12" s="185">
        <v>54861.0</v>
      </c>
      <c r="AL12" s="189">
        <f t="shared" si="18"/>
        <v>0.03481237765</v>
      </c>
      <c r="AM12" s="192">
        <v>18386.7</v>
      </c>
      <c r="AN12" s="189">
        <f t="shared" si="19"/>
        <v>0.0328910697</v>
      </c>
      <c r="AO12" s="192">
        <f t="shared" si="22"/>
        <v>73247.7</v>
      </c>
      <c r="AP12" s="189">
        <f t="shared" si="21"/>
        <v>0.04647976877</v>
      </c>
    </row>
    <row r="13" ht="12.0" customHeight="1">
      <c r="A13" s="40"/>
      <c r="B13" s="107" t="s">
        <v>148</v>
      </c>
      <c r="C13" s="188">
        <v>64714.0</v>
      </c>
      <c r="D13" s="189">
        <f t="shared" si="1"/>
        <v>0.09557058953</v>
      </c>
      <c r="E13" s="188">
        <v>24272.0</v>
      </c>
      <c r="F13" s="189">
        <f t="shared" si="2"/>
        <v>0.05414787152</v>
      </c>
      <c r="G13" s="188">
        <v>10052.0</v>
      </c>
      <c r="H13" s="189">
        <f t="shared" si="3"/>
        <v>0.04138379642</v>
      </c>
      <c r="I13" s="188">
        <v>34327.0</v>
      </c>
      <c r="J13" s="189">
        <f t="shared" si="4"/>
        <v>0.04966635414</v>
      </c>
      <c r="K13" s="188">
        <v>12391.0</v>
      </c>
      <c r="L13" s="189">
        <f t="shared" si="5"/>
        <v>0.04669382402</v>
      </c>
      <c r="M13" s="188">
        <v>46719.0</v>
      </c>
      <c r="N13" s="189">
        <f t="shared" si="6"/>
        <v>0.04884273078</v>
      </c>
      <c r="O13" s="188">
        <v>11091.0</v>
      </c>
      <c r="P13" s="189">
        <f t="shared" si="7"/>
        <v>0.03743266777</v>
      </c>
      <c r="Q13" s="188">
        <v>5403.0</v>
      </c>
      <c r="R13" s="189">
        <f t="shared" si="8"/>
        <v>0.01713475663</v>
      </c>
      <c r="S13" s="217">
        <v>11260.0</v>
      </c>
      <c r="T13" s="132">
        <f t="shared" si="9"/>
        <v>0.01841024434</v>
      </c>
      <c r="U13" s="217">
        <v>17609.0</v>
      </c>
      <c r="V13" s="132">
        <f t="shared" si="10"/>
        <v>0.04683618374</v>
      </c>
      <c r="W13" s="217">
        <v>28870.0</v>
      </c>
      <c r="X13" s="132">
        <f t="shared" si="11"/>
        <v>0.02923289719</v>
      </c>
      <c r="Y13" s="217">
        <v>22723.0</v>
      </c>
      <c r="Z13" s="132">
        <f t="shared" si="12"/>
        <v>0.04974452379</v>
      </c>
      <c r="AA13" s="220">
        <v>45354.0</v>
      </c>
      <c r="AB13" s="132">
        <f t="shared" si="13"/>
        <v>0.03140032401</v>
      </c>
      <c r="AC13" s="188">
        <v>57912.33</v>
      </c>
      <c r="AD13" s="189">
        <f t="shared" si="14"/>
        <v>0.1177386764</v>
      </c>
      <c r="AE13" s="188">
        <v>49118.0</v>
      </c>
      <c r="AF13" s="189">
        <f t="shared" si="15"/>
        <v>0.09355542223</v>
      </c>
      <c r="AG13" s="185">
        <v>89996.0</v>
      </c>
      <c r="AH13" s="189">
        <f t="shared" si="16"/>
        <v>0.08850147558</v>
      </c>
      <c r="AI13" s="185">
        <v>58604.0</v>
      </c>
      <c r="AJ13" s="189">
        <f t="shared" si="17"/>
        <v>0.1048338336</v>
      </c>
      <c r="AK13" s="185">
        <v>148598.0</v>
      </c>
      <c r="AL13" s="189">
        <f t="shared" si="18"/>
        <v>0.09429375502</v>
      </c>
      <c r="AM13" s="204">
        <v>63856.0</v>
      </c>
      <c r="AN13" s="189">
        <f t="shared" si="19"/>
        <v>0.1142288799</v>
      </c>
      <c r="AO13" s="204">
        <v>212455.0</v>
      </c>
      <c r="AP13" s="189">
        <f t="shared" si="21"/>
        <v>0.1348145986</v>
      </c>
    </row>
    <row r="14" ht="12.0" customHeight="1">
      <c r="A14" s="40"/>
      <c r="B14" s="196" t="s">
        <v>195</v>
      </c>
      <c r="C14" s="197">
        <v>677133.0</v>
      </c>
      <c r="D14" s="198">
        <f t="shared" si="1"/>
        <v>1</v>
      </c>
      <c r="E14" s="197">
        <v>448254.0</v>
      </c>
      <c r="F14" s="198">
        <f t="shared" si="2"/>
        <v>1</v>
      </c>
      <c r="G14" s="197">
        <f t="shared" ref="G14:L14" si="23">SUM(G6:G13)</f>
        <v>242897</v>
      </c>
      <c r="H14" s="198">
        <f t="shared" si="23"/>
        <v>1</v>
      </c>
      <c r="I14" s="197">
        <f t="shared" si="23"/>
        <v>691152</v>
      </c>
      <c r="J14" s="198">
        <f t="shared" si="23"/>
        <v>1</v>
      </c>
      <c r="K14" s="197">
        <f t="shared" si="23"/>
        <v>265367</v>
      </c>
      <c r="L14" s="198">
        <f t="shared" si="23"/>
        <v>1</v>
      </c>
      <c r="M14" s="197">
        <v>956519.0</v>
      </c>
      <c r="N14" s="198">
        <f t="shared" si="6"/>
        <v>1</v>
      </c>
      <c r="O14" s="197">
        <f t="shared" ref="O14:Q14" si="24">SUM(O6:O13)</f>
        <v>296292</v>
      </c>
      <c r="P14" s="198">
        <f t="shared" si="24"/>
        <v>1</v>
      </c>
      <c r="Q14" s="197">
        <f t="shared" si="24"/>
        <v>315324</v>
      </c>
      <c r="R14" s="198">
        <f t="shared" si="8"/>
        <v>1</v>
      </c>
      <c r="S14" s="221">
        <v>611616.0</v>
      </c>
      <c r="T14" s="222">
        <f t="shared" ref="T14:AP14" si="25">SUM(T6:T13)</f>
        <v>1</v>
      </c>
      <c r="U14" s="221">
        <f t="shared" si="25"/>
        <v>375970</v>
      </c>
      <c r="V14" s="222">
        <f t="shared" si="25"/>
        <v>1</v>
      </c>
      <c r="W14" s="221">
        <f t="shared" si="25"/>
        <v>987586</v>
      </c>
      <c r="X14" s="222">
        <f t="shared" si="25"/>
        <v>1</v>
      </c>
      <c r="Y14" s="221">
        <f t="shared" si="25"/>
        <v>456794</v>
      </c>
      <c r="Z14" s="222">
        <f t="shared" si="25"/>
        <v>1</v>
      </c>
      <c r="AA14" s="223">
        <f t="shared" si="25"/>
        <v>1444380</v>
      </c>
      <c r="AB14" s="222">
        <f t="shared" si="25"/>
        <v>1</v>
      </c>
      <c r="AC14" s="197">
        <f t="shared" si="25"/>
        <v>491871.76</v>
      </c>
      <c r="AD14" s="198">
        <f t="shared" si="25"/>
        <v>1</v>
      </c>
      <c r="AE14" s="197">
        <f t="shared" si="25"/>
        <v>525015</v>
      </c>
      <c r="AF14" s="198">
        <f t="shared" si="25"/>
        <v>1</v>
      </c>
      <c r="AG14" s="197">
        <f t="shared" si="25"/>
        <v>1016887</v>
      </c>
      <c r="AH14" s="198">
        <f t="shared" si="25"/>
        <v>1</v>
      </c>
      <c r="AI14" s="197">
        <f t="shared" si="25"/>
        <v>559018</v>
      </c>
      <c r="AJ14" s="198">
        <f t="shared" si="25"/>
        <v>1</v>
      </c>
      <c r="AK14" s="197">
        <f t="shared" si="25"/>
        <v>1575905</v>
      </c>
      <c r="AL14" s="198">
        <f t="shared" si="25"/>
        <v>1</v>
      </c>
      <c r="AM14" s="197">
        <f t="shared" si="25"/>
        <v>611804.68</v>
      </c>
      <c r="AN14" s="198">
        <f t="shared" si="25"/>
        <v>1.094427514</v>
      </c>
      <c r="AO14" s="197">
        <f t="shared" si="25"/>
        <v>2187709.68</v>
      </c>
      <c r="AP14" s="198">
        <f t="shared" si="25"/>
        <v>1.388224341</v>
      </c>
    </row>
    <row r="15" ht="12.0" customHeight="1">
      <c r="A15" s="40"/>
      <c r="B15" s="40"/>
      <c r="C15" s="5"/>
      <c r="D15" s="184"/>
      <c r="E15" s="5"/>
      <c r="F15" s="184"/>
      <c r="G15" s="5"/>
      <c r="H15" s="184"/>
      <c r="I15" s="5"/>
      <c r="J15" s="184"/>
      <c r="K15" s="5"/>
      <c r="L15" s="184"/>
      <c r="M15" s="5"/>
      <c r="N15" s="184"/>
      <c r="O15" s="5"/>
      <c r="P15" s="184"/>
      <c r="Q15" s="5"/>
      <c r="R15" s="184"/>
      <c r="S15" s="5"/>
      <c r="T15" s="184"/>
      <c r="U15" s="5"/>
      <c r="V15" s="184"/>
      <c r="W15" s="5"/>
      <c r="X15" s="184"/>
      <c r="Y15" s="5"/>
      <c r="Z15" s="184"/>
      <c r="AA15" s="148"/>
      <c r="AB15" s="184"/>
      <c r="AC15" s="5"/>
      <c r="AD15" s="184"/>
      <c r="AE15" s="5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</row>
    <row r="16" ht="12.0" customHeight="1">
      <c r="A16" s="40"/>
      <c r="B16" s="40"/>
      <c r="C16" s="5"/>
      <c r="D16" s="184"/>
      <c r="E16" s="5"/>
      <c r="F16" s="184"/>
      <c r="G16" s="5"/>
      <c r="H16" s="184"/>
      <c r="I16" s="5"/>
      <c r="J16" s="184"/>
      <c r="K16" s="5"/>
      <c r="L16" s="184"/>
      <c r="M16" s="5"/>
      <c r="N16" s="184"/>
      <c r="O16" s="5"/>
      <c r="P16" s="184"/>
      <c r="Q16" s="5"/>
      <c r="R16" s="184"/>
      <c r="S16" s="5"/>
      <c r="T16" s="184"/>
      <c r="U16" s="5"/>
      <c r="V16" s="184"/>
      <c r="W16" s="5"/>
      <c r="X16" s="184"/>
      <c r="Y16" s="5"/>
      <c r="Z16" s="184"/>
      <c r="AA16" s="148"/>
      <c r="AB16" s="215"/>
      <c r="AC16" s="5"/>
      <c r="AD16" s="184"/>
      <c r="AE16" s="5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</row>
    <row r="17" ht="12.0" customHeight="1">
      <c r="A17" s="40"/>
      <c r="B17" s="33" t="s">
        <v>196</v>
      </c>
      <c r="C17" s="5"/>
      <c r="D17" s="184"/>
      <c r="E17" s="5"/>
      <c r="F17" s="184"/>
      <c r="G17" s="5"/>
      <c r="H17" s="184"/>
      <c r="I17" s="5"/>
      <c r="J17" s="184"/>
      <c r="K17" s="5"/>
      <c r="L17" s="184"/>
      <c r="M17" s="5"/>
      <c r="N17" s="184"/>
      <c r="O17" s="5"/>
      <c r="P17" s="184"/>
      <c r="Q17" s="5"/>
      <c r="R17" s="184"/>
      <c r="S17" s="5"/>
      <c r="T17" s="184"/>
      <c r="U17" s="5"/>
      <c r="V17" s="184"/>
      <c r="W17" s="5"/>
      <c r="X17" s="184"/>
      <c r="Y17" s="5"/>
      <c r="Z17" s="184"/>
      <c r="AA17" s="148"/>
      <c r="AB17" s="215"/>
      <c r="AC17" s="5"/>
      <c r="AD17" s="184"/>
      <c r="AE17" s="5"/>
      <c r="AF17" s="184"/>
      <c r="AG17" s="184"/>
      <c r="AH17" s="184"/>
      <c r="AI17" s="184"/>
      <c r="AJ17" s="184"/>
      <c r="AK17" s="184"/>
      <c r="AL17" s="184"/>
      <c r="AM17" s="184"/>
      <c r="AN17" s="224"/>
      <c r="AO17" s="184"/>
      <c r="AP17" s="184"/>
    </row>
    <row r="18" ht="12.0" customHeight="1">
      <c r="A18" s="40"/>
      <c r="B18" s="40"/>
      <c r="C18" s="5"/>
      <c r="D18" s="184"/>
      <c r="E18" s="5"/>
      <c r="F18" s="184"/>
      <c r="G18" s="5"/>
      <c r="H18" s="184"/>
      <c r="I18" s="5"/>
      <c r="J18" s="184"/>
      <c r="K18" s="5"/>
      <c r="L18" s="184"/>
      <c r="M18" s="5"/>
      <c r="N18" s="184"/>
      <c r="O18" s="5"/>
      <c r="P18" s="184"/>
      <c r="Q18" s="5"/>
      <c r="R18" s="184"/>
      <c r="S18" s="5"/>
      <c r="T18" s="184"/>
      <c r="U18" s="5"/>
      <c r="V18" s="184"/>
      <c r="W18" s="5"/>
      <c r="X18" s="184"/>
      <c r="Y18" s="5"/>
      <c r="Z18" s="184"/>
      <c r="AA18" s="148"/>
      <c r="AB18" s="215"/>
      <c r="AC18" s="5"/>
      <c r="AD18" s="184"/>
      <c r="AE18" s="5"/>
      <c r="AF18" s="184"/>
      <c r="AG18" s="184"/>
      <c r="AH18" s="184"/>
      <c r="AI18" s="46"/>
      <c r="AJ18" s="46"/>
      <c r="AK18" s="46"/>
      <c r="AL18" s="46"/>
      <c r="AM18" s="46"/>
      <c r="AN18" s="46"/>
      <c r="AO18" s="46"/>
      <c r="AP18" s="46"/>
    </row>
    <row r="19" ht="12.0" customHeight="1">
      <c r="A19" s="40"/>
      <c r="B19" s="40"/>
      <c r="C19" s="186">
        <v>2019.0</v>
      </c>
      <c r="E19" s="186" t="s">
        <v>54</v>
      </c>
      <c r="G19" s="186" t="s">
        <v>205</v>
      </c>
      <c r="I19" s="186" t="s">
        <v>206</v>
      </c>
      <c r="K19" s="186" t="s">
        <v>207</v>
      </c>
      <c r="M19" s="186">
        <v>2020.0</v>
      </c>
      <c r="O19" s="186" t="s">
        <v>58</v>
      </c>
      <c r="Q19" s="186" t="s">
        <v>59</v>
      </c>
      <c r="S19" s="186" t="s">
        <v>208</v>
      </c>
      <c r="U19" s="186" t="s">
        <v>209</v>
      </c>
      <c r="W19" s="186" t="s">
        <v>210</v>
      </c>
      <c r="Y19" s="186" t="s">
        <v>211</v>
      </c>
      <c r="AA19" s="216">
        <v>2021.0</v>
      </c>
      <c r="AC19" s="186" t="s">
        <v>64</v>
      </c>
      <c r="AE19" s="186" t="s">
        <v>65</v>
      </c>
      <c r="AG19" s="186" t="s">
        <v>66</v>
      </c>
      <c r="AI19" s="186" t="s">
        <v>67</v>
      </c>
      <c r="AK19" s="186" t="s">
        <v>68</v>
      </c>
      <c r="AM19" s="186" t="s">
        <v>69</v>
      </c>
      <c r="AO19" s="186">
        <v>2022.0</v>
      </c>
    </row>
    <row r="20" ht="12.0" customHeight="1">
      <c r="A20" s="40"/>
      <c r="B20" s="199" t="s">
        <v>197</v>
      </c>
      <c r="C20" s="14">
        <v>284321.0</v>
      </c>
      <c r="D20" s="184">
        <f t="shared" ref="D20:D21" si="26">C20/$C$24</f>
        <v>0.4198894456</v>
      </c>
      <c r="E20" s="14">
        <v>212005.0</v>
      </c>
      <c r="F20" s="184">
        <f t="shared" ref="F20:F21" si="27">E20/$E$24</f>
        <v>0.4729572965</v>
      </c>
      <c r="G20" s="14">
        <v>114586.0</v>
      </c>
      <c r="H20" s="184">
        <f t="shared" ref="H20:H21" si="28">G20/$G$24</f>
        <v>0.4717472838</v>
      </c>
      <c r="I20" s="14">
        <v>326591.0</v>
      </c>
      <c r="J20" s="184">
        <f t="shared" ref="J20:J21" si="29">I20/$I$24</f>
        <v>0.4725313679</v>
      </c>
      <c r="K20" s="14">
        <v>125420.0</v>
      </c>
      <c r="L20" s="184">
        <f t="shared" ref="L20:L21" si="30">K20/$K$24</f>
        <v>0.472628473</v>
      </c>
      <c r="M20" s="14">
        <v>451999.0</v>
      </c>
      <c r="N20" s="184">
        <f t="shared" ref="N20:N23" si="31">M20/$M$24</f>
        <v>0.4725457623</v>
      </c>
      <c r="O20" s="14">
        <v>153038.0</v>
      </c>
      <c r="P20" s="184">
        <f t="shared" ref="P20:P23" si="32">O20/$O$24</f>
        <v>0.5165107394</v>
      </c>
      <c r="Q20" s="14">
        <v>152574.0</v>
      </c>
      <c r="R20" s="184">
        <f t="shared" ref="R20:R23" si="33">Q20/$Q$24</f>
        <v>0.4838642159</v>
      </c>
      <c r="S20" s="14">
        <v>301584.0</v>
      </c>
      <c r="T20" s="184">
        <f t="shared" ref="T20:T21" si="34">S20/$S$24</f>
        <v>0.4930937059</v>
      </c>
      <c r="U20" s="14">
        <v>165015.0</v>
      </c>
      <c r="V20" s="184">
        <f t="shared" ref="V20:V21" si="35">U20/$U$24</f>
        <v>0.4389046998</v>
      </c>
      <c r="W20" s="14">
        <v>470563.0</v>
      </c>
      <c r="X20" s="184">
        <f t="shared" ref="X20:X21" si="36">W20/$W$24</f>
        <v>0.4764779979</v>
      </c>
      <c r="Y20" s="14">
        <v>200014.0</v>
      </c>
      <c r="Z20" s="184">
        <f t="shared" ref="Z20:Z21" si="37">Y20/$Y$24</f>
        <v>0.437863812</v>
      </c>
      <c r="AA20" s="14">
        <v>664858.0</v>
      </c>
      <c r="AB20" s="184">
        <f t="shared" ref="AB20:AB23" si="38">AA20/$AA$24</f>
        <v>0.4603068445</v>
      </c>
      <c r="AC20" s="14">
        <v>205985.0</v>
      </c>
      <c r="AD20" s="184">
        <f t="shared" ref="AD20:AD23" si="39">AC20/$AC$24</f>
        <v>0.4187776495</v>
      </c>
      <c r="AE20" s="14">
        <v>219304.0</v>
      </c>
      <c r="AF20" s="184">
        <f t="shared" ref="AF20:AF23" si="40">AE20/$AE$24</f>
        <v>0.4177099702</v>
      </c>
      <c r="AG20" s="14">
        <v>423244.0</v>
      </c>
      <c r="AH20" s="184">
        <f t="shared" ref="AH20:AH23" si="41">AG20/$AG$24</f>
        <v>0.416215371</v>
      </c>
      <c r="AI20" s="14">
        <v>232697.0</v>
      </c>
      <c r="AJ20" s="184">
        <f t="shared" ref="AJ20:AJ23" si="42">AI20/$AI$24</f>
        <v>0.4162602993</v>
      </c>
      <c r="AK20" s="14">
        <v>655941.0</v>
      </c>
      <c r="AL20" s="184">
        <f t="shared" ref="AL20:AL23" si="43">AK20/$AK$24</f>
        <v>0.4162313084</v>
      </c>
      <c r="AM20" s="225">
        <v>267232.80345</v>
      </c>
      <c r="AN20" s="184">
        <f t="shared" ref="AN20:AN23" si="44">AM20/AM$24</f>
        <v>0.4367938283</v>
      </c>
      <c r="AO20" s="192">
        <v>923174.0</v>
      </c>
      <c r="AP20" s="184">
        <f t="shared" ref="AP20:AP23" si="45">AO20/AO$24</f>
        <v>0.4219818897</v>
      </c>
    </row>
    <row r="21" ht="12.0" customHeight="1">
      <c r="A21" s="40"/>
      <c r="B21" s="43" t="s">
        <v>198</v>
      </c>
      <c r="C21" s="14">
        <v>25044.0</v>
      </c>
      <c r="D21" s="184">
        <f t="shared" si="26"/>
        <v>0.03698534852</v>
      </c>
      <c r="E21" s="14">
        <v>10000.0</v>
      </c>
      <c r="F21" s="184">
        <f t="shared" si="27"/>
        <v>0.02230878029</v>
      </c>
      <c r="G21" s="14">
        <v>4575.0</v>
      </c>
      <c r="H21" s="184">
        <f t="shared" si="28"/>
        <v>0.01883514411</v>
      </c>
      <c r="I21" s="14">
        <v>14575.0</v>
      </c>
      <c r="J21" s="184">
        <f t="shared" si="29"/>
        <v>0.02108798065</v>
      </c>
      <c r="K21" s="14">
        <v>5177.0</v>
      </c>
      <c r="L21" s="184">
        <f t="shared" si="30"/>
        <v>0.01950883117</v>
      </c>
      <c r="M21" s="14">
        <v>19764.0</v>
      </c>
      <c r="N21" s="184">
        <f t="shared" si="31"/>
        <v>0.02066242281</v>
      </c>
      <c r="O21" s="14">
        <v>2329.0</v>
      </c>
      <c r="P21" s="184">
        <f t="shared" si="32"/>
        <v>0.007860488977</v>
      </c>
      <c r="Q21" s="14">
        <v>6613.0</v>
      </c>
      <c r="R21" s="184">
        <f t="shared" si="33"/>
        <v>0.02097207951</v>
      </c>
      <c r="S21" s="14">
        <v>11226.0</v>
      </c>
      <c r="T21" s="184">
        <f t="shared" si="34"/>
        <v>0.0183546539</v>
      </c>
      <c r="U21" s="14">
        <v>5868.0</v>
      </c>
      <c r="V21" s="184">
        <f t="shared" si="35"/>
        <v>0.01560762827</v>
      </c>
      <c r="W21" s="14">
        <v>17248.0</v>
      </c>
      <c r="X21" s="184">
        <f t="shared" si="36"/>
        <v>0.01746480813</v>
      </c>
      <c r="Y21" s="14">
        <v>10807.0</v>
      </c>
      <c r="Z21" s="184">
        <f t="shared" si="37"/>
        <v>0.023658315</v>
      </c>
      <c r="AA21" s="226">
        <v>28148.0</v>
      </c>
      <c r="AB21" s="184">
        <f t="shared" si="38"/>
        <v>0.01948794639</v>
      </c>
      <c r="AC21" s="14">
        <v>35544.0</v>
      </c>
      <c r="AD21" s="184">
        <f t="shared" si="39"/>
        <v>0.07226270249</v>
      </c>
      <c r="AE21" s="14">
        <v>48160.0</v>
      </c>
      <c r="AF21" s="184">
        <f t="shared" si="40"/>
        <v>0.09173071246</v>
      </c>
      <c r="AG21" s="14">
        <v>85749.0</v>
      </c>
      <c r="AH21" s="184">
        <f t="shared" si="41"/>
        <v>0.08432500366</v>
      </c>
      <c r="AI21" s="14">
        <v>57061.0</v>
      </c>
      <c r="AJ21" s="184">
        <f t="shared" si="42"/>
        <v>0.1020736363</v>
      </c>
      <c r="AK21" s="14">
        <v>142810.0</v>
      </c>
      <c r="AL21" s="184">
        <f t="shared" si="43"/>
        <v>0.09062094479</v>
      </c>
      <c r="AM21" s="225">
        <v>63181.52979</v>
      </c>
      <c r="AN21" s="184">
        <f t="shared" si="44"/>
        <v>0.1032706386</v>
      </c>
      <c r="AO21" s="192">
        <v>205992.0</v>
      </c>
      <c r="AP21" s="184">
        <f t="shared" si="45"/>
        <v>0.09415873219</v>
      </c>
    </row>
    <row r="22" ht="12.0" customHeight="1">
      <c r="A22" s="40"/>
      <c r="B22" s="203" t="s">
        <v>199</v>
      </c>
      <c r="C22" s="14">
        <v>332662.0</v>
      </c>
      <c r="D22" s="184">
        <v>0.4912801473270392</v>
      </c>
      <c r="E22" s="14">
        <v>201569.0</v>
      </c>
      <c r="F22" s="184">
        <v>0.44967585342238997</v>
      </c>
      <c r="G22" s="14">
        <v>111561.0</v>
      </c>
      <c r="H22" s="184">
        <v>0.4592934453698481</v>
      </c>
      <c r="I22" s="14">
        <v>313130.0</v>
      </c>
      <c r="J22" s="184">
        <v>0.4530551890177559</v>
      </c>
      <c r="K22" s="14">
        <v>122857.0</v>
      </c>
      <c r="L22" s="184">
        <v>0.4629701507723266</v>
      </c>
      <c r="M22" s="14">
        <v>435987.0</v>
      </c>
      <c r="N22" s="184">
        <f t="shared" si="31"/>
        <v>0.4558058962</v>
      </c>
      <c r="O22" s="14">
        <v>129432.0</v>
      </c>
      <c r="P22" s="184">
        <f t="shared" si="32"/>
        <v>0.4368393342</v>
      </c>
      <c r="Q22" s="14">
        <v>146641.0</v>
      </c>
      <c r="R22" s="184">
        <f t="shared" si="33"/>
        <v>0.4650486484</v>
      </c>
      <c r="S22" s="14">
        <v>277818.0</v>
      </c>
      <c r="T22" s="184">
        <v>0.4524570972636425</v>
      </c>
      <c r="U22" s="14">
        <v>192200.0</v>
      </c>
      <c r="V22" s="184">
        <v>0.5112110008777296</v>
      </c>
      <c r="W22" s="14">
        <v>465900.0</v>
      </c>
      <c r="X22" s="184">
        <v>0.47175638374784573</v>
      </c>
      <c r="Y22" s="14">
        <v>229681.0</v>
      </c>
      <c r="Z22" s="184">
        <v>0.502206683975709</v>
      </c>
      <c r="AA22" s="226">
        <v>701206.0</v>
      </c>
      <c r="AB22" s="184">
        <f t="shared" si="38"/>
        <v>0.4854719672</v>
      </c>
      <c r="AC22" s="14">
        <v>234706.0</v>
      </c>
      <c r="AD22" s="184">
        <f t="shared" si="39"/>
        <v>0.4771688569</v>
      </c>
      <c r="AE22" s="14">
        <v>242574.0</v>
      </c>
      <c r="AF22" s="184">
        <f t="shared" si="40"/>
        <v>0.4620325134</v>
      </c>
      <c r="AG22" s="14">
        <v>477280.0</v>
      </c>
      <c r="AH22" s="184">
        <f t="shared" si="41"/>
        <v>0.4693540187</v>
      </c>
      <c r="AI22" s="14">
        <v>247200.0</v>
      </c>
      <c r="AJ22" s="184">
        <f t="shared" si="42"/>
        <v>0.4422040077</v>
      </c>
      <c r="AK22" s="14">
        <v>724480.0</v>
      </c>
      <c r="AL22" s="184">
        <f t="shared" si="43"/>
        <v>0.4597231432</v>
      </c>
      <c r="AM22" s="225">
        <v>251468.60416</v>
      </c>
      <c r="AN22" s="184">
        <f t="shared" si="44"/>
        <v>0.4110271377</v>
      </c>
      <c r="AO22" s="192">
        <v>975948.0</v>
      </c>
      <c r="AP22" s="184">
        <f t="shared" si="45"/>
        <v>0.4461048311</v>
      </c>
    </row>
    <row r="23" ht="12.0" customHeight="1">
      <c r="A23" s="40"/>
      <c r="B23" s="203" t="s">
        <v>200</v>
      </c>
      <c r="C23" s="14">
        <v>35106.0</v>
      </c>
      <c r="D23" s="184">
        <v>0.051845058504016196</v>
      </c>
      <c r="E23" s="14">
        <v>24680.0</v>
      </c>
      <c r="F23" s="184">
        <v>0.05505806975509421</v>
      </c>
      <c r="G23" s="14">
        <v>12175.0</v>
      </c>
      <c r="H23" s="184">
        <v>0.05012412668744365</v>
      </c>
      <c r="I23" s="14">
        <v>36856.0</v>
      </c>
      <c r="J23" s="184">
        <v>0.05332546241637151</v>
      </c>
      <c r="K23" s="14">
        <v>11913.0</v>
      </c>
      <c r="L23" s="184">
        <v>0.044892545041395504</v>
      </c>
      <c r="M23" s="14">
        <v>48769.0</v>
      </c>
      <c r="N23" s="227">
        <f t="shared" si="31"/>
        <v>0.05098591873</v>
      </c>
      <c r="O23" s="14">
        <v>11493.0</v>
      </c>
      <c r="P23" s="184">
        <f t="shared" si="32"/>
        <v>0.03878943745</v>
      </c>
      <c r="Q23" s="14">
        <v>9496.0</v>
      </c>
      <c r="R23" s="184">
        <f t="shared" si="33"/>
        <v>0.03011505626</v>
      </c>
      <c r="S23" s="14">
        <v>20988.0</v>
      </c>
      <c r="T23" s="184">
        <v>0.03431728404750693</v>
      </c>
      <c r="U23" s="14">
        <v>12887.0</v>
      </c>
      <c r="V23" s="184">
        <v>0.034276671010984916</v>
      </c>
      <c r="W23" s="14">
        <v>33875.0</v>
      </c>
      <c r="X23" s="184">
        <v>0.034300810258549634</v>
      </c>
      <c r="Y23" s="14">
        <v>16293.0</v>
      </c>
      <c r="Z23" s="184">
        <v>0.0356681567621291</v>
      </c>
      <c r="AA23" s="14">
        <v>50168.0</v>
      </c>
      <c r="AB23" s="184">
        <f t="shared" si="38"/>
        <v>0.03473324194</v>
      </c>
      <c r="AC23" s="14">
        <v>15637.0</v>
      </c>
      <c r="AD23" s="184">
        <f t="shared" si="39"/>
        <v>0.0317907911</v>
      </c>
      <c r="AE23" s="14">
        <v>14977.0</v>
      </c>
      <c r="AF23" s="184">
        <f t="shared" si="40"/>
        <v>0.028526804</v>
      </c>
      <c r="AG23" s="14">
        <v>30614.0</v>
      </c>
      <c r="AH23" s="184">
        <f t="shared" si="41"/>
        <v>0.03010560662</v>
      </c>
      <c r="AI23" s="14">
        <v>22060.0</v>
      </c>
      <c r="AJ23" s="184">
        <f t="shared" si="42"/>
        <v>0.03946205668</v>
      </c>
      <c r="AK23" s="14">
        <v>52674.0</v>
      </c>
      <c r="AL23" s="184">
        <f t="shared" si="43"/>
        <v>0.03342460364</v>
      </c>
      <c r="AM23" s="228">
        <v>29922.418229999996</v>
      </c>
      <c r="AN23" s="184">
        <f t="shared" si="44"/>
        <v>0.04890839538</v>
      </c>
      <c r="AO23" s="204">
        <v>82596.0</v>
      </c>
      <c r="AP23" s="184">
        <f t="shared" si="45"/>
        <v>0.03775454699</v>
      </c>
    </row>
    <row r="24" ht="12.0" customHeight="1">
      <c r="A24" s="40"/>
      <c r="B24" s="205" t="s">
        <v>195</v>
      </c>
      <c r="C24" s="206">
        <f>SUM(C20:C23)</f>
        <v>677133</v>
      </c>
      <c r="D24" s="207"/>
      <c r="E24" s="206">
        <f>SUM(E20:E23)</f>
        <v>448254</v>
      </c>
      <c r="F24" s="207"/>
      <c r="G24" s="206">
        <f>SUM(G20:G23)</f>
        <v>242897</v>
      </c>
      <c r="H24" s="207"/>
      <c r="I24" s="206">
        <f>SUM(I20:I23)</f>
        <v>691152</v>
      </c>
      <c r="J24" s="207"/>
      <c r="K24" s="206">
        <f>SUM(K20:K23)</f>
        <v>265367</v>
      </c>
      <c r="L24" s="207"/>
      <c r="M24" s="206">
        <f>SUM(M20:M23)</f>
        <v>956519</v>
      </c>
      <c r="N24" s="207"/>
      <c r="O24" s="206">
        <f>SUM(O20:O23)</f>
        <v>296292</v>
      </c>
      <c r="P24" s="207"/>
      <c r="Q24" s="206">
        <f>SUM(Q20:Q23)</f>
        <v>315324</v>
      </c>
      <c r="R24" s="207"/>
      <c r="S24" s="206">
        <f>SUM(S20:S23)</f>
        <v>611616</v>
      </c>
      <c r="T24" s="207"/>
      <c r="U24" s="206">
        <f>SUM(U20:U23)</f>
        <v>375970</v>
      </c>
      <c r="V24" s="207"/>
      <c r="W24" s="206">
        <f>SUM(W20:W23)</f>
        <v>987586</v>
      </c>
      <c r="X24" s="207"/>
      <c r="Y24" s="206">
        <f>SUM(Y20:Y23)</f>
        <v>456795</v>
      </c>
      <c r="Z24" s="207"/>
      <c r="AA24" s="206">
        <f>SUM(AA20:AA23)</f>
        <v>1444380</v>
      </c>
      <c r="AB24" s="207"/>
      <c r="AC24" s="206">
        <f>SUM(AC20:AC23)</f>
        <v>491872</v>
      </c>
      <c r="AD24" s="207"/>
      <c r="AE24" s="206">
        <f>SUM(AE20:AE23)</f>
        <v>525015</v>
      </c>
      <c r="AF24" s="207"/>
      <c r="AG24" s="206">
        <f>SUM(AG20:AG23)</f>
        <v>1016887</v>
      </c>
      <c r="AH24" s="207"/>
      <c r="AI24" s="206">
        <f>SUM(AI20:AI23)</f>
        <v>559018</v>
      </c>
      <c r="AJ24" s="207"/>
      <c r="AK24" s="229">
        <f>SUM(AK20:AK23)</f>
        <v>1575905</v>
      </c>
      <c r="AL24" s="207"/>
      <c r="AM24" s="206">
        <f>SUM(AM20:AM23)</f>
        <v>611805.3556</v>
      </c>
      <c r="AN24" s="207"/>
      <c r="AO24" s="229">
        <f>SUM(AO20:AO23)</f>
        <v>2187710</v>
      </c>
      <c r="AP24" s="207"/>
    </row>
    <row r="25" ht="12.0" customHeight="1">
      <c r="A25" s="40"/>
      <c r="B25" s="4"/>
      <c r="C25" s="5"/>
      <c r="D25" s="184"/>
      <c r="E25" s="5"/>
      <c r="F25" s="184"/>
      <c r="G25" s="5"/>
      <c r="H25" s="184"/>
      <c r="I25" s="5"/>
      <c r="J25" s="184"/>
      <c r="K25" s="5"/>
      <c r="L25" s="184"/>
      <c r="M25" s="5"/>
      <c r="N25" s="184"/>
      <c r="O25" s="5"/>
      <c r="P25" s="184"/>
      <c r="Q25" s="5"/>
      <c r="R25" s="184"/>
      <c r="S25" s="5"/>
      <c r="T25" s="184"/>
      <c r="U25" s="5"/>
      <c r="V25" s="184"/>
      <c r="W25" s="5"/>
      <c r="X25" s="184"/>
      <c r="Y25" s="5"/>
      <c r="Z25" s="184"/>
      <c r="AA25" s="148"/>
      <c r="AB25" s="215"/>
      <c r="AC25" s="5"/>
      <c r="AD25" s="184"/>
      <c r="AE25" s="5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</row>
    <row r="26" ht="12.0" customHeight="1">
      <c r="A26" s="40"/>
      <c r="B26" s="33" t="s">
        <v>201</v>
      </c>
      <c r="C26" s="5"/>
      <c r="D26" s="184"/>
      <c r="E26" s="5"/>
      <c r="F26" s="184"/>
      <c r="G26" s="5"/>
      <c r="H26" s="184"/>
      <c r="I26" s="5"/>
      <c r="J26" s="184"/>
      <c r="K26" s="5"/>
      <c r="L26" s="184"/>
      <c r="M26" s="5"/>
      <c r="N26" s="184"/>
      <c r="O26" s="5"/>
      <c r="P26" s="184"/>
      <c r="Q26" s="5"/>
      <c r="R26" s="184"/>
      <c r="S26" s="5"/>
      <c r="T26" s="184"/>
      <c r="U26" s="5"/>
      <c r="V26" s="184"/>
      <c r="W26" s="5"/>
      <c r="X26" s="184"/>
      <c r="Y26" s="5"/>
      <c r="Z26" s="184"/>
      <c r="AA26" s="148"/>
      <c r="AB26" s="215"/>
      <c r="AC26" s="5"/>
      <c r="AD26" s="184"/>
      <c r="AE26" s="5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</row>
    <row r="27" ht="12.0" customHeight="1">
      <c r="A27" s="40"/>
      <c r="B27" s="33"/>
      <c r="C27" s="5"/>
      <c r="D27" s="184"/>
      <c r="E27" s="5"/>
      <c r="F27" s="184"/>
      <c r="G27" s="5"/>
      <c r="H27" s="184"/>
      <c r="I27" s="5"/>
      <c r="J27" s="184"/>
      <c r="K27" s="5"/>
      <c r="L27" s="184"/>
      <c r="M27" s="5"/>
      <c r="N27" s="184"/>
      <c r="O27" s="5"/>
      <c r="P27" s="184"/>
      <c r="Q27" s="5"/>
      <c r="R27" s="184"/>
      <c r="S27" s="5"/>
      <c r="T27" s="184"/>
      <c r="U27" s="5"/>
      <c r="V27" s="184"/>
      <c r="W27" s="5"/>
      <c r="X27" s="184"/>
      <c r="Y27" s="5"/>
      <c r="Z27" s="184"/>
      <c r="AA27" s="148"/>
      <c r="AB27" s="215"/>
      <c r="AC27" s="5"/>
      <c r="AD27" s="184"/>
      <c r="AE27" s="5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</row>
    <row r="28" ht="12.0" customHeight="1">
      <c r="A28" s="40"/>
      <c r="B28" s="107"/>
      <c r="C28" s="186">
        <v>2019.0</v>
      </c>
      <c r="E28" s="186" t="s">
        <v>54</v>
      </c>
      <c r="G28" s="186" t="s">
        <v>55</v>
      </c>
      <c r="I28" s="186" t="s">
        <v>56</v>
      </c>
      <c r="K28" s="186" t="s">
        <v>207</v>
      </c>
      <c r="M28" s="186">
        <v>2020.0</v>
      </c>
      <c r="O28" s="186" t="s">
        <v>58</v>
      </c>
      <c r="Q28" s="186" t="s">
        <v>59</v>
      </c>
      <c r="S28" s="186" t="s">
        <v>208</v>
      </c>
      <c r="U28" s="186" t="s">
        <v>61</v>
      </c>
      <c r="W28" s="186" t="s">
        <v>62</v>
      </c>
      <c r="Y28" s="186" t="s">
        <v>211</v>
      </c>
      <c r="AA28" s="216">
        <v>2021.0</v>
      </c>
      <c r="AC28" s="186" t="s">
        <v>64</v>
      </c>
      <c r="AE28" s="186" t="s">
        <v>65</v>
      </c>
      <c r="AG28" s="186" t="s">
        <v>66</v>
      </c>
      <c r="AI28" s="186" t="s">
        <v>67</v>
      </c>
      <c r="AK28" s="186" t="s">
        <v>68</v>
      </c>
      <c r="AM28" s="186" t="s">
        <v>69</v>
      </c>
      <c r="AO28" s="186">
        <v>2022.0</v>
      </c>
    </row>
    <row r="29" ht="12.0" customHeight="1">
      <c r="A29" s="40"/>
      <c r="B29" s="107" t="s">
        <v>202</v>
      </c>
      <c r="C29" s="230">
        <v>97248.0</v>
      </c>
      <c r="D29" s="210">
        <f>C29/C24</f>
        <v>0.1436172805</v>
      </c>
      <c r="E29" s="230">
        <v>79754.0</v>
      </c>
      <c r="F29" s="210">
        <f>E29/E24</f>
        <v>0.1779214463</v>
      </c>
      <c r="G29" s="230">
        <v>54321.0</v>
      </c>
      <c r="H29" s="210">
        <f>G29/G24</f>
        <v>0.2236380029</v>
      </c>
      <c r="I29" s="230">
        <v>134075.0</v>
      </c>
      <c r="J29" s="210">
        <f>I29/I24</f>
        <v>0.1939877191</v>
      </c>
      <c r="K29" s="230">
        <v>56524.0</v>
      </c>
      <c r="L29" s="210">
        <f>K29/K24</f>
        <v>0.213003124</v>
      </c>
      <c r="M29" s="209">
        <v>190599.0</v>
      </c>
      <c r="N29" s="210">
        <f>M29/M24</f>
        <v>0.1992631615</v>
      </c>
      <c r="O29" s="209">
        <v>71037.0</v>
      </c>
      <c r="P29" s="210">
        <f t="shared" ref="P29:P30" si="46">O29/$O$24</f>
        <v>0.2397533514</v>
      </c>
      <c r="Q29" s="209">
        <v>75030.0</v>
      </c>
      <c r="R29" s="210">
        <v>0.238</v>
      </c>
      <c r="S29" s="209">
        <v>146067.0</v>
      </c>
      <c r="T29" s="210">
        <f>S29/S24</f>
        <v>0.2388214174</v>
      </c>
      <c r="U29" s="230">
        <v>65074.0</v>
      </c>
      <c r="V29" s="210">
        <f t="shared" ref="V29:V30" si="47">U29/$U$24</f>
        <v>0.1730829587</v>
      </c>
      <c r="W29" s="230">
        <v>211141.0</v>
      </c>
      <c r="X29" s="210">
        <f t="shared" ref="X29:X30" si="48">W29/$W$24</f>
        <v>0.2137950518</v>
      </c>
      <c r="Y29" s="231">
        <v>72170.0</v>
      </c>
      <c r="Z29" s="210">
        <f>Y29/Y24</f>
        <v>0.1579920971</v>
      </c>
      <c r="AA29" s="231">
        <v>283311.0</v>
      </c>
      <c r="AB29" s="210">
        <f>AA29/AA24</f>
        <v>0.1961471358</v>
      </c>
      <c r="AC29" s="209">
        <v>75831.0</v>
      </c>
      <c r="AD29" s="210">
        <f t="shared" ref="AD29:AD30" si="49">AC29/$AC$24</f>
        <v>0.1541681576</v>
      </c>
      <c r="AE29" s="209">
        <v>86777.0</v>
      </c>
      <c r="AF29" s="210">
        <v>0.165</v>
      </c>
      <c r="AG29" s="232">
        <v>162608.0</v>
      </c>
      <c r="AH29" s="210">
        <v>0.16</v>
      </c>
      <c r="AI29" s="232">
        <v>86748.0</v>
      </c>
      <c r="AJ29" s="210">
        <f t="shared" ref="AJ29:AJ30" si="50">AI29/$AI$24</f>
        <v>0.1551792608</v>
      </c>
      <c r="AK29" s="232">
        <v>249356.0</v>
      </c>
      <c r="AL29" s="210">
        <f t="shared" ref="AL29:AL30" si="51">AK29/$AK$24</f>
        <v>0.1582303502</v>
      </c>
      <c r="AM29" s="232">
        <v>75923.0</v>
      </c>
      <c r="AN29" s="210">
        <f t="shared" ref="AN29:AN30" si="52">AM29/$AM$24</f>
        <v>0.124096658</v>
      </c>
      <c r="AO29" s="232">
        <v>325505.0</v>
      </c>
      <c r="AP29" s="210">
        <f t="shared" ref="AP29:AP30" si="53">AO29/$AO$24</f>
        <v>0.1487880021</v>
      </c>
    </row>
    <row r="30" ht="12.0" customHeight="1">
      <c r="A30" s="40"/>
      <c r="B30" s="107" t="s">
        <v>203</v>
      </c>
      <c r="C30" s="230">
        <v>417547.0</v>
      </c>
      <c r="D30" s="210">
        <f>C30/C24</f>
        <v>0.6166395671</v>
      </c>
      <c r="E30" s="230">
        <v>286352.0</v>
      </c>
      <c r="F30" s="210">
        <f>E30/E24</f>
        <v>0.6388163854</v>
      </c>
      <c r="G30" s="230">
        <v>172625.0</v>
      </c>
      <c r="H30" s="210">
        <f>G30/G24</f>
        <v>0.7106921864</v>
      </c>
      <c r="I30" s="230">
        <v>454798.0</v>
      </c>
      <c r="J30" s="210">
        <f>I30/I24</f>
        <v>0.658028914</v>
      </c>
      <c r="K30" s="230">
        <v>190466.0</v>
      </c>
      <c r="L30" s="210">
        <f>K30/K24</f>
        <v>0.7177456127</v>
      </c>
      <c r="M30" s="209">
        <v>644722.0</v>
      </c>
      <c r="N30" s="210">
        <f>M30/M24</f>
        <v>0.6740294756</v>
      </c>
      <c r="O30" s="209">
        <v>217264.0</v>
      </c>
      <c r="P30" s="210">
        <f t="shared" si="46"/>
        <v>0.7332766325</v>
      </c>
      <c r="Q30" s="209">
        <v>231165.0</v>
      </c>
      <c r="R30" s="210">
        <v>0.733</v>
      </c>
      <c r="S30" s="209">
        <v>447098.0</v>
      </c>
      <c r="T30" s="210">
        <f>S30/S24</f>
        <v>0.7310109611</v>
      </c>
      <c r="U30" s="230">
        <v>226866.0</v>
      </c>
      <c r="V30" s="210">
        <f t="shared" si="47"/>
        <v>0.6034151661</v>
      </c>
      <c r="W30" s="230">
        <v>675295.0</v>
      </c>
      <c r="X30" s="210">
        <f t="shared" si="48"/>
        <v>0.6837834882</v>
      </c>
      <c r="Y30" s="230">
        <v>246493.0</v>
      </c>
      <c r="Z30" s="210">
        <f>Y30/Y24</f>
        <v>0.5396140501</v>
      </c>
      <c r="AA30" s="231">
        <v>913890.0</v>
      </c>
      <c r="AB30" s="210">
        <f>AA30/AA24</f>
        <v>0.632721306</v>
      </c>
      <c r="AC30" s="209">
        <v>253427.0</v>
      </c>
      <c r="AD30" s="210">
        <f t="shared" si="49"/>
        <v>0.5152295719</v>
      </c>
      <c r="AE30" s="209">
        <v>275596.0</v>
      </c>
      <c r="AF30" s="210">
        <v>0.525</v>
      </c>
      <c r="AG30" s="232">
        <v>528927.0</v>
      </c>
      <c r="AH30" s="210">
        <v>0.52</v>
      </c>
      <c r="AI30" s="232">
        <v>283999.0</v>
      </c>
      <c r="AJ30" s="210">
        <f t="shared" si="50"/>
        <v>0.5080319417</v>
      </c>
      <c r="AK30" s="232">
        <v>812754.0</v>
      </c>
      <c r="AL30" s="210">
        <f t="shared" si="51"/>
        <v>0.5157379411</v>
      </c>
      <c r="AM30" s="232">
        <v>273122.0</v>
      </c>
      <c r="AN30" s="210">
        <f t="shared" si="52"/>
        <v>0.44641976</v>
      </c>
      <c r="AO30" s="232">
        <v>1079941.0</v>
      </c>
      <c r="AP30" s="210">
        <f t="shared" si="53"/>
        <v>0.4936399249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E28:AF28"/>
    <mergeCell ref="AG28:AH28"/>
    <mergeCell ref="Q28:R28"/>
    <mergeCell ref="S28:T28"/>
    <mergeCell ref="U28:V28"/>
    <mergeCell ref="W28:X28"/>
    <mergeCell ref="Y28:Z28"/>
    <mergeCell ref="AA28:AB28"/>
    <mergeCell ref="AC28:AD28"/>
    <mergeCell ref="AE5:AF5"/>
    <mergeCell ref="AG5:AH5"/>
    <mergeCell ref="AI5:AJ5"/>
    <mergeCell ref="AK5:AL5"/>
    <mergeCell ref="AM5:AN5"/>
    <mergeCell ref="AO5:AP5"/>
    <mergeCell ref="Q5:R5"/>
    <mergeCell ref="S5:T5"/>
    <mergeCell ref="U5:V5"/>
    <mergeCell ref="W5:X5"/>
    <mergeCell ref="Y5:Z5"/>
    <mergeCell ref="AA5:AB5"/>
    <mergeCell ref="AC5:AD5"/>
    <mergeCell ref="C5:D5"/>
    <mergeCell ref="E5:F5"/>
    <mergeCell ref="G5:H5"/>
    <mergeCell ref="I5:J5"/>
    <mergeCell ref="K5:L5"/>
    <mergeCell ref="M5:N5"/>
    <mergeCell ref="O5:P5"/>
    <mergeCell ref="AE19:AF19"/>
    <mergeCell ref="AG19:AH19"/>
    <mergeCell ref="AI19:AJ19"/>
    <mergeCell ref="AK19:AL19"/>
    <mergeCell ref="AM19:AN19"/>
    <mergeCell ref="AO19:AP19"/>
    <mergeCell ref="Q19:R19"/>
    <mergeCell ref="S19:T19"/>
    <mergeCell ref="U19:V19"/>
    <mergeCell ref="W19:X19"/>
    <mergeCell ref="Y19:Z19"/>
    <mergeCell ref="AA19:AB19"/>
    <mergeCell ref="AC19:AD19"/>
    <mergeCell ref="C19:D19"/>
    <mergeCell ref="E19:F19"/>
    <mergeCell ref="G19:H19"/>
    <mergeCell ref="I19:J19"/>
    <mergeCell ref="K19:L19"/>
    <mergeCell ref="M19:N19"/>
    <mergeCell ref="O19:P19"/>
    <mergeCell ref="AI28:AJ28"/>
    <mergeCell ref="AK28:AL28"/>
    <mergeCell ref="AM28:AN28"/>
    <mergeCell ref="AO28:AP28"/>
    <mergeCell ref="C28:D28"/>
    <mergeCell ref="E28:F28"/>
    <mergeCell ref="G28:H28"/>
    <mergeCell ref="I28:J28"/>
    <mergeCell ref="K28:L28"/>
    <mergeCell ref="M28:N28"/>
    <mergeCell ref="O28:P28"/>
  </mergeCells>
  <printOptions/>
  <pageMargins bottom="0.787401575" footer="0.0" header="0.0" left="0.511811024" right="0.511811024" top="0.787401575"/>
  <pageSetup paperSize="9" orientation="portrait"/>
  <drawing r:id="rId1"/>
</worksheet>
</file>