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/>
  <mc:AlternateContent xmlns:mc="http://schemas.openxmlformats.org/markup-compatibility/2006">
    <mc:Choice Requires="x15">
      <x15ac:absPath xmlns:x15ac="http://schemas.microsoft.com/office/spreadsheetml/2010/11/ac" url="https://rodobens.sharepoint.com/sites/PFRodobens/Documentos Partilhados/23. Divulgação de Resultados Trimestrais/"/>
    </mc:Choice>
  </mc:AlternateContent>
  <xr:revisionPtr revIDLastSave="1" documentId="8_{9DCA0C35-9C1A-4DF4-8DB1-D429018BDAED}" xr6:coauthVersionLast="47" xr6:coauthVersionMax="47" xr10:uidLastSave="{6D107355-5B3B-4117-9920-79A1F645D816}"/>
  <bookViews>
    <workbookView xWindow="-120" yWindow="-120" windowWidth="20730" windowHeight="11040" xr2:uid="{2DDCCA7D-7BC3-4438-9518-2E8E4EA06683}"/>
  </bookViews>
  <sheets>
    <sheet name="Capa" sheetId="1" r:id="rId1"/>
    <sheet name="Demonstrações financeiras" sheetId="2" r:id="rId2"/>
    <sheet name="Indicadores operacionais" sheetId="3" r:id="rId3"/>
    <sheet name="Indicadores financeiros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4" l="1"/>
  <c r="U3" i="3"/>
  <c r="U3" i="2" l="1"/>
  <c r="S39" i="4" l="1"/>
  <c r="N39" i="4"/>
  <c r="M39" i="4"/>
  <c r="L39" i="4"/>
  <c r="O34" i="4"/>
  <c r="N34" i="4"/>
  <c r="Q34" i="4"/>
  <c r="R28" i="4"/>
  <c r="N28" i="4"/>
  <c r="M28" i="4"/>
  <c r="L28" i="4"/>
  <c r="S26" i="4"/>
  <c r="N26" i="4"/>
  <c r="Q26" i="4"/>
  <c r="L26" i="4"/>
  <c r="M8" i="4"/>
  <c r="D8" i="4"/>
  <c r="S7" i="4"/>
  <c r="C6" i="4"/>
  <c r="I40" i="4" l="1"/>
  <c r="D40" i="4"/>
  <c r="L40" i="4" s="1"/>
  <c r="R26" i="4"/>
  <c r="U26" i="4" s="1"/>
  <c r="E40" i="4"/>
  <c r="O26" i="4"/>
  <c r="G40" i="4"/>
  <c r="Q28" i="4"/>
  <c r="V28" i="4" s="1"/>
  <c r="S28" i="4"/>
  <c r="H40" i="4"/>
  <c r="S34" i="4"/>
  <c r="O39" i="4"/>
  <c r="R34" i="4"/>
  <c r="U34" i="4" s="1"/>
  <c r="Q39" i="4"/>
  <c r="J40" i="4"/>
  <c r="L34" i="4"/>
  <c r="R39" i="4"/>
  <c r="M26" i="4"/>
  <c r="C40" i="4"/>
  <c r="M34" i="4"/>
  <c r="O28" i="4"/>
  <c r="F40" i="4"/>
  <c r="Q27" i="4"/>
  <c r="L27" i="4"/>
  <c r="D6" i="4"/>
  <c r="E8" i="4"/>
  <c r="N8" i="4"/>
  <c r="C7" i="4"/>
  <c r="C4" i="4"/>
  <c r="V26" i="4" l="1"/>
  <c r="U28" i="4"/>
  <c r="V39" i="4"/>
  <c r="U39" i="4"/>
  <c r="V34" i="4"/>
  <c r="N40" i="4"/>
  <c r="S40" i="4"/>
  <c r="R40" i="4"/>
  <c r="O40" i="4"/>
  <c r="M40" i="4"/>
  <c r="Q40" i="4"/>
  <c r="M27" i="4"/>
  <c r="D4" i="4"/>
  <c r="D7" i="4"/>
  <c r="O8" i="4"/>
  <c r="F8" i="4"/>
  <c r="E6" i="4"/>
  <c r="U40" i="4" l="1"/>
  <c r="V40" i="4"/>
  <c r="N27" i="4"/>
  <c r="O27" i="4"/>
  <c r="S27" i="4"/>
  <c r="R27" i="4"/>
  <c r="C29" i="4"/>
  <c r="E4" i="4"/>
  <c r="E7" i="4"/>
  <c r="F6" i="4"/>
  <c r="G8" i="4"/>
  <c r="U27" i="4" l="1"/>
  <c r="V27" i="4"/>
  <c r="E29" i="4"/>
  <c r="D29" i="4"/>
  <c r="L29" i="4" s="1"/>
  <c r="F7" i="4"/>
  <c r="F4" i="4"/>
  <c r="H8" i="4"/>
  <c r="G6" i="4"/>
  <c r="G4" i="4" l="1"/>
  <c r="G7" i="4"/>
  <c r="I8" i="4"/>
  <c r="H6" i="4"/>
  <c r="H4" i="4" l="1"/>
  <c r="F29" i="4"/>
  <c r="G29" i="4"/>
  <c r="H7" i="4"/>
  <c r="J8" i="4"/>
  <c r="I6" i="4"/>
  <c r="I7" i="4" s="1"/>
  <c r="Q29" i="4" l="1"/>
  <c r="M29" i="4"/>
  <c r="I4" i="4"/>
  <c r="J6" i="4"/>
  <c r="H29" i="4" l="1"/>
  <c r="N29" i="4" s="1"/>
  <c r="J4" i="4"/>
  <c r="J7" i="4"/>
  <c r="I29" i="4" l="1"/>
  <c r="J29" i="4" l="1"/>
  <c r="S29" i="4" l="1"/>
  <c r="R29" i="4"/>
  <c r="O29" i="4"/>
  <c r="U29" i="4" l="1"/>
  <c r="V29" i="4"/>
  <c r="S7" i="3"/>
  <c r="S7" i="2"/>
  <c r="M8" i="3" l="1"/>
  <c r="D8" i="3"/>
  <c r="C6" i="3"/>
  <c r="N8" i="3" l="1"/>
  <c r="E8" i="3"/>
  <c r="D6" i="3"/>
  <c r="D7" i="3" s="1"/>
  <c r="C4" i="3"/>
  <c r="C7" i="3"/>
  <c r="O8" i="3" l="1"/>
  <c r="D4" i="3"/>
  <c r="F8" i="3"/>
  <c r="E6" i="3"/>
  <c r="E7" i="3" l="1"/>
  <c r="E4" i="3"/>
  <c r="F6" i="3"/>
  <c r="G8" i="3"/>
  <c r="F7" i="3" l="1"/>
  <c r="H8" i="3"/>
  <c r="G6" i="3"/>
  <c r="G4" i="3" s="1"/>
  <c r="F4" i="3"/>
  <c r="G7" i="3" l="1"/>
  <c r="I8" i="3"/>
  <c r="H6" i="3"/>
  <c r="H4" i="3" l="1"/>
  <c r="H7" i="3"/>
  <c r="J8" i="3"/>
  <c r="I6" i="3"/>
  <c r="I4" i="3" l="1"/>
  <c r="I7" i="3"/>
  <c r="J6" i="3"/>
  <c r="J7" i="3" l="1"/>
  <c r="J4" i="3"/>
  <c r="M8" i="2" l="1"/>
  <c r="N8" i="2" l="1"/>
  <c r="O8" i="2" l="1"/>
  <c r="D8" i="2" l="1"/>
  <c r="C6" i="2"/>
  <c r="E8" i="2" l="1"/>
  <c r="E6" i="2" s="1"/>
  <c r="E4" i="2" s="1"/>
  <c r="C4" i="2"/>
  <c r="C7" i="2"/>
  <c r="D6" i="2"/>
  <c r="D7" i="2" s="1"/>
  <c r="F8" i="2" l="1"/>
  <c r="E7" i="2"/>
  <c r="D4" i="2"/>
  <c r="E226" i="2" l="1"/>
  <c r="G8" i="2"/>
  <c r="H8" i="2" s="1"/>
  <c r="C226" i="2"/>
  <c r="E171" i="2"/>
  <c r="E189" i="2"/>
  <c r="C171" i="2"/>
  <c r="C189" i="2"/>
  <c r="E201" i="2"/>
  <c r="F6" i="2"/>
  <c r="F4" i="2" s="1"/>
  <c r="C201" i="2"/>
  <c r="E236" i="2"/>
  <c r="C236" i="2"/>
  <c r="E158" i="2"/>
  <c r="E97" i="2"/>
  <c r="C158" i="2"/>
  <c r="E110" i="2"/>
  <c r="C110" i="2"/>
  <c r="C97" i="2"/>
  <c r="E146" i="2"/>
  <c r="E131" i="2"/>
  <c r="C131" i="2"/>
  <c r="C146" i="2"/>
  <c r="G6" i="2" l="1"/>
  <c r="F7" i="2"/>
  <c r="C211" i="2"/>
  <c r="D201" i="2"/>
  <c r="E211" i="2"/>
  <c r="D171" i="2"/>
  <c r="D189" i="2"/>
  <c r="D236" i="2"/>
  <c r="D226" i="2"/>
  <c r="C130" i="2"/>
  <c r="C129" i="2" s="1"/>
  <c r="D97" i="2"/>
  <c r="E130" i="2"/>
  <c r="E129" i="2" s="1"/>
  <c r="C96" i="2"/>
  <c r="D110" i="2"/>
  <c r="D158" i="2"/>
  <c r="E96" i="2"/>
  <c r="D146" i="2"/>
  <c r="D131" i="2"/>
  <c r="G4" i="2"/>
  <c r="G7" i="2"/>
  <c r="I8" i="2"/>
  <c r="H6" i="2"/>
  <c r="E217" i="2" l="1"/>
  <c r="D211" i="2"/>
  <c r="D217" i="2" s="1"/>
  <c r="D238" i="2" s="1"/>
  <c r="C217" i="2"/>
  <c r="F236" i="2"/>
  <c r="F201" i="2"/>
  <c r="S240" i="2"/>
  <c r="F226" i="2"/>
  <c r="F171" i="2"/>
  <c r="F189" i="2"/>
  <c r="D130" i="2"/>
  <c r="D129" i="2" s="1"/>
  <c r="F110" i="2"/>
  <c r="F158" i="2"/>
  <c r="D96" i="2"/>
  <c r="F97" i="2"/>
  <c r="F131" i="2"/>
  <c r="F146" i="2"/>
  <c r="H7" i="2"/>
  <c r="H4" i="2"/>
  <c r="J8" i="2"/>
  <c r="L240" i="2" s="1"/>
  <c r="I6" i="2"/>
  <c r="N148" i="2" l="1"/>
  <c r="N134" i="2"/>
  <c r="N104" i="2"/>
  <c r="N100" i="2"/>
  <c r="E238" i="2"/>
  <c r="Q242" i="2"/>
  <c r="Q240" i="2"/>
  <c r="N240" i="2"/>
  <c r="R240" i="2"/>
  <c r="C238" i="2"/>
  <c r="M242" i="2"/>
  <c r="L242" i="2"/>
  <c r="M139" i="2"/>
  <c r="M240" i="2"/>
  <c r="G189" i="2"/>
  <c r="G171" i="2"/>
  <c r="G201" i="2"/>
  <c r="G236" i="2"/>
  <c r="F211" i="2"/>
  <c r="N242" i="2"/>
  <c r="G226" i="2"/>
  <c r="F130" i="2"/>
  <c r="F129" i="2" s="1"/>
  <c r="F96" i="2"/>
  <c r="L120" i="2"/>
  <c r="M137" i="2"/>
  <c r="M99" i="2"/>
  <c r="L126" i="2"/>
  <c r="M124" i="2"/>
  <c r="Q143" i="2"/>
  <c r="M105" i="2"/>
  <c r="L106" i="2"/>
  <c r="Q104" i="2"/>
  <c r="M133" i="2"/>
  <c r="L142" i="2"/>
  <c r="L155" i="2"/>
  <c r="M132" i="2"/>
  <c r="Q148" i="2"/>
  <c r="L105" i="2"/>
  <c r="L115" i="2"/>
  <c r="L121" i="2"/>
  <c r="Q125" i="2"/>
  <c r="L104" i="2"/>
  <c r="Q124" i="2"/>
  <c r="Q134" i="2"/>
  <c r="L141" i="2"/>
  <c r="M135" i="2"/>
  <c r="M142" i="2"/>
  <c r="L139" i="2"/>
  <c r="M162" i="2"/>
  <c r="L134" i="2"/>
  <c r="L161" i="2"/>
  <c r="Q133" i="2"/>
  <c r="L116" i="2"/>
  <c r="M160" i="2"/>
  <c r="Q120" i="2"/>
  <c r="Q100" i="2"/>
  <c r="L140" i="2"/>
  <c r="Q139" i="2"/>
  <c r="Q101" i="2"/>
  <c r="G97" i="2"/>
  <c r="L108" i="2"/>
  <c r="Q156" i="2"/>
  <c r="L118" i="2"/>
  <c r="M125" i="2"/>
  <c r="M154" i="2"/>
  <c r="M116" i="2"/>
  <c r="M134" i="2"/>
  <c r="L125" i="2"/>
  <c r="Q135" i="2"/>
  <c r="Q142" i="2"/>
  <c r="Q162" i="2"/>
  <c r="L156" i="2"/>
  <c r="M161" i="2"/>
  <c r="M121" i="2"/>
  <c r="L163" i="2"/>
  <c r="Q160" i="2"/>
  <c r="M120" i="2"/>
  <c r="M100" i="2"/>
  <c r="L100" i="2"/>
  <c r="L103" i="2"/>
  <c r="Q127" i="2"/>
  <c r="M101" i="2"/>
  <c r="M156" i="2"/>
  <c r="Q155" i="2"/>
  <c r="M117" i="2"/>
  <c r="L123" i="2"/>
  <c r="L119" i="2"/>
  <c r="Q154" i="2"/>
  <c r="Q116" i="2"/>
  <c r="Q114" i="2"/>
  <c r="M163" i="2"/>
  <c r="Q123" i="2"/>
  <c r="L122" i="2"/>
  <c r="M152" i="2"/>
  <c r="L153" i="2"/>
  <c r="Q161" i="2"/>
  <c r="Q121" i="2"/>
  <c r="Q150" i="2"/>
  <c r="M112" i="2"/>
  <c r="L152" i="2"/>
  <c r="Q159" i="2"/>
  <c r="M127" i="2"/>
  <c r="M138" i="2"/>
  <c r="L144" i="2"/>
  <c r="M126" i="2"/>
  <c r="L111" i="2"/>
  <c r="M155" i="2"/>
  <c r="Q117" i="2"/>
  <c r="M144" i="2"/>
  <c r="M106" i="2"/>
  <c r="M114" i="2"/>
  <c r="L138" i="2"/>
  <c r="Q163" i="2"/>
  <c r="M123" i="2"/>
  <c r="L137" i="2"/>
  <c r="Q152" i="2"/>
  <c r="L98" i="2"/>
  <c r="Q151" i="2"/>
  <c r="Q113" i="2"/>
  <c r="M150" i="2"/>
  <c r="Q112" i="2"/>
  <c r="L102" i="2"/>
  <c r="M159" i="2"/>
  <c r="M119" i="2"/>
  <c r="Q138" i="2"/>
  <c r="G110" i="2"/>
  <c r="G158" i="2"/>
  <c r="Q126" i="2"/>
  <c r="L154" i="2"/>
  <c r="Q147" i="2"/>
  <c r="Q107" i="2"/>
  <c r="Q144" i="2"/>
  <c r="Q106" i="2"/>
  <c r="L114" i="2"/>
  <c r="L127" i="2"/>
  <c r="Q153" i="2"/>
  <c r="Q115" i="2"/>
  <c r="Q122" i="2"/>
  <c r="M151" i="2"/>
  <c r="M113" i="2"/>
  <c r="L124" i="2"/>
  <c r="L132" i="2"/>
  <c r="M140" i="2"/>
  <c r="M102" i="2"/>
  <c r="Q119" i="2"/>
  <c r="Q108" i="2"/>
  <c r="L150" i="2"/>
  <c r="M118" i="2"/>
  <c r="L107" i="2"/>
  <c r="L160" i="2"/>
  <c r="M147" i="2"/>
  <c r="M107" i="2"/>
  <c r="L117" i="2"/>
  <c r="Q136" i="2"/>
  <c r="Q98" i="2"/>
  <c r="M153" i="2"/>
  <c r="M115" i="2"/>
  <c r="L143" i="2"/>
  <c r="L148" i="2"/>
  <c r="M122" i="2"/>
  <c r="L149" i="2"/>
  <c r="M141" i="2"/>
  <c r="Q103" i="2"/>
  <c r="L112" i="2"/>
  <c r="Q140" i="2"/>
  <c r="Q102" i="2"/>
  <c r="L136" i="2"/>
  <c r="L101" i="2"/>
  <c r="M149" i="2"/>
  <c r="Q111" i="2"/>
  <c r="M108" i="2"/>
  <c r="L99" i="2"/>
  <c r="L113" i="2"/>
  <c r="Q118" i="2"/>
  <c r="Q137" i="2"/>
  <c r="Q99" i="2"/>
  <c r="L133" i="2"/>
  <c r="M136" i="2"/>
  <c r="M98" i="2"/>
  <c r="L135" i="2"/>
  <c r="M143" i="2"/>
  <c r="Q105" i="2"/>
  <c r="L151" i="2"/>
  <c r="M104" i="2"/>
  <c r="L147" i="2"/>
  <c r="Q141" i="2"/>
  <c r="M103" i="2"/>
  <c r="Q132" i="2"/>
  <c r="M148" i="2"/>
  <c r="L159" i="2"/>
  <c r="Q149" i="2"/>
  <c r="M111" i="2"/>
  <c r="L162" i="2"/>
  <c r="G131" i="2"/>
  <c r="G146" i="2"/>
  <c r="N127" i="2"/>
  <c r="N116" i="2"/>
  <c r="N107" i="2"/>
  <c r="I7" i="2"/>
  <c r="I4" i="2"/>
  <c r="J6" i="2"/>
  <c r="O240" i="2" l="1"/>
  <c r="Q235" i="2"/>
  <c r="Q181" i="2"/>
  <c r="Q213" i="2"/>
  <c r="Q185" i="2"/>
  <c r="Q198" i="2"/>
  <c r="Q196" i="2"/>
  <c r="Q174" i="2"/>
  <c r="Q233" i="2"/>
  <c r="Q220" i="2"/>
  <c r="Q215" i="2"/>
  <c r="Q197" i="2"/>
  <c r="Q178" i="2"/>
  <c r="Q186" i="2"/>
  <c r="Q225" i="2"/>
  <c r="Q232" i="2"/>
  <c r="Q229" i="2"/>
  <c r="Q194" i="2"/>
  <c r="Q191" i="2"/>
  <c r="Q179" i="2"/>
  <c r="Q183" i="2"/>
  <c r="Q176" i="2"/>
  <c r="Q223" i="2"/>
  <c r="Q209" i="2"/>
  <c r="Q193" i="2"/>
  <c r="Q180" i="2"/>
  <c r="Q214" i="2"/>
  <c r="Q173" i="2"/>
  <c r="Q184" i="2"/>
  <c r="Q202" i="2"/>
  <c r="Q190" i="2"/>
  <c r="Q234" i="2"/>
  <c r="Q199" i="2"/>
  <c r="F217" i="2"/>
  <c r="Q211" i="2"/>
  <c r="Q171" i="2"/>
  <c r="Q201" i="2"/>
  <c r="Q207" i="2"/>
  <c r="Q189" i="2"/>
  <c r="Q236" i="2"/>
  <c r="Q226" i="2"/>
  <c r="G211" i="2"/>
  <c r="H201" i="2"/>
  <c r="H236" i="2"/>
  <c r="H226" i="2"/>
  <c r="H171" i="2"/>
  <c r="H189" i="2"/>
  <c r="G130" i="2"/>
  <c r="G129" i="2" s="1"/>
  <c r="Q131" i="2"/>
  <c r="H158" i="2"/>
  <c r="L158" i="2"/>
  <c r="L131" i="2"/>
  <c r="M110" i="2"/>
  <c r="Q110" i="2"/>
  <c r="Q146" i="2"/>
  <c r="G96" i="2"/>
  <c r="M146" i="2"/>
  <c r="M158" i="2"/>
  <c r="Q158" i="2"/>
  <c r="L146" i="2"/>
  <c r="L110" i="2"/>
  <c r="H97" i="2"/>
  <c r="M97" i="2"/>
  <c r="Q97" i="2"/>
  <c r="L97" i="2"/>
  <c r="H110" i="2"/>
  <c r="M131" i="2"/>
  <c r="H131" i="2"/>
  <c r="H146" i="2"/>
  <c r="J4" i="2"/>
  <c r="V216" i="2" s="1"/>
  <c r="J7" i="2"/>
  <c r="L211" i="2" s="1"/>
  <c r="Q96" i="2" l="1"/>
  <c r="V170" i="2"/>
  <c r="V237" i="2"/>
  <c r="V128" i="2"/>
  <c r="V188" i="2"/>
  <c r="V109" i="2"/>
  <c r="U128" i="2"/>
  <c r="V145" i="2"/>
  <c r="V212" i="2"/>
  <c r="U188" i="2"/>
  <c r="U170" i="2"/>
  <c r="U228" i="2"/>
  <c r="U212" i="2"/>
  <c r="U219" i="2"/>
  <c r="U200" i="2"/>
  <c r="V218" i="2"/>
  <c r="U227" i="2"/>
  <c r="V228" i="2"/>
  <c r="U210" i="2"/>
  <c r="U109" i="2"/>
  <c r="V200" i="2"/>
  <c r="U216" i="2"/>
  <c r="U157" i="2"/>
  <c r="U237" i="2"/>
  <c r="U145" i="2"/>
  <c r="U218" i="2"/>
  <c r="V219" i="2"/>
  <c r="V227" i="2"/>
  <c r="V210" i="2"/>
  <c r="U240" i="2"/>
  <c r="U241" i="2"/>
  <c r="V241" i="2"/>
  <c r="V240" i="2"/>
  <c r="U239" i="2"/>
  <c r="V239" i="2"/>
  <c r="V157" i="2"/>
  <c r="S235" i="2"/>
  <c r="O234" i="2"/>
  <c r="O232" i="2"/>
  <c r="S231" i="2"/>
  <c r="O230" i="2"/>
  <c r="S225" i="2"/>
  <c r="O223" i="2"/>
  <c r="S220" i="2"/>
  <c r="S215" i="2"/>
  <c r="S213" i="2"/>
  <c r="S209" i="2"/>
  <c r="R207" i="2"/>
  <c r="S206" i="2"/>
  <c r="S205" i="2"/>
  <c r="S204" i="2"/>
  <c r="O202" i="2"/>
  <c r="S198" i="2"/>
  <c r="S197" i="2"/>
  <c r="S196" i="2"/>
  <c r="S195" i="2"/>
  <c r="S194" i="2"/>
  <c r="S192" i="2"/>
  <c r="O190" i="2"/>
  <c r="O187" i="2"/>
  <c r="S186" i="2"/>
  <c r="S185" i="2"/>
  <c r="S184" i="2"/>
  <c r="R180" i="2"/>
  <c r="O179" i="2"/>
  <c r="O178" i="2"/>
  <c r="S177" i="2"/>
  <c r="S176" i="2"/>
  <c r="S174" i="2"/>
  <c r="S173" i="2"/>
  <c r="S172" i="2"/>
  <c r="S169" i="2"/>
  <c r="S163" i="2"/>
  <c r="S162" i="2"/>
  <c r="S161" i="2"/>
  <c r="S156" i="2"/>
  <c r="S155" i="2"/>
  <c r="S153" i="2"/>
  <c r="S152" i="2"/>
  <c r="S149" i="2"/>
  <c r="S148" i="2"/>
  <c r="S147" i="2"/>
  <c r="S143" i="2"/>
  <c r="S142" i="2"/>
  <c r="S137" i="2"/>
  <c r="S136" i="2"/>
  <c r="S135" i="2"/>
  <c r="S134" i="2"/>
  <c r="S127" i="2"/>
  <c r="S126" i="2"/>
  <c r="S125" i="2"/>
  <c r="S124" i="2"/>
  <c r="S123" i="2"/>
  <c r="S122" i="2"/>
  <c r="S119" i="2"/>
  <c r="S117" i="2"/>
  <c r="S115" i="2"/>
  <c r="S114" i="2"/>
  <c r="S111" i="2"/>
  <c r="S108" i="2"/>
  <c r="S107" i="2"/>
  <c r="S106" i="2"/>
  <c r="S105" i="2"/>
  <c r="S100" i="2"/>
  <c r="S99" i="2"/>
  <c r="S98" i="2"/>
  <c r="S229" i="2"/>
  <c r="L171" i="2"/>
  <c r="L217" i="2"/>
  <c r="L236" i="2"/>
  <c r="L203" i="2"/>
  <c r="M201" i="2"/>
  <c r="L201" i="2"/>
  <c r="N171" i="2"/>
  <c r="G217" i="2"/>
  <c r="L226" i="2"/>
  <c r="M211" i="2"/>
  <c r="N193" i="2"/>
  <c r="L224" i="2"/>
  <c r="L199" i="2"/>
  <c r="L235" i="2"/>
  <c r="L205" i="2"/>
  <c r="Q217" i="2"/>
  <c r="F238" i="2"/>
  <c r="M217" i="2"/>
  <c r="N207" i="2"/>
  <c r="M207" i="2"/>
  <c r="M236" i="2"/>
  <c r="L189" i="2"/>
  <c r="L232" i="2"/>
  <c r="L185" i="2"/>
  <c r="L179" i="2"/>
  <c r="L184" i="2"/>
  <c r="L197" i="2"/>
  <c r="L215" i="2"/>
  <c r="L176" i="2"/>
  <c r="L213" i="2"/>
  <c r="L229" i="2"/>
  <c r="L186" i="2"/>
  <c r="L202" i="2"/>
  <c r="L190" i="2"/>
  <c r="L180" i="2"/>
  <c r="L220" i="2"/>
  <c r="L196" i="2"/>
  <c r="L178" i="2"/>
  <c r="L233" i="2"/>
  <c r="M214" i="2"/>
  <c r="M169" i="2"/>
  <c r="L169" i="2"/>
  <c r="L231" i="2"/>
  <c r="L194" i="2"/>
  <c r="L198" i="2"/>
  <c r="M225" i="2"/>
  <c r="M229" i="2"/>
  <c r="M195" i="2"/>
  <c r="M179" i="2"/>
  <c r="L225" i="2"/>
  <c r="L181" i="2"/>
  <c r="M209" i="2"/>
  <c r="M204" i="2"/>
  <c r="M187" i="2"/>
  <c r="L209" i="2"/>
  <c r="L223" i="2"/>
  <c r="L222" i="2"/>
  <c r="L175" i="2"/>
  <c r="L207" i="2"/>
  <c r="M235" i="2"/>
  <c r="M192" i="2"/>
  <c r="M174" i="2"/>
  <c r="M215" i="2"/>
  <c r="M197" i="2"/>
  <c r="M173" i="2"/>
  <c r="M175" i="2"/>
  <c r="M196" i="2"/>
  <c r="M232" i="2"/>
  <c r="L191" i="2"/>
  <c r="L221" i="2"/>
  <c r="M205" i="2"/>
  <c r="M172" i="2"/>
  <c r="M208" i="2"/>
  <c r="L174" i="2"/>
  <c r="L195" i="2"/>
  <c r="M194" i="2"/>
  <c r="M231" i="2"/>
  <c r="M223" i="2"/>
  <c r="L173" i="2"/>
  <c r="L193" i="2"/>
  <c r="L183" i="2"/>
  <c r="M203" i="2"/>
  <c r="M177" i="2"/>
  <c r="L234" i="2"/>
  <c r="L214" i="2"/>
  <c r="M186" i="2"/>
  <c r="N231" i="2"/>
  <c r="M180" i="2"/>
  <c r="M190" i="2"/>
  <c r="L204" i="2"/>
  <c r="N177" i="2"/>
  <c r="N224" i="2"/>
  <c r="M234" i="2"/>
  <c r="M183" i="2"/>
  <c r="M233" i="2"/>
  <c r="M176" i="2"/>
  <c r="L206" i="2"/>
  <c r="L172" i="2"/>
  <c r="M220" i="2"/>
  <c r="M221" i="2"/>
  <c r="N183" i="2"/>
  <c r="L187" i="2"/>
  <c r="L182" i="2"/>
  <c r="M178" i="2"/>
  <c r="N180" i="2"/>
  <c r="M226" i="2"/>
  <c r="M213" i="2"/>
  <c r="M185" i="2"/>
  <c r="L230" i="2"/>
  <c r="M199" i="2"/>
  <c r="L177" i="2"/>
  <c r="M193" i="2"/>
  <c r="M191" i="2"/>
  <c r="L208" i="2"/>
  <c r="M181" i="2"/>
  <c r="M184" i="2"/>
  <c r="M222" i="2"/>
  <c r="M189" i="2"/>
  <c r="M224" i="2"/>
  <c r="M171" i="2"/>
  <c r="M230" i="2"/>
  <c r="M182" i="2"/>
  <c r="N192" i="2"/>
  <c r="M206" i="2"/>
  <c r="M198" i="2"/>
  <c r="M202" i="2"/>
  <c r="L192" i="2"/>
  <c r="L238" i="2"/>
  <c r="N195" i="2"/>
  <c r="I171" i="2"/>
  <c r="I189" i="2"/>
  <c r="H211" i="2"/>
  <c r="H217" i="2" s="1"/>
  <c r="H238" i="2" s="1"/>
  <c r="I226" i="2"/>
  <c r="S242" i="2"/>
  <c r="O229" i="2"/>
  <c r="O224" i="2"/>
  <c r="S214" i="2"/>
  <c r="S221" i="2"/>
  <c r="O199" i="2"/>
  <c r="S191" i="2"/>
  <c r="S181" i="2"/>
  <c r="S222" i="2"/>
  <c r="S203" i="2"/>
  <c r="R193" i="2"/>
  <c r="O175" i="2"/>
  <c r="I201" i="2"/>
  <c r="I236" i="2"/>
  <c r="L130" i="2"/>
  <c r="L129" i="2" s="1"/>
  <c r="Q130" i="2"/>
  <c r="Q129" i="2" s="1"/>
  <c r="M130" i="2"/>
  <c r="M129" i="2" s="1"/>
  <c r="H96" i="2"/>
  <c r="L96" i="2"/>
  <c r="M96" i="2"/>
  <c r="H130" i="2"/>
  <c r="H129" i="2" s="1"/>
  <c r="I97" i="2"/>
  <c r="I110" i="2"/>
  <c r="I158" i="2"/>
  <c r="I131" i="2"/>
  <c r="I146" i="2"/>
  <c r="S160" i="2"/>
  <c r="S159" i="2"/>
  <c r="S154" i="2"/>
  <c r="S151" i="2"/>
  <c r="S150" i="2"/>
  <c r="S144" i="2"/>
  <c r="S141" i="2"/>
  <c r="S140" i="2"/>
  <c r="S139" i="2"/>
  <c r="S138" i="2"/>
  <c r="S133" i="2"/>
  <c r="S132" i="2"/>
  <c r="S121" i="2"/>
  <c r="S120" i="2"/>
  <c r="S118" i="2"/>
  <c r="S116" i="2"/>
  <c r="S113" i="2"/>
  <c r="S112" i="2"/>
  <c r="S104" i="2"/>
  <c r="S103" i="2"/>
  <c r="S102" i="2"/>
  <c r="S101" i="2"/>
  <c r="O172" i="2" l="1"/>
  <c r="S158" i="2"/>
  <c r="V180" i="2"/>
  <c r="U180" i="2"/>
  <c r="U193" i="2"/>
  <c r="V193" i="2"/>
  <c r="U207" i="2"/>
  <c r="V207" i="2"/>
  <c r="S187" i="2"/>
  <c r="S97" i="2"/>
  <c r="S224" i="2"/>
  <c r="S179" i="2"/>
  <c r="S178" i="2"/>
  <c r="S146" i="2"/>
  <c r="O225" i="2"/>
  <c r="S190" i="2"/>
  <c r="S234" i="2"/>
  <c r="S110" i="2"/>
  <c r="S223" i="2"/>
  <c r="O182" i="2"/>
  <c r="S182" i="2"/>
  <c r="S131" i="2"/>
  <c r="I211" i="2"/>
  <c r="I217" i="2" s="1"/>
  <c r="I238" i="2" s="1"/>
  <c r="O208" i="2"/>
  <c r="S208" i="2"/>
  <c r="S199" i="2"/>
  <c r="S207" i="2"/>
  <c r="S193" i="2"/>
  <c r="S175" i="2"/>
  <c r="S202" i="2"/>
  <c r="R183" i="2"/>
  <c r="S183" i="2"/>
  <c r="S232" i="2"/>
  <c r="O233" i="2"/>
  <c r="S233" i="2"/>
  <c r="S180" i="2"/>
  <c r="S230" i="2"/>
  <c r="O180" i="2"/>
  <c r="R215" i="2"/>
  <c r="N215" i="2"/>
  <c r="Q177" i="2"/>
  <c r="R177" i="2"/>
  <c r="Q195" i="2"/>
  <c r="R195" i="2"/>
  <c r="Q221" i="2"/>
  <c r="N221" i="2"/>
  <c r="R221" i="2"/>
  <c r="N225" i="2"/>
  <c r="R225" i="2"/>
  <c r="O183" i="2"/>
  <c r="Q192" i="2"/>
  <c r="R192" i="2"/>
  <c r="Q238" i="2"/>
  <c r="M238" i="2"/>
  <c r="Q204" i="2"/>
  <c r="R204" i="2"/>
  <c r="N204" i="2"/>
  <c r="R190" i="2"/>
  <c r="N190" i="2"/>
  <c r="N179" i="2"/>
  <c r="R179" i="2"/>
  <c r="R194" i="2"/>
  <c r="N194" i="2"/>
  <c r="R220" i="2"/>
  <c r="N220" i="2"/>
  <c r="R229" i="2"/>
  <c r="N229" i="2"/>
  <c r="O242" i="2"/>
  <c r="R242" i="2"/>
  <c r="O221" i="2"/>
  <c r="Q203" i="2"/>
  <c r="R203" i="2"/>
  <c r="N203" i="2"/>
  <c r="R178" i="2"/>
  <c r="N178" i="2"/>
  <c r="N198" i="2"/>
  <c r="R198" i="2"/>
  <c r="N197" i="2"/>
  <c r="R197" i="2"/>
  <c r="R185" i="2"/>
  <c r="O185" i="2"/>
  <c r="N185" i="2"/>
  <c r="Q230" i="2"/>
  <c r="R230" i="2"/>
  <c r="N230" i="2"/>
  <c r="O195" i="2"/>
  <c r="O220" i="2"/>
  <c r="O197" i="2"/>
  <c r="O193" i="2"/>
  <c r="N217" i="2"/>
  <c r="G238" i="2"/>
  <c r="Q222" i="2"/>
  <c r="N222" i="2"/>
  <c r="R222" i="2"/>
  <c r="R186" i="2"/>
  <c r="N186" i="2"/>
  <c r="O186" i="2"/>
  <c r="R213" i="2"/>
  <c r="N213" i="2"/>
  <c r="N173" i="2"/>
  <c r="R173" i="2"/>
  <c r="Q169" i="2"/>
  <c r="N169" i="2"/>
  <c r="R169" i="2"/>
  <c r="Q208" i="2"/>
  <c r="R208" i="2"/>
  <c r="N208" i="2"/>
  <c r="Q231" i="2"/>
  <c r="R231" i="2"/>
  <c r="O192" i="2"/>
  <c r="O198" i="2"/>
  <c r="O207" i="2"/>
  <c r="O213" i="2"/>
  <c r="N235" i="2"/>
  <c r="R235" i="2"/>
  <c r="Q175" i="2"/>
  <c r="N175" i="2"/>
  <c r="R175" i="2"/>
  <c r="N196" i="2"/>
  <c r="R196" i="2"/>
  <c r="O196" i="2"/>
  <c r="N181" i="2"/>
  <c r="R181" i="2"/>
  <c r="O181" i="2"/>
  <c r="Q206" i="2"/>
  <c r="N206" i="2"/>
  <c r="R206" i="2"/>
  <c r="R209" i="2"/>
  <c r="N209" i="2"/>
  <c r="O209" i="2"/>
  <c r="N232" i="2"/>
  <c r="R232" i="2"/>
  <c r="O169" i="2"/>
  <c r="O203" i="2"/>
  <c r="O194" i="2"/>
  <c r="O204" i="2"/>
  <c r="Q172" i="2"/>
  <c r="R172" i="2"/>
  <c r="N172" i="2"/>
  <c r="O235" i="2"/>
  <c r="Q205" i="2"/>
  <c r="N205" i="2"/>
  <c r="R205" i="2"/>
  <c r="R202" i="2"/>
  <c r="N202" i="2"/>
  <c r="R191" i="2"/>
  <c r="N191" i="2"/>
  <c r="R174" i="2"/>
  <c r="N174" i="2"/>
  <c r="R214" i="2"/>
  <c r="N214" i="2"/>
  <c r="R233" i="2"/>
  <c r="N233" i="2"/>
  <c r="O205" i="2"/>
  <c r="O191" i="2"/>
  <c r="O177" i="2"/>
  <c r="O206" i="2"/>
  <c r="Q224" i="2"/>
  <c r="R224" i="2"/>
  <c r="R176" i="2"/>
  <c r="N176" i="2"/>
  <c r="Q187" i="2"/>
  <c r="N187" i="2"/>
  <c r="R187" i="2"/>
  <c r="N184" i="2"/>
  <c r="O184" i="2"/>
  <c r="R184" i="2"/>
  <c r="R199" i="2"/>
  <c r="N199" i="2"/>
  <c r="Q182" i="2"/>
  <c r="R182" i="2"/>
  <c r="N182" i="2"/>
  <c r="R223" i="2"/>
  <c r="N223" i="2"/>
  <c r="R234" i="2"/>
  <c r="N234" i="2"/>
  <c r="O222" i="2"/>
  <c r="O174" i="2"/>
  <c r="O214" i="2"/>
  <c r="O231" i="2"/>
  <c r="O215" i="2"/>
  <c r="O173" i="2"/>
  <c r="O176" i="2"/>
  <c r="J201" i="2"/>
  <c r="O201" i="2" s="1"/>
  <c r="J171" i="2"/>
  <c r="R171" i="2" s="1"/>
  <c r="J189" i="2"/>
  <c r="S189" i="2" s="1"/>
  <c r="J226" i="2"/>
  <c r="S226" i="2" s="1"/>
  <c r="J236" i="2"/>
  <c r="O236" i="2" s="1"/>
  <c r="I96" i="2"/>
  <c r="I130" i="2"/>
  <c r="I129" i="2" s="1"/>
  <c r="N102" i="2"/>
  <c r="R102" i="2"/>
  <c r="U102" i="2" s="1"/>
  <c r="O102" i="2"/>
  <c r="N112" i="2"/>
  <c r="O112" i="2"/>
  <c r="R112" i="2"/>
  <c r="U112" i="2" s="1"/>
  <c r="N120" i="2"/>
  <c r="O120" i="2"/>
  <c r="R120" i="2"/>
  <c r="U120" i="2" s="1"/>
  <c r="N132" i="2"/>
  <c r="R132" i="2"/>
  <c r="U132" i="2" s="1"/>
  <c r="O132" i="2"/>
  <c r="N140" i="2"/>
  <c r="R140" i="2"/>
  <c r="U140" i="2" s="1"/>
  <c r="O140" i="2"/>
  <c r="N150" i="2"/>
  <c r="R150" i="2"/>
  <c r="U150" i="2" s="1"/>
  <c r="O150" i="2"/>
  <c r="N160" i="2"/>
  <c r="O160" i="2"/>
  <c r="R160" i="2"/>
  <c r="U160" i="2" s="1"/>
  <c r="N103" i="2"/>
  <c r="O103" i="2"/>
  <c r="R103" i="2"/>
  <c r="U103" i="2" s="1"/>
  <c r="N113" i="2"/>
  <c r="O113" i="2"/>
  <c r="R113" i="2"/>
  <c r="U113" i="2" s="1"/>
  <c r="N121" i="2"/>
  <c r="O121" i="2"/>
  <c r="R121" i="2"/>
  <c r="U121" i="2" s="1"/>
  <c r="N133" i="2"/>
  <c r="R133" i="2"/>
  <c r="U133" i="2" s="1"/>
  <c r="O133" i="2"/>
  <c r="N141" i="2"/>
  <c r="O141" i="2"/>
  <c r="R141" i="2"/>
  <c r="U141" i="2" s="1"/>
  <c r="N151" i="2"/>
  <c r="R151" i="2"/>
  <c r="U151" i="2" s="1"/>
  <c r="O151" i="2"/>
  <c r="N161" i="2"/>
  <c r="R161" i="2"/>
  <c r="U161" i="2" s="1"/>
  <c r="O161" i="2"/>
  <c r="O104" i="2"/>
  <c r="R104" i="2"/>
  <c r="U104" i="2" s="1"/>
  <c r="N114" i="2"/>
  <c r="O114" i="2"/>
  <c r="R114" i="2"/>
  <c r="U114" i="2" s="1"/>
  <c r="N122" i="2"/>
  <c r="R122" i="2"/>
  <c r="U122" i="2" s="1"/>
  <c r="O122" i="2"/>
  <c r="O134" i="2"/>
  <c r="R134" i="2"/>
  <c r="U134" i="2" s="1"/>
  <c r="N142" i="2"/>
  <c r="R142" i="2"/>
  <c r="U142" i="2" s="1"/>
  <c r="O142" i="2"/>
  <c r="N152" i="2"/>
  <c r="R152" i="2"/>
  <c r="U152" i="2" s="1"/>
  <c r="O152" i="2"/>
  <c r="N162" i="2"/>
  <c r="R162" i="2"/>
  <c r="U162" i="2" s="1"/>
  <c r="O162" i="2"/>
  <c r="N105" i="2"/>
  <c r="O105" i="2"/>
  <c r="R105" i="2"/>
  <c r="U105" i="2" s="1"/>
  <c r="N115" i="2"/>
  <c r="R115" i="2"/>
  <c r="U115" i="2" s="1"/>
  <c r="O115" i="2"/>
  <c r="N123" i="2"/>
  <c r="O123" i="2"/>
  <c r="R123" i="2"/>
  <c r="U123" i="2" s="1"/>
  <c r="N135" i="2"/>
  <c r="R135" i="2"/>
  <c r="U135" i="2" s="1"/>
  <c r="O135" i="2"/>
  <c r="N143" i="2"/>
  <c r="O143" i="2"/>
  <c r="R143" i="2"/>
  <c r="U143" i="2" s="1"/>
  <c r="N153" i="2"/>
  <c r="R153" i="2"/>
  <c r="U153" i="2" s="1"/>
  <c r="O153" i="2"/>
  <c r="N163" i="2"/>
  <c r="R163" i="2"/>
  <c r="U163" i="2" s="1"/>
  <c r="O163" i="2"/>
  <c r="J97" i="2"/>
  <c r="N98" i="2"/>
  <c r="R98" i="2"/>
  <c r="U98" i="2" s="1"/>
  <c r="O98" i="2"/>
  <c r="N106" i="2"/>
  <c r="O106" i="2"/>
  <c r="R106" i="2"/>
  <c r="U106" i="2" s="1"/>
  <c r="R116" i="2"/>
  <c r="U116" i="2" s="1"/>
  <c r="O116" i="2"/>
  <c r="N124" i="2"/>
  <c r="O124" i="2"/>
  <c r="R124" i="2"/>
  <c r="U124" i="2" s="1"/>
  <c r="N136" i="2"/>
  <c r="R136" i="2"/>
  <c r="U136" i="2" s="1"/>
  <c r="O136" i="2"/>
  <c r="N144" i="2"/>
  <c r="R144" i="2"/>
  <c r="U144" i="2" s="1"/>
  <c r="O144" i="2"/>
  <c r="N154" i="2"/>
  <c r="O154" i="2"/>
  <c r="R154" i="2"/>
  <c r="U154" i="2" s="1"/>
  <c r="N99" i="2"/>
  <c r="R99" i="2"/>
  <c r="U99" i="2" s="1"/>
  <c r="O99" i="2"/>
  <c r="R107" i="2"/>
  <c r="U107" i="2" s="1"/>
  <c r="O107" i="2"/>
  <c r="N117" i="2"/>
  <c r="R117" i="2"/>
  <c r="U117" i="2" s="1"/>
  <c r="O117" i="2"/>
  <c r="N125" i="2"/>
  <c r="O125" i="2"/>
  <c r="R125" i="2"/>
  <c r="U125" i="2" s="1"/>
  <c r="N137" i="2"/>
  <c r="O137" i="2"/>
  <c r="R137" i="2"/>
  <c r="U137" i="2" s="1"/>
  <c r="N147" i="2"/>
  <c r="O147" i="2"/>
  <c r="R147" i="2"/>
  <c r="U147" i="2" s="1"/>
  <c r="N155" i="2"/>
  <c r="R155" i="2"/>
  <c r="U155" i="2" s="1"/>
  <c r="O155" i="2"/>
  <c r="O100" i="2"/>
  <c r="R100" i="2"/>
  <c r="U100" i="2" s="1"/>
  <c r="N108" i="2"/>
  <c r="R108" i="2"/>
  <c r="U108" i="2" s="1"/>
  <c r="O108" i="2"/>
  <c r="N118" i="2"/>
  <c r="O118" i="2"/>
  <c r="R118" i="2"/>
  <c r="U118" i="2" s="1"/>
  <c r="N126" i="2"/>
  <c r="R126" i="2"/>
  <c r="U126" i="2" s="1"/>
  <c r="O126" i="2"/>
  <c r="N138" i="2"/>
  <c r="R138" i="2"/>
  <c r="U138" i="2" s="1"/>
  <c r="O138" i="2"/>
  <c r="O148" i="2"/>
  <c r="R148" i="2"/>
  <c r="U148" i="2" s="1"/>
  <c r="N156" i="2"/>
  <c r="O156" i="2"/>
  <c r="R156" i="2"/>
  <c r="U156" i="2" s="1"/>
  <c r="N101" i="2"/>
  <c r="O101" i="2"/>
  <c r="R101" i="2"/>
  <c r="U101" i="2" s="1"/>
  <c r="J110" i="2"/>
  <c r="N111" i="2"/>
  <c r="R111" i="2"/>
  <c r="U111" i="2" s="1"/>
  <c r="O111" i="2"/>
  <c r="N119" i="2"/>
  <c r="R119" i="2"/>
  <c r="U119" i="2" s="1"/>
  <c r="O119" i="2"/>
  <c r="R127" i="2"/>
  <c r="U127" i="2" s="1"/>
  <c r="O127" i="2"/>
  <c r="N139" i="2"/>
  <c r="O139" i="2"/>
  <c r="R139" i="2"/>
  <c r="U139" i="2" s="1"/>
  <c r="N149" i="2"/>
  <c r="R149" i="2"/>
  <c r="U149" i="2" s="1"/>
  <c r="O149" i="2"/>
  <c r="J158" i="2"/>
  <c r="N159" i="2"/>
  <c r="R159" i="2"/>
  <c r="U159" i="2" s="1"/>
  <c r="O159" i="2"/>
  <c r="J131" i="2"/>
  <c r="J146" i="2"/>
  <c r="U182" i="2" l="1"/>
  <c r="V182" i="2"/>
  <c r="U181" i="2"/>
  <c r="V181" i="2"/>
  <c r="U235" i="2"/>
  <c r="V235" i="2"/>
  <c r="U171" i="2"/>
  <c r="V171" i="2"/>
  <c r="U191" i="2"/>
  <c r="V191" i="2"/>
  <c r="V172" i="2"/>
  <c r="U172" i="2"/>
  <c r="V208" i="2"/>
  <c r="U208" i="2"/>
  <c r="U213" i="2"/>
  <c r="V213" i="2"/>
  <c r="U178" i="2"/>
  <c r="V178" i="2"/>
  <c r="U229" i="2"/>
  <c r="V229" i="2"/>
  <c r="U190" i="2"/>
  <c r="V190" i="2"/>
  <c r="U177" i="2"/>
  <c r="V177" i="2"/>
  <c r="U225" i="2"/>
  <c r="V225" i="2"/>
  <c r="U199" i="2"/>
  <c r="V199" i="2"/>
  <c r="U176" i="2"/>
  <c r="V176" i="2"/>
  <c r="U233" i="2"/>
  <c r="V233" i="2"/>
  <c r="U202" i="2"/>
  <c r="V202" i="2"/>
  <c r="U209" i="2"/>
  <c r="V209" i="2"/>
  <c r="V196" i="2"/>
  <c r="U196" i="2"/>
  <c r="U169" i="2"/>
  <c r="V169" i="2"/>
  <c r="U185" i="2"/>
  <c r="V185" i="2"/>
  <c r="U203" i="2"/>
  <c r="V203" i="2"/>
  <c r="U220" i="2"/>
  <c r="V220" i="2"/>
  <c r="V204" i="2"/>
  <c r="U204" i="2"/>
  <c r="U234" i="2"/>
  <c r="V234" i="2"/>
  <c r="V184" i="2"/>
  <c r="U184" i="2"/>
  <c r="U224" i="2"/>
  <c r="V224" i="2"/>
  <c r="U205" i="2"/>
  <c r="V205" i="2"/>
  <c r="U206" i="2"/>
  <c r="V206" i="2"/>
  <c r="U186" i="2"/>
  <c r="V186" i="2"/>
  <c r="U197" i="2"/>
  <c r="V197" i="2"/>
  <c r="U221" i="2"/>
  <c r="V221" i="2"/>
  <c r="U215" i="2"/>
  <c r="V215" i="2"/>
  <c r="U214" i="2"/>
  <c r="V214" i="2"/>
  <c r="U175" i="2"/>
  <c r="V175" i="2"/>
  <c r="U222" i="2"/>
  <c r="V222" i="2"/>
  <c r="U194" i="2"/>
  <c r="V194" i="2"/>
  <c r="U183" i="2"/>
  <c r="V183" i="2"/>
  <c r="U223" i="2"/>
  <c r="V223" i="2"/>
  <c r="U231" i="2"/>
  <c r="V231" i="2"/>
  <c r="U173" i="2"/>
  <c r="V173" i="2"/>
  <c r="U198" i="2"/>
  <c r="V198" i="2"/>
  <c r="U242" i="2"/>
  <c r="V242" i="2"/>
  <c r="U179" i="2"/>
  <c r="V179" i="2"/>
  <c r="U187" i="2"/>
  <c r="V187" i="2"/>
  <c r="U174" i="2"/>
  <c r="V174" i="2"/>
  <c r="V232" i="2"/>
  <c r="U232" i="2"/>
  <c r="U230" i="2"/>
  <c r="V230" i="2"/>
  <c r="V192" i="2"/>
  <c r="U192" i="2"/>
  <c r="U195" i="2"/>
  <c r="V195" i="2"/>
  <c r="V149" i="2"/>
  <c r="V119" i="2"/>
  <c r="V108" i="2"/>
  <c r="V154" i="2"/>
  <c r="V114" i="2"/>
  <c r="V156" i="2"/>
  <c r="V117" i="2"/>
  <c r="V124" i="2"/>
  <c r="V153" i="2"/>
  <c r="V123" i="2"/>
  <c r="V142" i="2"/>
  <c r="V151" i="2"/>
  <c r="V121" i="2"/>
  <c r="V140" i="2"/>
  <c r="V112" i="2"/>
  <c r="V139" i="2"/>
  <c r="V126" i="2"/>
  <c r="V100" i="2"/>
  <c r="V137" i="2"/>
  <c r="V98" i="2"/>
  <c r="V160" i="2"/>
  <c r="V111" i="2"/>
  <c r="V143" i="2"/>
  <c r="V162" i="2"/>
  <c r="V134" i="2"/>
  <c r="V104" i="2"/>
  <c r="V141" i="2"/>
  <c r="V159" i="2"/>
  <c r="V148" i="2"/>
  <c r="V118" i="2"/>
  <c r="V107" i="2"/>
  <c r="V144" i="2"/>
  <c r="V113" i="2"/>
  <c r="V132" i="2"/>
  <c r="V155" i="2"/>
  <c r="V125" i="2"/>
  <c r="V116" i="2"/>
  <c r="V115" i="2"/>
  <c r="V102" i="2"/>
  <c r="V127" i="2"/>
  <c r="V101" i="2"/>
  <c r="V99" i="2"/>
  <c r="V106" i="2"/>
  <c r="V163" i="2"/>
  <c r="V152" i="2"/>
  <c r="V122" i="2"/>
  <c r="V161" i="2"/>
  <c r="V150" i="2"/>
  <c r="V120" i="2"/>
  <c r="V138" i="2"/>
  <c r="V147" i="2"/>
  <c r="V136" i="2"/>
  <c r="V135" i="2"/>
  <c r="V105" i="2"/>
  <c r="V133" i="2"/>
  <c r="V103" i="2"/>
  <c r="S201" i="2"/>
  <c r="S236" i="2"/>
  <c r="S130" i="2"/>
  <c r="S129" i="2" s="1"/>
  <c r="S171" i="2"/>
  <c r="S96" i="2"/>
  <c r="N238" i="2"/>
  <c r="J211" i="2"/>
  <c r="S211" i="2" s="1"/>
  <c r="N201" i="2"/>
  <c r="R201" i="2"/>
  <c r="N236" i="2"/>
  <c r="R236" i="2"/>
  <c r="O171" i="2"/>
  <c r="N226" i="2"/>
  <c r="R226" i="2"/>
  <c r="O226" i="2"/>
  <c r="N189" i="2"/>
  <c r="O189" i="2"/>
  <c r="R189" i="2"/>
  <c r="N158" i="2"/>
  <c r="O158" i="2"/>
  <c r="O97" i="2"/>
  <c r="R146" i="2"/>
  <c r="U146" i="2" s="1"/>
  <c r="O146" i="2"/>
  <c r="N146" i="2"/>
  <c r="J130" i="2"/>
  <c r="J129" i="2" s="1"/>
  <c r="O110" i="2"/>
  <c r="R97" i="2"/>
  <c r="U97" i="2" s="1"/>
  <c r="R110" i="2"/>
  <c r="U110" i="2" s="1"/>
  <c r="N97" i="2"/>
  <c r="O131" i="2"/>
  <c r="R158" i="2"/>
  <c r="U158" i="2" s="1"/>
  <c r="N110" i="2"/>
  <c r="J96" i="2"/>
  <c r="R131" i="2"/>
  <c r="U131" i="2" s="1"/>
  <c r="N131" i="2"/>
  <c r="U226" i="2" l="1"/>
  <c r="V226" i="2"/>
  <c r="V236" i="2"/>
  <c r="U236" i="2"/>
  <c r="U189" i="2"/>
  <c r="V189" i="2"/>
  <c r="U201" i="2"/>
  <c r="V201" i="2"/>
  <c r="V131" i="2"/>
  <c r="V158" i="2"/>
  <c r="V110" i="2"/>
  <c r="V146" i="2"/>
  <c r="V97" i="2"/>
  <c r="J217" i="2"/>
  <c r="S217" i="2" s="1"/>
  <c r="N211" i="2"/>
  <c r="R211" i="2"/>
  <c r="O211" i="2"/>
  <c r="R130" i="2"/>
  <c r="U130" i="2" s="1"/>
  <c r="O96" i="2"/>
  <c r="O130" i="2"/>
  <c r="O129" i="2" s="1"/>
  <c r="R96" i="2"/>
  <c r="U96" i="2" s="1"/>
  <c r="N130" i="2"/>
  <c r="N129" i="2" s="1"/>
  <c r="N96" i="2"/>
  <c r="U211" i="2" l="1"/>
  <c r="V211" i="2"/>
  <c r="V96" i="2"/>
  <c r="R129" i="2"/>
  <c r="U129" i="2" s="1"/>
  <c r="V130" i="2"/>
  <c r="O217" i="2"/>
  <c r="R217" i="2"/>
  <c r="J238" i="2"/>
  <c r="S238" i="2" s="1"/>
  <c r="U217" i="2" l="1"/>
  <c r="V217" i="2"/>
  <c r="V129" i="2"/>
  <c r="O238" i="2"/>
  <c r="R238" i="2"/>
  <c r="U238" i="2" l="1"/>
  <c r="V238" i="2"/>
  <c r="L17" i="4" l="1"/>
  <c r="M17" i="4" l="1"/>
  <c r="Q17" i="4"/>
  <c r="S17" i="4" l="1"/>
  <c r="O17" i="4" l="1"/>
  <c r="N17" i="4"/>
  <c r="R17" i="4"/>
  <c r="U17" i="4" l="1"/>
  <c r="V17" i="4"/>
  <c r="L38" i="3" l="1"/>
  <c r="N38" i="3"/>
  <c r="L29" i="3"/>
  <c r="N29" i="3"/>
  <c r="E27" i="3" l="1"/>
  <c r="G27" i="3"/>
  <c r="S29" i="3"/>
  <c r="O29" i="3"/>
  <c r="R29" i="3"/>
  <c r="N28" i="3"/>
  <c r="H27" i="3"/>
  <c r="N27" i="3" s="1"/>
  <c r="Q28" i="3"/>
  <c r="M28" i="3"/>
  <c r="I27" i="3"/>
  <c r="R38" i="3"/>
  <c r="S38" i="3"/>
  <c r="O38" i="3"/>
  <c r="J27" i="3"/>
  <c r="S28" i="3"/>
  <c r="R28" i="3"/>
  <c r="O28" i="3"/>
  <c r="D27" i="3"/>
  <c r="L27" i="3" s="1"/>
  <c r="L28" i="3"/>
  <c r="M38" i="3"/>
  <c r="Q38" i="3"/>
  <c r="N37" i="3"/>
  <c r="F27" i="3"/>
  <c r="L36" i="3"/>
  <c r="C27" i="3"/>
  <c r="L35" i="3"/>
  <c r="L37" i="3"/>
  <c r="N35" i="3"/>
  <c r="N36" i="3"/>
  <c r="Q27" i="3" l="1"/>
  <c r="M27" i="3"/>
  <c r="S35" i="3"/>
  <c r="O35" i="3"/>
  <c r="R35" i="3"/>
  <c r="U28" i="3"/>
  <c r="V28" i="3"/>
  <c r="Q36" i="3"/>
  <c r="M36" i="3"/>
  <c r="O36" i="3"/>
  <c r="S36" i="3"/>
  <c r="R36" i="3"/>
  <c r="Q37" i="3"/>
  <c r="M37" i="3"/>
  <c r="R27" i="3"/>
  <c r="O27" i="3"/>
  <c r="S27" i="3"/>
  <c r="O37" i="3"/>
  <c r="R37" i="3"/>
  <c r="S37" i="3"/>
  <c r="Q29" i="3"/>
  <c r="V29" i="3" s="1"/>
  <c r="M29" i="3"/>
  <c r="U38" i="3"/>
  <c r="V38" i="3"/>
  <c r="Q35" i="3"/>
  <c r="M35" i="3"/>
  <c r="U29" i="3" l="1"/>
  <c r="U27" i="3"/>
  <c r="V27" i="3"/>
  <c r="V35" i="3"/>
  <c r="V36" i="3"/>
  <c r="U36" i="3"/>
  <c r="V37" i="3"/>
  <c r="O21" i="3" l="1"/>
  <c r="O34" i="3"/>
  <c r="M34" i="3"/>
  <c r="O15" i="3"/>
  <c r="O14" i="3"/>
  <c r="M17" i="3" l="1"/>
  <c r="M15" i="3"/>
  <c r="M16" i="3"/>
  <c r="O23" i="3"/>
  <c r="D12" i="3"/>
  <c r="O16" i="3"/>
  <c r="J19" i="3"/>
  <c r="M14" i="3"/>
  <c r="O17" i="3"/>
  <c r="F12" i="3"/>
  <c r="M21" i="3"/>
  <c r="J12" i="3"/>
  <c r="O33" i="3"/>
  <c r="D19" i="3"/>
  <c r="M23" i="3"/>
  <c r="Q16" i="3"/>
  <c r="L16" i="3"/>
  <c r="L34" i="3"/>
  <c r="Q34" i="3"/>
  <c r="L23" i="3"/>
  <c r="Q23" i="3"/>
  <c r="L20" i="3"/>
  <c r="C19" i="3"/>
  <c r="Q20" i="3"/>
  <c r="L14" i="3"/>
  <c r="Q14" i="3"/>
  <c r="M13" i="3"/>
  <c r="E12" i="3"/>
  <c r="M12" i="3" s="1"/>
  <c r="H12" i="3"/>
  <c r="N33" i="3"/>
  <c r="S33" i="3"/>
  <c r="R33" i="3"/>
  <c r="N20" i="3"/>
  <c r="R20" i="3"/>
  <c r="C12" i="3"/>
  <c r="Q13" i="3"/>
  <c r="L13" i="3"/>
  <c r="N13" i="3"/>
  <c r="G12" i="3"/>
  <c r="S13" i="3"/>
  <c r="R13" i="3"/>
  <c r="R15" i="3"/>
  <c r="N15" i="3"/>
  <c r="R23" i="3"/>
  <c r="Q21" i="3"/>
  <c r="L21" i="3"/>
  <c r="N34" i="3"/>
  <c r="R34" i="3"/>
  <c r="S34" i="3"/>
  <c r="N14" i="3"/>
  <c r="S14" i="3"/>
  <c r="R14" i="3"/>
  <c r="S17" i="3"/>
  <c r="N17" i="3"/>
  <c r="R17" i="3"/>
  <c r="M33" i="3"/>
  <c r="H19" i="3"/>
  <c r="Q22" i="3"/>
  <c r="L22" i="3"/>
  <c r="N16" i="3"/>
  <c r="R16" i="3"/>
  <c r="S16" i="3"/>
  <c r="N23" i="3"/>
  <c r="S23" i="3"/>
  <c r="F19" i="3"/>
  <c r="S22" i="3"/>
  <c r="R22" i="3"/>
  <c r="N22" i="3"/>
  <c r="L17" i="3"/>
  <c r="Q17" i="3"/>
  <c r="O13" i="3"/>
  <c r="I12" i="3"/>
  <c r="S15" i="3"/>
  <c r="L33" i="3"/>
  <c r="Q33" i="3"/>
  <c r="M22" i="3"/>
  <c r="E19" i="3"/>
  <c r="M19" i="3" s="1"/>
  <c r="M20" i="3"/>
  <c r="O22" i="3"/>
  <c r="S20" i="3"/>
  <c r="I19" i="3"/>
  <c r="O19" i="3" s="1"/>
  <c r="O20" i="3"/>
  <c r="Q15" i="3"/>
  <c r="L15" i="3"/>
  <c r="G19" i="3"/>
  <c r="N21" i="3"/>
  <c r="S21" i="3"/>
  <c r="R21" i="3"/>
  <c r="O12" i="3" l="1"/>
  <c r="V17" i="3"/>
  <c r="U17" i="3"/>
  <c r="R12" i="3"/>
  <c r="S12" i="3"/>
  <c r="N12" i="3"/>
  <c r="L19" i="3"/>
  <c r="Q19" i="3"/>
  <c r="N19" i="3"/>
  <c r="S19" i="3"/>
  <c r="R19" i="3"/>
  <c r="U16" i="3"/>
  <c r="V16" i="3"/>
  <c r="U14" i="3"/>
  <c r="V14" i="3"/>
  <c r="U23" i="3"/>
  <c r="V23" i="3"/>
  <c r="U22" i="3"/>
  <c r="V22" i="3"/>
  <c r="L12" i="3"/>
  <c r="Q12" i="3"/>
  <c r="U15" i="3"/>
  <c r="V15" i="3"/>
  <c r="U20" i="3"/>
  <c r="V20" i="3"/>
  <c r="V13" i="3"/>
  <c r="U13" i="3"/>
  <c r="V21" i="3"/>
  <c r="U21" i="3"/>
  <c r="U34" i="3"/>
  <c r="V34" i="3"/>
  <c r="U33" i="3"/>
  <c r="V33" i="3"/>
  <c r="U19" i="3" l="1"/>
  <c r="V19" i="3"/>
  <c r="U12" i="3"/>
  <c r="V12" i="3"/>
  <c r="L25" i="2" l="1"/>
  <c r="L47" i="2"/>
  <c r="C22" i="2"/>
  <c r="C68" i="2"/>
  <c r="L26" i="2"/>
  <c r="H68" i="2"/>
  <c r="L37" i="2"/>
  <c r="C46" i="2"/>
  <c r="C60" i="2"/>
  <c r="L18" i="2"/>
  <c r="L36" i="2"/>
  <c r="D21" i="2"/>
  <c r="C16" i="2"/>
  <c r="C59" i="2"/>
  <c r="D12" i="2"/>
  <c r="C14" i="4"/>
  <c r="C21" i="2"/>
  <c r="C12" i="2"/>
  <c r="L13" i="2"/>
  <c r="C67" i="2"/>
  <c r="C24" i="2"/>
  <c r="L48" i="2"/>
  <c r="C35" i="4"/>
  <c r="L42" i="2"/>
  <c r="D83" i="2"/>
  <c r="L17" i="2" l="1"/>
  <c r="L59" i="2" s="1"/>
  <c r="L67" i="2"/>
  <c r="C32" i="2"/>
  <c r="C74" i="2" s="1"/>
  <c r="Q25" i="2"/>
  <c r="H60" i="2"/>
  <c r="D60" i="2"/>
  <c r="M34" i="2"/>
  <c r="M33" i="2"/>
  <c r="E32" i="2"/>
  <c r="H39" i="2"/>
  <c r="D54" i="2"/>
  <c r="D90" i="2"/>
  <c r="D55" i="2"/>
  <c r="I60" i="2"/>
  <c r="N42" i="2"/>
  <c r="I32" i="2"/>
  <c r="M35" i="2"/>
  <c r="H32" i="2"/>
  <c r="I46" i="2"/>
  <c r="M41" i="2"/>
  <c r="N41" i="2"/>
  <c r="N35" i="2"/>
  <c r="Q33" i="2"/>
  <c r="D32" i="2"/>
  <c r="D74" i="2" s="1"/>
  <c r="D75" i="2"/>
  <c r="L33" i="2"/>
  <c r="M40" i="2"/>
  <c r="N34" i="2"/>
  <c r="I12" i="2"/>
  <c r="I21" i="2"/>
  <c r="I59" i="2"/>
  <c r="I16" i="2"/>
  <c r="C54" i="2"/>
  <c r="L12" i="2"/>
  <c r="L54" i="2" s="1"/>
  <c r="G60" i="2"/>
  <c r="N18" i="2"/>
  <c r="Q42" i="2"/>
  <c r="G67" i="2"/>
  <c r="G24" i="2"/>
  <c r="N25" i="2"/>
  <c r="S25" i="2"/>
  <c r="R25" i="2"/>
  <c r="C88" i="2"/>
  <c r="N40" i="2"/>
  <c r="G39" i="2"/>
  <c r="H59" i="2"/>
  <c r="H16" i="2"/>
  <c r="G22" i="2"/>
  <c r="N14" i="2"/>
  <c r="C63" i="2"/>
  <c r="C20" i="2"/>
  <c r="C29" i="2"/>
  <c r="L21" i="2"/>
  <c r="L63" i="2" s="1"/>
  <c r="G21" i="2"/>
  <c r="G12" i="2"/>
  <c r="G55" i="2" s="1"/>
  <c r="N13" i="2"/>
  <c r="C77" i="2"/>
  <c r="L35" i="2"/>
  <c r="Q35" i="2"/>
  <c r="D79" i="2"/>
  <c r="C56" i="2"/>
  <c r="G68" i="2"/>
  <c r="N26" i="2"/>
  <c r="H21" i="2"/>
  <c r="H12" i="2"/>
  <c r="H54" i="2" s="1"/>
  <c r="C84" i="2"/>
  <c r="D76" i="2"/>
  <c r="F24" i="2"/>
  <c r="D84" i="2"/>
  <c r="F39" i="2"/>
  <c r="E24" i="2"/>
  <c r="M25" i="2"/>
  <c r="N37" i="2"/>
  <c r="G59" i="2"/>
  <c r="G16" i="2"/>
  <c r="N17" i="2"/>
  <c r="D63" i="2"/>
  <c r="D29" i="2"/>
  <c r="G14" i="4"/>
  <c r="D77" i="2"/>
  <c r="C83" i="2"/>
  <c r="Q41" i="2"/>
  <c r="L41" i="2"/>
  <c r="I68" i="2"/>
  <c r="H46" i="2"/>
  <c r="D78" i="2"/>
  <c r="C66" i="2"/>
  <c r="C79" i="2"/>
  <c r="G32" i="2"/>
  <c r="N33" i="2"/>
  <c r="D22" i="2"/>
  <c r="D20" i="2" s="1"/>
  <c r="D62" i="2" s="1"/>
  <c r="D56" i="2"/>
  <c r="C58" i="2"/>
  <c r="C78" i="2"/>
  <c r="H22" i="2"/>
  <c r="Q26" i="2"/>
  <c r="D46" i="2"/>
  <c r="D88" i="2" s="1"/>
  <c r="D89" i="2"/>
  <c r="C64" i="2"/>
  <c r="C30" i="2"/>
  <c r="I22" i="2"/>
  <c r="N48" i="2"/>
  <c r="C20" i="4"/>
  <c r="C39" i="2"/>
  <c r="C82" i="2"/>
  <c r="I24" i="2"/>
  <c r="I67" i="2"/>
  <c r="O25" i="2"/>
  <c r="N36" i="2"/>
  <c r="D24" i="2"/>
  <c r="D66" i="2" s="1"/>
  <c r="D67" i="2"/>
  <c r="E68" i="2"/>
  <c r="M26" i="2"/>
  <c r="C75" i="2"/>
  <c r="I39" i="2"/>
  <c r="C90" i="2"/>
  <c r="C55" i="2"/>
  <c r="C16" i="4"/>
  <c r="G46" i="2"/>
  <c r="N47" i="2"/>
  <c r="C76" i="2"/>
  <c r="Q34" i="2"/>
  <c r="L34" i="2"/>
  <c r="D59" i="2"/>
  <c r="D16" i="2"/>
  <c r="D58" i="2" s="1"/>
  <c r="C89" i="2"/>
  <c r="O26" i="2"/>
  <c r="L14" i="2"/>
  <c r="H67" i="2"/>
  <c r="H24" i="2"/>
  <c r="S41" i="2"/>
  <c r="E67" i="2"/>
  <c r="D68" i="2"/>
  <c r="N15" i="4"/>
  <c r="Q37" i="2"/>
  <c r="O15" i="4"/>
  <c r="R35" i="2"/>
  <c r="L55" i="2" l="1"/>
  <c r="H90" i="2"/>
  <c r="H56" i="2"/>
  <c r="G89" i="2"/>
  <c r="H66" i="2"/>
  <c r="G90" i="2"/>
  <c r="L22" i="2"/>
  <c r="L64" i="2" s="1"/>
  <c r="H89" i="2"/>
  <c r="G75" i="2"/>
  <c r="G79" i="2"/>
  <c r="G20" i="4"/>
  <c r="G78" i="2"/>
  <c r="G83" i="2"/>
  <c r="L90" i="2"/>
  <c r="L89" i="2"/>
  <c r="H88" i="2"/>
  <c r="H79" i="2"/>
  <c r="L56" i="2"/>
  <c r="L24" i="2"/>
  <c r="L66" i="2" s="1"/>
  <c r="L83" i="2"/>
  <c r="N59" i="2"/>
  <c r="L78" i="2"/>
  <c r="L84" i="2"/>
  <c r="H74" i="2"/>
  <c r="L76" i="2"/>
  <c r="L60" i="2"/>
  <c r="N67" i="2"/>
  <c r="J24" i="2"/>
  <c r="O24" i="2" s="1"/>
  <c r="M37" i="2"/>
  <c r="R26" i="2"/>
  <c r="V26" i="2" s="1"/>
  <c r="L77" i="2"/>
  <c r="O35" i="2"/>
  <c r="O33" i="2"/>
  <c r="S33" i="2"/>
  <c r="R33" i="2"/>
  <c r="S37" i="2"/>
  <c r="R37" i="2"/>
  <c r="O37" i="2"/>
  <c r="O48" i="2"/>
  <c r="R48" i="2"/>
  <c r="S48" i="2"/>
  <c r="U35" i="2"/>
  <c r="V35" i="2"/>
  <c r="G16" i="4"/>
  <c r="I54" i="2"/>
  <c r="I88" i="2"/>
  <c r="Q24" i="2"/>
  <c r="H78" i="2"/>
  <c r="M24" i="2"/>
  <c r="S26" i="2"/>
  <c r="G54" i="2"/>
  <c r="N12" i="2"/>
  <c r="N54" i="2" s="1"/>
  <c r="C62" i="2"/>
  <c r="L20" i="2"/>
  <c r="L62" i="2" s="1"/>
  <c r="G56" i="2"/>
  <c r="G82" i="2"/>
  <c r="G66" i="2"/>
  <c r="N24" i="2"/>
  <c r="I58" i="2"/>
  <c r="H75" i="2"/>
  <c r="H76" i="2"/>
  <c r="I77" i="2"/>
  <c r="L15" i="4"/>
  <c r="G63" i="2"/>
  <c r="G29" i="2"/>
  <c r="G20" i="2"/>
  <c r="N21" i="2"/>
  <c r="N63" i="2" s="1"/>
  <c r="G64" i="2"/>
  <c r="G30" i="2"/>
  <c r="N22" i="2"/>
  <c r="N64" i="2" s="1"/>
  <c r="N60" i="2"/>
  <c r="Q13" i="2"/>
  <c r="I74" i="2"/>
  <c r="D39" i="2"/>
  <c r="D81" i="2" s="1"/>
  <c r="D82" i="2"/>
  <c r="S15" i="4"/>
  <c r="L46" i="2"/>
  <c r="L88" i="2" s="1"/>
  <c r="M42" i="2"/>
  <c r="I79" i="2"/>
  <c r="I84" i="2"/>
  <c r="S35" i="2"/>
  <c r="H83" i="2"/>
  <c r="H84" i="2"/>
  <c r="E21" i="2"/>
  <c r="C81" i="2"/>
  <c r="C72" i="2"/>
  <c r="N68" i="2"/>
  <c r="I66" i="2"/>
  <c r="I56" i="2"/>
  <c r="L16" i="2"/>
  <c r="L58" i="2" s="1"/>
  <c r="R15" i="4"/>
  <c r="G58" i="2"/>
  <c r="N16" i="2"/>
  <c r="H58" i="2"/>
  <c r="L79" i="2"/>
  <c r="G84" i="2"/>
  <c r="H77" i="2"/>
  <c r="O41" i="2"/>
  <c r="C71" i="2"/>
  <c r="C28" i="2"/>
  <c r="L29" i="2"/>
  <c r="L71" i="2" s="1"/>
  <c r="G81" i="2"/>
  <c r="N39" i="2"/>
  <c r="G88" i="2"/>
  <c r="N46" i="2"/>
  <c r="I82" i="2"/>
  <c r="Q40" i="2"/>
  <c r="I90" i="2"/>
  <c r="J68" i="2"/>
  <c r="D71" i="2"/>
  <c r="H55" i="2"/>
  <c r="I55" i="2"/>
  <c r="R34" i="2"/>
  <c r="H81" i="2"/>
  <c r="I83" i="2"/>
  <c r="O34" i="2"/>
  <c r="I81" i="2"/>
  <c r="L40" i="2"/>
  <c r="L82" i="2" s="1"/>
  <c r="I30" i="2"/>
  <c r="I64" i="2"/>
  <c r="H64" i="2"/>
  <c r="H30" i="2"/>
  <c r="H72" i="2" s="1"/>
  <c r="G74" i="2"/>
  <c r="N32" i="2"/>
  <c r="U25" i="2"/>
  <c r="V25" i="2"/>
  <c r="S34" i="2"/>
  <c r="E39" i="2"/>
  <c r="G77" i="2"/>
  <c r="I89" i="2"/>
  <c r="H82" i="2"/>
  <c r="E12" i="2"/>
  <c r="E74" i="2" s="1"/>
  <c r="C21" i="4"/>
  <c r="C18" i="4"/>
  <c r="I78" i="2"/>
  <c r="I76" i="2"/>
  <c r="D64" i="2"/>
  <c r="D30" i="2"/>
  <c r="D72" i="2" s="1"/>
  <c r="L68" i="2"/>
  <c r="H63" i="2"/>
  <c r="H20" i="2"/>
  <c r="H62" i="2" s="1"/>
  <c r="H29" i="2"/>
  <c r="I63" i="2"/>
  <c r="I29" i="2"/>
  <c r="I20" i="2"/>
  <c r="G76" i="2"/>
  <c r="L75" i="2"/>
  <c r="R41" i="2"/>
  <c r="I75" i="2"/>
  <c r="L32" i="2"/>
  <c r="L74" i="2" s="1"/>
  <c r="C38" i="4"/>
  <c r="C41" i="4" s="1"/>
  <c r="N88" i="2" l="1"/>
  <c r="Q39" i="2"/>
  <c r="M13" i="2"/>
  <c r="M67" i="2" s="1"/>
  <c r="R24" i="2"/>
  <c r="S24" i="2"/>
  <c r="U26" i="2"/>
  <c r="N84" i="2"/>
  <c r="N90" i="2"/>
  <c r="N81" i="2"/>
  <c r="D28" i="2"/>
  <c r="L28" i="2" s="1"/>
  <c r="L70" i="2" s="1"/>
  <c r="N56" i="2"/>
  <c r="L39" i="2"/>
  <c r="L81" i="2" s="1"/>
  <c r="L30" i="2"/>
  <c r="L72" i="2" s="1"/>
  <c r="N76" i="2"/>
  <c r="Q18" i="2"/>
  <c r="U41" i="2"/>
  <c r="V41" i="2"/>
  <c r="E55" i="2"/>
  <c r="J59" i="2"/>
  <c r="J16" i="2"/>
  <c r="S17" i="2"/>
  <c r="O17" i="2"/>
  <c r="R17" i="2"/>
  <c r="J39" i="2"/>
  <c r="S40" i="2"/>
  <c r="R40" i="2"/>
  <c r="O40" i="2"/>
  <c r="G72" i="2"/>
  <c r="N30" i="2"/>
  <c r="N72" i="2" s="1"/>
  <c r="H71" i="2"/>
  <c r="H28" i="2"/>
  <c r="E54" i="2"/>
  <c r="E76" i="2"/>
  <c r="E78" i="2"/>
  <c r="E83" i="2"/>
  <c r="E82" i="2"/>
  <c r="E75" i="2"/>
  <c r="E77" i="2"/>
  <c r="E56" i="2"/>
  <c r="E79" i="2"/>
  <c r="I72" i="2"/>
  <c r="S18" i="2"/>
  <c r="J60" i="2"/>
  <c r="O18" i="2"/>
  <c r="R18" i="2"/>
  <c r="N13" i="4"/>
  <c r="N55" i="2"/>
  <c r="E29" i="2"/>
  <c r="E63" i="2"/>
  <c r="N74" i="2"/>
  <c r="N58" i="2"/>
  <c r="N75" i="2"/>
  <c r="N89" i="2"/>
  <c r="J46" i="2"/>
  <c r="O47" i="2"/>
  <c r="R47" i="2"/>
  <c r="S47" i="2"/>
  <c r="V33" i="2"/>
  <c r="U33" i="2"/>
  <c r="I62" i="2"/>
  <c r="C22" i="4"/>
  <c r="N77" i="2"/>
  <c r="N78" i="2"/>
  <c r="N82" i="2"/>
  <c r="Q48" i="2"/>
  <c r="V48" i="2" s="1"/>
  <c r="N83" i="2"/>
  <c r="I71" i="2"/>
  <c r="I28" i="2"/>
  <c r="V34" i="2"/>
  <c r="U34" i="2"/>
  <c r="S13" i="2"/>
  <c r="J21" i="2"/>
  <c r="J12" i="2"/>
  <c r="J89" i="2" s="1"/>
  <c r="O13" i="2"/>
  <c r="R13" i="2"/>
  <c r="J67" i="2"/>
  <c r="M36" i="2"/>
  <c r="Q36" i="2"/>
  <c r="F32" i="2"/>
  <c r="E59" i="2"/>
  <c r="E16" i="2"/>
  <c r="G62" i="2"/>
  <c r="N20" i="2"/>
  <c r="N62" i="2" s="1"/>
  <c r="M48" i="2"/>
  <c r="F12" i="2"/>
  <c r="M12" i="2" s="1"/>
  <c r="M17" i="2"/>
  <c r="Q67" i="2"/>
  <c r="S14" i="2"/>
  <c r="S68" i="2" s="1"/>
  <c r="J22" i="2"/>
  <c r="R14" i="2"/>
  <c r="O14" i="2"/>
  <c r="S36" i="2"/>
  <c r="R36" i="2"/>
  <c r="O36" i="2"/>
  <c r="F67" i="2"/>
  <c r="G28" i="2"/>
  <c r="G71" i="2"/>
  <c r="N29" i="2"/>
  <c r="N71" i="2" s="1"/>
  <c r="E90" i="2"/>
  <c r="V24" i="2"/>
  <c r="U24" i="2"/>
  <c r="E66" i="2"/>
  <c r="R42" i="2"/>
  <c r="S42" i="2"/>
  <c r="O42" i="2"/>
  <c r="G18" i="4"/>
  <c r="G21" i="4"/>
  <c r="J32" i="2"/>
  <c r="E60" i="2"/>
  <c r="M18" i="2"/>
  <c r="E22" i="2"/>
  <c r="E20" i="2" s="1"/>
  <c r="L13" i="4"/>
  <c r="E81" i="2"/>
  <c r="M39" i="2"/>
  <c r="E46" i="2"/>
  <c r="E89" i="2"/>
  <c r="C70" i="2"/>
  <c r="C44" i="2"/>
  <c r="N79" i="2"/>
  <c r="E84" i="2"/>
  <c r="N66" i="2"/>
  <c r="U37" i="2"/>
  <c r="V37" i="2"/>
  <c r="M15" i="4"/>
  <c r="M59" i="2" l="1"/>
  <c r="J56" i="2"/>
  <c r="J78" i="2"/>
  <c r="J82" i="2"/>
  <c r="J84" i="2"/>
  <c r="J55" i="2"/>
  <c r="D44" i="2"/>
  <c r="L44" i="2" s="1"/>
  <c r="L86" i="2" s="1"/>
  <c r="D70" i="2"/>
  <c r="E62" i="2"/>
  <c r="M54" i="2"/>
  <c r="M79" i="2"/>
  <c r="M77" i="2"/>
  <c r="M76" i="2"/>
  <c r="M75" i="2"/>
  <c r="M82" i="2"/>
  <c r="M83" i="2"/>
  <c r="M66" i="2"/>
  <c r="M84" i="2"/>
  <c r="M55" i="2"/>
  <c r="M90" i="2"/>
  <c r="M81" i="2"/>
  <c r="U48" i="2"/>
  <c r="U36" i="2"/>
  <c r="V36" i="2"/>
  <c r="J81" i="2"/>
  <c r="S39" i="2"/>
  <c r="O39" i="2"/>
  <c r="R39" i="2"/>
  <c r="U13" i="2"/>
  <c r="V13" i="2"/>
  <c r="R67" i="2"/>
  <c r="V67" i="2" s="1"/>
  <c r="D50" i="2"/>
  <c r="D92" i="2" s="1"/>
  <c r="O68" i="2"/>
  <c r="F22" i="2"/>
  <c r="M22" i="2" s="1"/>
  <c r="F56" i="2"/>
  <c r="Q14" i="2"/>
  <c r="U14" i="2" s="1"/>
  <c r="M14" i="2"/>
  <c r="M60" i="2" s="1"/>
  <c r="F68" i="2"/>
  <c r="F74" i="2"/>
  <c r="Q32" i="2"/>
  <c r="M32" i="2"/>
  <c r="M74" i="2" s="1"/>
  <c r="J54" i="2"/>
  <c r="J75" i="2"/>
  <c r="R12" i="2"/>
  <c r="R56" i="2" s="1"/>
  <c r="S12" i="2"/>
  <c r="S89" i="2" s="1"/>
  <c r="J83" i="2"/>
  <c r="J90" i="2"/>
  <c r="J79" i="2"/>
  <c r="J76" i="2"/>
  <c r="O12" i="2"/>
  <c r="O56" i="2" s="1"/>
  <c r="J66" i="2"/>
  <c r="J77" i="2"/>
  <c r="I70" i="2"/>
  <c r="I44" i="2"/>
  <c r="R59" i="2"/>
  <c r="F60" i="2"/>
  <c r="F54" i="2"/>
  <c r="F77" i="2"/>
  <c r="F76" i="2"/>
  <c r="F75" i="2"/>
  <c r="F84" i="2"/>
  <c r="F83" i="2"/>
  <c r="F82" i="2"/>
  <c r="F79" i="2"/>
  <c r="F66" i="2"/>
  <c r="F81" i="2"/>
  <c r="F46" i="2"/>
  <c r="F88" i="2" s="1"/>
  <c r="F89" i="2"/>
  <c r="Q12" i="2"/>
  <c r="Q78" i="2" s="1"/>
  <c r="E64" i="2"/>
  <c r="E30" i="2"/>
  <c r="E28" i="2" s="1"/>
  <c r="G70" i="2"/>
  <c r="N28" i="2"/>
  <c r="N70" i="2" s="1"/>
  <c r="G44" i="2"/>
  <c r="R68" i="2"/>
  <c r="J63" i="2"/>
  <c r="J29" i="2"/>
  <c r="J20" i="2"/>
  <c r="S21" i="2"/>
  <c r="S63" i="2" s="1"/>
  <c r="O21" i="2"/>
  <c r="O63" i="2" s="1"/>
  <c r="R21" i="2"/>
  <c r="V18" i="2"/>
  <c r="R60" i="2"/>
  <c r="U18" i="2"/>
  <c r="O59" i="2"/>
  <c r="J74" i="2"/>
  <c r="S32" i="2"/>
  <c r="O32" i="2"/>
  <c r="R32" i="2"/>
  <c r="C86" i="2"/>
  <c r="C50" i="2"/>
  <c r="U42" i="2"/>
  <c r="V42" i="2"/>
  <c r="E58" i="2"/>
  <c r="O67" i="2"/>
  <c r="Q47" i="2"/>
  <c r="F16" i="2"/>
  <c r="F58" i="2" s="1"/>
  <c r="F59" i="2"/>
  <c r="M78" i="2"/>
  <c r="S67" i="2"/>
  <c r="E71" i="2"/>
  <c r="O60" i="2"/>
  <c r="H70" i="2"/>
  <c r="H44" i="2"/>
  <c r="S59" i="2"/>
  <c r="E88" i="2"/>
  <c r="M47" i="2"/>
  <c r="M89" i="2" s="1"/>
  <c r="G22" i="4"/>
  <c r="F55" i="2"/>
  <c r="J64" i="2"/>
  <c r="J30" i="2"/>
  <c r="R22" i="2"/>
  <c r="S22" i="2"/>
  <c r="S64" i="2" s="1"/>
  <c r="O22" i="2"/>
  <c r="O64" i="2" s="1"/>
  <c r="F78" i="2"/>
  <c r="O46" i="2"/>
  <c r="J88" i="2"/>
  <c r="S46" i="2"/>
  <c r="R46" i="2"/>
  <c r="O16" i="2"/>
  <c r="J58" i="2"/>
  <c r="R16" i="2"/>
  <c r="S16" i="2"/>
  <c r="F90" i="2"/>
  <c r="F21" i="2"/>
  <c r="Q17" i="2"/>
  <c r="Q59" i="2" s="1"/>
  <c r="S60" i="2"/>
  <c r="U40" i="2"/>
  <c r="V40" i="2"/>
  <c r="Q15" i="4"/>
  <c r="M13" i="4"/>
  <c r="D86" i="2" l="1"/>
  <c r="O84" i="2"/>
  <c r="S58" i="2"/>
  <c r="O89" i="2"/>
  <c r="Q46" i="2"/>
  <c r="Q88" i="2" s="1"/>
  <c r="R84" i="2"/>
  <c r="Q60" i="2"/>
  <c r="V60" i="2" s="1"/>
  <c r="V14" i="2"/>
  <c r="O78" i="2"/>
  <c r="O74" i="2"/>
  <c r="S56" i="2"/>
  <c r="S74" i="2"/>
  <c r="M64" i="2"/>
  <c r="S82" i="2"/>
  <c r="O88" i="2"/>
  <c r="Q90" i="2"/>
  <c r="S78" i="2"/>
  <c r="Q89" i="2"/>
  <c r="U47" i="2"/>
  <c r="Q22" i="2"/>
  <c r="Q64" i="2" s="1"/>
  <c r="O55" i="2"/>
  <c r="S81" i="2"/>
  <c r="S84" i="2"/>
  <c r="O58" i="2"/>
  <c r="S55" i="2"/>
  <c r="R55" i="2"/>
  <c r="O82" i="2"/>
  <c r="Q74" i="2"/>
  <c r="R82" i="2"/>
  <c r="S88" i="2"/>
  <c r="V46" i="2"/>
  <c r="R88" i="2"/>
  <c r="M46" i="2"/>
  <c r="M88" i="2" s="1"/>
  <c r="Q16" i="2"/>
  <c r="Q58" i="2" s="1"/>
  <c r="I50" i="2"/>
  <c r="I86" i="2"/>
  <c r="J71" i="2"/>
  <c r="J28" i="2"/>
  <c r="R29" i="2"/>
  <c r="S29" i="2"/>
  <c r="S71" i="2" s="1"/>
  <c r="O29" i="2"/>
  <c r="O71" i="2" s="1"/>
  <c r="G86" i="2"/>
  <c r="G50" i="2"/>
  <c r="N44" i="2"/>
  <c r="N86" i="2" s="1"/>
  <c r="R64" i="2"/>
  <c r="M16" i="2"/>
  <c r="M58" i="2" s="1"/>
  <c r="C92" i="2"/>
  <c r="L50" i="2"/>
  <c r="L92" i="2" s="1"/>
  <c r="J72" i="2"/>
  <c r="O30" i="2"/>
  <c r="O72" i="2" s="1"/>
  <c r="S30" i="2"/>
  <c r="S72" i="2" s="1"/>
  <c r="R30" i="2"/>
  <c r="E70" i="2"/>
  <c r="E44" i="2"/>
  <c r="Q54" i="2"/>
  <c r="Q77" i="2"/>
  <c r="Q83" i="2"/>
  <c r="Q76" i="2"/>
  <c r="Q79" i="2"/>
  <c r="Q84" i="2"/>
  <c r="Q75" i="2"/>
  <c r="Q82" i="2"/>
  <c r="Q66" i="2"/>
  <c r="Q55" i="2"/>
  <c r="Q81" i="2"/>
  <c r="U17" i="2"/>
  <c r="S54" i="2"/>
  <c r="S83" i="2"/>
  <c r="S79" i="2"/>
  <c r="S90" i="2"/>
  <c r="S66" i="2"/>
  <c r="S76" i="2"/>
  <c r="S77" i="2"/>
  <c r="S75" i="2"/>
  <c r="M56" i="2"/>
  <c r="M68" i="2"/>
  <c r="Q13" i="4"/>
  <c r="R58" i="2"/>
  <c r="R74" i="2"/>
  <c r="V32" i="2"/>
  <c r="U32" i="2"/>
  <c r="R63" i="2"/>
  <c r="V59" i="2"/>
  <c r="V12" i="2"/>
  <c r="U12" i="2"/>
  <c r="R54" i="2"/>
  <c r="R77" i="2"/>
  <c r="R83" i="2"/>
  <c r="R75" i="2"/>
  <c r="R90" i="2"/>
  <c r="R66" i="2"/>
  <c r="R76" i="2"/>
  <c r="R79" i="2"/>
  <c r="Q56" i="2"/>
  <c r="V56" i="2" s="1"/>
  <c r="Q68" i="2"/>
  <c r="V68" i="2" s="1"/>
  <c r="R81" i="2"/>
  <c r="V39" i="2"/>
  <c r="U39" i="2"/>
  <c r="R78" i="2"/>
  <c r="V78" i="2" s="1"/>
  <c r="U15" i="4"/>
  <c r="V15" i="4"/>
  <c r="V17" i="2"/>
  <c r="O81" i="2"/>
  <c r="O13" i="4"/>
  <c r="S13" i="4"/>
  <c r="R13" i="4"/>
  <c r="H50" i="2"/>
  <c r="H92" i="2" s="1"/>
  <c r="H86" i="2"/>
  <c r="E72" i="2"/>
  <c r="R89" i="2"/>
  <c r="V89" i="2" s="1"/>
  <c r="O54" i="2"/>
  <c r="O77" i="2"/>
  <c r="O66" i="2"/>
  <c r="O83" i="2"/>
  <c r="O75" i="2"/>
  <c r="O76" i="2"/>
  <c r="O79" i="2"/>
  <c r="O90" i="2"/>
  <c r="F64" i="2"/>
  <c r="F30" i="2"/>
  <c r="F72" i="2" s="1"/>
  <c r="F63" i="2"/>
  <c r="F20" i="2"/>
  <c r="F29" i="2"/>
  <c r="Q21" i="2"/>
  <c r="Q63" i="2" s="1"/>
  <c r="M21" i="2"/>
  <c r="M63" i="2" s="1"/>
  <c r="J62" i="2"/>
  <c r="S20" i="2"/>
  <c r="S62" i="2" s="1"/>
  <c r="O20" i="2"/>
  <c r="O62" i="2" s="1"/>
  <c r="R20" i="2"/>
  <c r="V47" i="2"/>
  <c r="V79" i="2" l="1"/>
  <c r="V76" i="2"/>
  <c r="V90" i="2"/>
  <c r="V64" i="2"/>
  <c r="U16" i="2"/>
  <c r="V22" i="2"/>
  <c r="U46" i="2"/>
  <c r="V54" i="2"/>
  <c r="V84" i="2"/>
  <c r="V66" i="2"/>
  <c r="V88" i="2"/>
  <c r="V81" i="2"/>
  <c r="V83" i="2"/>
  <c r="V58" i="2"/>
  <c r="V16" i="2"/>
  <c r="V13" i="4"/>
  <c r="V74" i="2"/>
  <c r="U22" i="2"/>
  <c r="V55" i="2"/>
  <c r="V82" i="2"/>
  <c r="V21" i="2"/>
  <c r="U21" i="2"/>
  <c r="E50" i="2"/>
  <c r="E86" i="2"/>
  <c r="Q30" i="2"/>
  <c r="Q72" i="2" s="1"/>
  <c r="V77" i="2"/>
  <c r="V63" i="2"/>
  <c r="N50" i="2"/>
  <c r="N92" i="2" s="1"/>
  <c r="G92" i="2"/>
  <c r="M30" i="2"/>
  <c r="M72" i="2" s="1"/>
  <c r="I92" i="2"/>
  <c r="F71" i="2"/>
  <c r="F28" i="2"/>
  <c r="M29" i="2"/>
  <c r="M71" i="2" s="1"/>
  <c r="Q29" i="2"/>
  <c r="Q71" i="2" s="1"/>
  <c r="R72" i="2"/>
  <c r="F62" i="2"/>
  <c r="M20" i="2"/>
  <c r="M62" i="2" s="1"/>
  <c r="Q20" i="2"/>
  <c r="Q62" i="2" s="1"/>
  <c r="R62" i="2"/>
  <c r="J20" i="4"/>
  <c r="J14" i="4"/>
  <c r="J16" i="4" s="1"/>
  <c r="R71" i="2"/>
  <c r="S28" i="2"/>
  <c r="S70" i="2" s="1"/>
  <c r="J70" i="2"/>
  <c r="J44" i="2"/>
  <c r="O28" i="2"/>
  <c r="O70" i="2" s="1"/>
  <c r="R28" i="2"/>
  <c r="V75" i="2"/>
  <c r="U13" i="4"/>
  <c r="V30" i="2" l="1"/>
  <c r="U20" i="2"/>
  <c r="V72" i="2"/>
  <c r="U30" i="2"/>
  <c r="V20" i="2"/>
  <c r="J86" i="2"/>
  <c r="J50" i="2"/>
  <c r="R44" i="2"/>
  <c r="S44" i="2"/>
  <c r="S86" i="2" s="1"/>
  <c r="O44" i="2"/>
  <c r="O86" i="2" s="1"/>
  <c r="V62" i="2"/>
  <c r="F70" i="2"/>
  <c r="F44" i="2"/>
  <c r="Q28" i="2"/>
  <c r="Q70" i="2" s="1"/>
  <c r="M28" i="2"/>
  <c r="M70" i="2" s="1"/>
  <c r="U29" i="2"/>
  <c r="E92" i="2"/>
  <c r="V29" i="2"/>
  <c r="V71" i="2"/>
  <c r="R70" i="2"/>
  <c r="V28" i="2"/>
  <c r="J18" i="4"/>
  <c r="J22" i="4" s="1"/>
  <c r="J21" i="4"/>
  <c r="U28" i="2" l="1"/>
  <c r="V70" i="2"/>
  <c r="D14" i="4"/>
  <c r="D20" i="4"/>
  <c r="L12" i="4"/>
  <c r="L20" i="4" s="1"/>
  <c r="R86" i="2"/>
  <c r="J92" i="2"/>
  <c r="S50" i="2"/>
  <c r="S92" i="2" s="1"/>
  <c r="R50" i="2"/>
  <c r="O50" i="2"/>
  <c r="O92" i="2" s="1"/>
  <c r="R12" i="4"/>
  <c r="H14" i="4"/>
  <c r="H20" i="4"/>
  <c r="N12" i="4"/>
  <c r="N20" i="4" s="1"/>
  <c r="F50" i="2"/>
  <c r="F86" i="2"/>
  <c r="M44" i="2"/>
  <c r="M86" i="2" s="1"/>
  <c r="Q44" i="2"/>
  <c r="Q86" i="2" s="1"/>
  <c r="U44" i="2" l="1"/>
  <c r="V44" i="2"/>
  <c r="V86" i="2"/>
  <c r="R92" i="2"/>
  <c r="O33" i="4"/>
  <c r="J35" i="4"/>
  <c r="R33" i="4"/>
  <c r="S33" i="4"/>
  <c r="H16" i="4"/>
  <c r="N14" i="4"/>
  <c r="D16" i="4"/>
  <c r="L14" i="4"/>
  <c r="F92" i="2"/>
  <c r="M50" i="2"/>
  <c r="M92" i="2" s="1"/>
  <c r="Q50" i="2"/>
  <c r="Q92" i="2" s="1"/>
  <c r="R20" i="4"/>
  <c r="I14" i="4"/>
  <c r="S14" i="4" s="1"/>
  <c r="I20" i="4"/>
  <c r="O12" i="4"/>
  <c r="O20" i="4" s="1"/>
  <c r="D35" i="4"/>
  <c r="L35" i="4" s="1"/>
  <c r="L33" i="4"/>
  <c r="E14" i="4"/>
  <c r="E20" i="4"/>
  <c r="Q12" i="4"/>
  <c r="S12" i="4"/>
  <c r="S20" i="4" s="1"/>
  <c r="E35" i="4"/>
  <c r="H35" i="4" l="1"/>
  <c r="N35" i="4" s="1"/>
  <c r="R14" i="4"/>
  <c r="G35" i="4"/>
  <c r="M12" i="4"/>
  <c r="M20" i="4" s="1"/>
  <c r="Q20" i="4"/>
  <c r="V20" i="4" s="1"/>
  <c r="U12" i="4"/>
  <c r="V12" i="4"/>
  <c r="M33" i="4"/>
  <c r="R35" i="4"/>
  <c r="O35" i="4"/>
  <c r="S35" i="4"/>
  <c r="N33" i="4"/>
  <c r="L36" i="4"/>
  <c r="F20" i="4"/>
  <c r="F14" i="4"/>
  <c r="F16" i="4" s="1"/>
  <c r="I16" i="4"/>
  <c r="S16" i="4" s="1"/>
  <c r="S21" i="4" s="1"/>
  <c r="O14" i="4"/>
  <c r="H18" i="4"/>
  <c r="H21" i="4"/>
  <c r="N16" i="4"/>
  <c r="N21" i="4" s="1"/>
  <c r="S36" i="4"/>
  <c r="O36" i="4"/>
  <c r="R36" i="4"/>
  <c r="D18" i="4"/>
  <c r="D21" i="4"/>
  <c r="L16" i="4"/>
  <c r="L21" i="4" s="1"/>
  <c r="U50" i="2"/>
  <c r="V50" i="2"/>
  <c r="E16" i="4"/>
  <c r="V92" i="2"/>
  <c r="I35" i="4" l="1"/>
  <c r="M36" i="4"/>
  <c r="R16" i="4"/>
  <c r="R21" i="4" s="1"/>
  <c r="F35" i="4"/>
  <c r="Q35" i="4" s="1"/>
  <c r="V35" i="4" s="1"/>
  <c r="Q33" i="4"/>
  <c r="N36" i="4"/>
  <c r="M16" i="4"/>
  <c r="M21" i="4" s="1"/>
  <c r="E21" i="4"/>
  <c r="E18" i="4"/>
  <c r="M35" i="4"/>
  <c r="I38" i="4"/>
  <c r="I41" i="4" s="1"/>
  <c r="M14" i="4"/>
  <c r="D22" i="4"/>
  <c r="L18" i="4"/>
  <c r="L22" i="4" s="1"/>
  <c r="H22" i="4"/>
  <c r="N18" i="4"/>
  <c r="N22" i="4" s="1"/>
  <c r="I21" i="4"/>
  <c r="I18" i="4"/>
  <c r="R18" i="4" s="1"/>
  <c r="O16" i="4"/>
  <c r="O21" i="4" s="1"/>
  <c r="F21" i="4"/>
  <c r="F18" i="4"/>
  <c r="F22" i="4" s="1"/>
  <c r="Q16" i="4"/>
  <c r="Q21" i="4" s="1"/>
  <c r="Q14" i="4"/>
  <c r="E38" i="4"/>
  <c r="E41" i="4" s="1"/>
  <c r="G38" i="4"/>
  <c r="G41" i="4" s="1"/>
  <c r="V21" i="4" l="1"/>
  <c r="Q36" i="4"/>
  <c r="U33" i="4"/>
  <c r="V33" i="4"/>
  <c r="U16" i="4"/>
  <c r="S18" i="4"/>
  <c r="S22" i="4" s="1"/>
  <c r="V16" i="4"/>
  <c r="R22" i="4"/>
  <c r="M18" i="4"/>
  <c r="M22" i="4" s="1"/>
  <c r="E22" i="4"/>
  <c r="L37" i="4"/>
  <c r="D38" i="4"/>
  <c r="Q18" i="4"/>
  <c r="Q22" i="4" s="1"/>
  <c r="U14" i="4"/>
  <c r="V14" i="4"/>
  <c r="O37" i="4"/>
  <c r="S37" i="4"/>
  <c r="R37" i="4"/>
  <c r="J38" i="4"/>
  <c r="I22" i="4"/>
  <c r="O18" i="4"/>
  <c r="O22" i="4" s="1"/>
  <c r="V22" i="4" l="1"/>
  <c r="V36" i="4"/>
  <c r="U36" i="4"/>
  <c r="N37" i="4"/>
  <c r="H38" i="4"/>
  <c r="L38" i="4"/>
  <c r="D41" i="4"/>
  <c r="L41" i="4" s="1"/>
  <c r="S38" i="4"/>
  <c r="R38" i="4"/>
  <c r="O38" i="4"/>
  <c r="J41" i="4"/>
  <c r="Q37" i="4"/>
  <c r="V37" i="4" s="1"/>
  <c r="M37" i="4"/>
  <c r="F38" i="4"/>
  <c r="U18" i="4"/>
  <c r="V18" i="4"/>
  <c r="U37" i="4" l="1"/>
  <c r="O41" i="4"/>
  <c r="R41" i="4"/>
  <c r="S41" i="4"/>
  <c r="Q38" i="4"/>
  <c r="U38" i="4" s="1"/>
  <c r="F41" i="4"/>
  <c r="M38" i="4"/>
  <c r="N38" i="4"/>
  <c r="H41" i="4"/>
  <c r="N41" i="4" s="1"/>
  <c r="V38" i="4" l="1"/>
  <c r="Q41" i="4"/>
  <c r="V41" i="4" s="1"/>
  <c r="M41" i="4"/>
</calcChain>
</file>

<file path=xl/sharedStrings.xml><?xml version="1.0" encoding="utf-8"?>
<sst xmlns="http://schemas.openxmlformats.org/spreadsheetml/2006/main" count="334" uniqueCount="247">
  <si>
    <t>Ano</t>
  </si>
  <si>
    <t>Semestre</t>
  </si>
  <si>
    <t>Data base</t>
  </si>
  <si>
    <t>R$ milhões (exceto quando indicado)</t>
  </si>
  <si>
    <t>Demonstração do resultado do exercício</t>
  </si>
  <si>
    <t>Receita líquida de vendas e prestação de serviços</t>
  </si>
  <si>
    <t>Receita de vendas e prestação de serviços do varejo automotivo</t>
  </si>
  <si>
    <t xml:space="preserve">Receita de serviços financeiros </t>
  </si>
  <si>
    <t>1S20</t>
  </si>
  <si>
    <t>2S20</t>
  </si>
  <si>
    <t>1S21</t>
  </si>
  <si>
    <t>2S21</t>
  </si>
  <si>
    <t>Custo das vendas e serviços prestados</t>
  </si>
  <si>
    <t>Custo das vendas e serviços prestados do varejo automotivo</t>
  </si>
  <si>
    <t>Custo de serviços financeiros</t>
  </si>
  <si>
    <t>Lucro bruto</t>
  </si>
  <si>
    <t>Lucro bruto do varejo automotivo</t>
  </si>
  <si>
    <t>Lucro bruto de serviços financeiros</t>
  </si>
  <si>
    <t>Despesas com vendas do varejo automotivo</t>
  </si>
  <si>
    <t>Despesas com vendas de serviços financeiros</t>
  </si>
  <si>
    <t>Despesas com vendas</t>
  </si>
  <si>
    <t>Despesas (receitas) operacionais</t>
  </si>
  <si>
    <t>Margem de contribuição</t>
  </si>
  <si>
    <t>Margem de contribuição do varejo automotivo</t>
  </si>
  <si>
    <t>Margem de contribuição de serviços financeiros</t>
  </si>
  <si>
    <t>Despesas administrativas</t>
  </si>
  <si>
    <t>Provisões</t>
  </si>
  <si>
    <t>Depreciação e amortização</t>
  </si>
  <si>
    <t>Outras receitas (despesas) operacionais, líquidas</t>
  </si>
  <si>
    <t>Resultado de participações societárias</t>
  </si>
  <si>
    <t>Resultado financeiro</t>
  </si>
  <si>
    <t>Variações monetárias líquidas</t>
  </si>
  <si>
    <t>Lucro antes do imposto de renda e da contribuição social</t>
  </si>
  <si>
    <t xml:space="preserve">Correntes </t>
  </si>
  <si>
    <t>Diferidos</t>
  </si>
  <si>
    <t>Lucro líquido do período</t>
  </si>
  <si>
    <t>Imposto de renda e contribuição social</t>
  </si>
  <si>
    <t>Balanço patrimonial</t>
  </si>
  <si>
    <t>Ativo total</t>
  </si>
  <si>
    <t>Circulante</t>
  </si>
  <si>
    <t>Caixa e equivalentes de caixa</t>
  </si>
  <si>
    <t>Aplicações financeiras, interfinanceiras e títulos e valores mobiliários</t>
  </si>
  <si>
    <t>Instrumentos financeiros - derivativos</t>
  </si>
  <si>
    <t>Contas a receber de clientes</t>
  </si>
  <si>
    <t>Títulos e créditos a receber</t>
  </si>
  <si>
    <t>Operações de crédito</t>
  </si>
  <si>
    <t>Estoques</t>
  </si>
  <si>
    <t>Contas correntes com fabricantes</t>
  </si>
  <si>
    <t>Tributos a recuperar</t>
  </si>
  <si>
    <t>Cotas de consórcio adquiridas</t>
  </si>
  <si>
    <t>Outros ativos</t>
  </si>
  <si>
    <t>Não circulante</t>
  </si>
  <si>
    <t>Partes relacionadas</t>
  </si>
  <si>
    <t>Créditos com grupos de consórcios</t>
  </si>
  <si>
    <t>Depósitos judiciais</t>
  </si>
  <si>
    <t>Tributos diferidos</t>
  </si>
  <si>
    <t>Intangível</t>
  </si>
  <si>
    <t>Imobilizado de arrendamento</t>
  </si>
  <si>
    <t>Imobilizado de uso</t>
  </si>
  <si>
    <t>Direito de uso de ativos</t>
  </si>
  <si>
    <t>Passivo e patrimônio líquido</t>
  </si>
  <si>
    <t>Passivo total</t>
  </si>
  <si>
    <t>Fornecedores</t>
  </si>
  <si>
    <t>Empréstimos e financiamentos</t>
  </si>
  <si>
    <t>Depósitos</t>
  </si>
  <si>
    <t>Recursos de aceites e emissão de títulos</t>
  </si>
  <si>
    <t>Obrigações por empréstimos e repasses</t>
  </si>
  <si>
    <t>Salários e contribuições sociais</t>
  </si>
  <si>
    <t>Tributos a recolher</t>
  </si>
  <si>
    <t>Adiantamentos de clientes</t>
  </si>
  <si>
    <t>Credores diversos</t>
  </si>
  <si>
    <t>Passivo de arrendamento</t>
  </si>
  <si>
    <t>Outros passivos</t>
  </si>
  <si>
    <t>Provisões para contingências</t>
  </si>
  <si>
    <t>Patrimônio líquido</t>
  </si>
  <si>
    <t>Capital social</t>
  </si>
  <si>
    <t>Ajustes de avaliação patrimonial</t>
  </si>
  <si>
    <t>Ações em tesouraria</t>
  </si>
  <si>
    <t>Reservas de lucros</t>
  </si>
  <si>
    <t>Participação de sócios não controladores</t>
  </si>
  <si>
    <t>Ativo CirculanteCaixa e equivalentes de caixa</t>
  </si>
  <si>
    <t>Ativo Circulantee títulos e valores mobiliários</t>
  </si>
  <si>
    <t>Ativo CirculanteInstrumentos financeiros - derivativos</t>
  </si>
  <si>
    <t>Ativo CirculanteContas a receber de clientes</t>
  </si>
  <si>
    <t>Ativo CirculanteTítulos e créditos a receber</t>
  </si>
  <si>
    <t>Ativo CirculanteOperações de crédito</t>
  </si>
  <si>
    <t>Ativo CirculanteEstoques</t>
  </si>
  <si>
    <t>Ativo CirculanteContas correntes com fabricantes</t>
  </si>
  <si>
    <t>Ativo CirculanteTributos a recuperar</t>
  </si>
  <si>
    <t>Ativo CirculanteCotas de consórcio adquiridas</t>
  </si>
  <si>
    <t>Ativo CirculanteOutros ativos</t>
  </si>
  <si>
    <t>Ativo Não Circulantee títulos e valores mobiliários</t>
  </si>
  <si>
    <t>Ativo Não CirculanteTítulos e créditos a receber</t>
  </si>
  <si>
    <t>Ativo Não CirculanteContas correntes com fabricantes</t>
  </si>
  <si>
    <t>Ativo Não CirculanteInstrumentos financeiros - derivativos</t>
  </si>
  <si>
    <t>Ativo Não CirculantePartes relacionadas</t>
  </si>
  <si>
    <t>Ativo Não CirculanteOperações de crédito</t>
  </si>
  <si>
    <t>Ativo Não CirculanteCréditos com grupos de consórcios</t>
  </si>
  <si>
    <t>Ativo Não CirculanteTributos a recuperar</t>
  </si>
  <si>
    <t>Ativo Não CirculanteDepósitos judiciais</t>
  </si>
  <si>
    <t>Ativo Não CirculanteTributos diferidos</t>
  </si>
  <si>
    <t>Ativo Não CirculanteCotas de consórcio adquiridas</t>
  </si>
  <si>
    <t>Ativo Não CirculanteOutros ativos</t>
  </si>
  <si>
    <t>Investimentos</t>
  </si>
  <si>
    <t>Ativo Não CirculanteInvestimentos</t>
  </si>
  <si>
    <t>Ativo Não CirculanteIntangível</t>
  </si>
  <si>
    <t>Ativo Não CirculanteImobilizado de arrendamento</t>
  </si>
  <si>
    <t>Ativo Não CirculanteImobilizado de uso</t>
  </si>
  <si>
    <t>Ativo Não CirculanteDireito de uso de ativos</t>
  </si>
  <si>
    <t>Passivo CirculanteFornecedores</t>
  </si>
  <si>
    <t>Passivo CirculanteEmpréstimos e financiamentos</t>
  </si>
  <si>
    <t>Passivo CirculanteInstrumentos financeiros - derivativos</t>
  </si>
  <si>
    <t>Passivo CirculanteDepósitos</t>
  </si>
  <si>
    <t>Passivo CirculanteRecursos de aceites e emissão de títulos</t>
  </si>
  <si>
    <t>Passivo CirculanteObrigações por empréstimos e repasses</t>
  </si>
  <si>
    <t>Passivo CirculanteSalários e contribuições sociais</t>
  </si>
  <si>
    <t>Passivo CirculanteTributos a recolher</t>
  </si>
  <si>
    <t>Passivo CirculanteAdiantamentos de clientes</t>
  </si>
  <si>
    <t>Passivo CirculanteCredores diversos</t>
  </si>
  <si>
    <t>Passivo CirculantePartes relacionadas</t>
  </si>
  <si>
    <t>Passivo CirculantePassivo de arrendamento</t>
  </si>
  <si>
    <t>Passivo CirculanteOutros passivos</t>
  </si>
  <si>
    <t>Passivo Não CirculanteEmpréstimos e financiamentos</t>
  </si>
  <si>
    <t>Passivo Não CirculanteInstrumentos financeiros - derivativos</t>
  </si>
  <si>
    <t>Passivo Não CirculanteDepósitos</t>
  </si>
  <si>
    <t>Passivo Não CirculanteRecursos de aceites e emissão de títulos</t>
  </si>
  <si>
    <t>Passivo Não CirculanteObrigações por empréstimos e repasses</t>
  </si>
  <si>
    <t>Passivo Não CirculanteProvisões para contingências</t>
  </si>
  <si>
    <t>Passivo Não CirculanteCredores diversos</t>
  </si>
  <si>
    <t>Passivo Não CirculanteTributos diferidos</t>
  </si>
  <si>
    <t>Passivo Não CirculantePassivo de arrendamento</t>
  </si>
  <si>
    <t>Passivo Não CirculanteOutros passivos</t>
  </si>
  <si>
    <t>Patrimônio LíquidoCapital social</t>
  </si>
  <si>
    <t>Patrimônio LíquidoAjustes de avaliação patrimonial</t>
  </si>
  <si>
    <t>Patrimônio LíquidoAções em tesouraria</t>
  </si>
  <si>
    <t>Patrimônio LíquidoReservas de lucros</t>
  </si>
  <si>
    <t>Patrimônio LíquidoParticipação de sócios não controladores</t>
  </si>
  <si>
    <t>Demonstração dos fluxos de caixa</t>
  </si>
  <si>
    <t>Fluxos de caixa das atividades operacionais</t>
  </si>
  <si>
    <t>Ajustes</t>
  </si>
  <si>
    <t>Depreciação s/ direito de uso</t>
  </si>
  <si>
    <t>Provisão (reversão) para créditos de liquidação duvidosa</t>
  </si>
  <si>
    <t>Provisão (reversão) para perdas de garantias</t>
  </si>
  <si>
    <t>Provisão (reversão) para créditos de liquidação duvidosa operações de créditos</t>
  </si>
  <si>
    <t>Provisão (reversão) para perda com gastos a recuperar com bens</t>
  </si>
  <si>
    <t>Juros, variações monetárias e cambiais, líquidas</t>
  </si>
  <si>
    <t>Apropriação de encargos s/ arrendamento</t>
  </si>
  <si>
    <t>Provisões (reversões) com ações judiciais</t>
  </si>
  <si>
    <t>Provisões (reversões) e perdas de grupos de consórcio</t>
  </si>
  <si>
    <t>Valor justo de derivativos</t>
  </si>
  <si>
    <t>Provisão (reversão) para perdas de recuperabilidade de ativo</t>
  </si>
  <si>
    <t>Variações nos ativos</t>
  </si>
  <si>
    <t>Contas a receber</t>
  </si>
  <si>
    <t>Contas correntes - fabricantes</t>
  </si>
  <si>
    <t>Demais contas a receber e outros ativos</t>
  </si>
  <si>
    <t>Aplicações financeiras, interfinanceiras e derivativos</t>
  </si>
  <si>
    <t>Aquisições de imobilizados de arrendamentos</t>
  </si>
  <si>
    <t>Alienações de imobilizados de arrendamentos</t>
  </si>
  <si>
    <t>Variações passivos</t>
  </si>
  <si>
    <t>Adiantamento de clientes</t>
  </si>
  <si>
    <t>Obrigações por empréstimos, repasses e depósitos a prazo</t>
  </si>
  <si>
    <t>Salários e encargos sociais</t>
  </si>
  <si>
    <t>Demais contas a pagar e outros passivos</t>
  </si>
  <si>
    <t>Caixa gerado (aplicado) nas operações</t>
  </si>
  <si>
    <t>Imposto de Renda e Contribuição social sobre o lucro pagos</t>
  </si>
  <si>
    <t>Juros pagos s/ arrendamento</t>
  </si>
  <si>
    <t>Caixa líquido proveniente das atividades operacionais</t>
  </si>
  <si>
    <t>Fluxos de caixa das atividades de investimentos</t>
  </si>
  <si>
    <t>Adições em ativos intangíveis</t>
  </si>
  <si>
    <t>Aquisições de bens do ativo imobilizado</t>
  </si>
  <si>
    <t>Dividendos e juros sobre o capital recebidos</t>
  </si>
  <si>
    <t>Valor recebido pela venda de imobilizado e intangível</t>
  </si>
  <si>
    <t>Fluxos de caixa das atividades de financiamentos</t>
  </si>
  <si>
    <t>Dividendos, lucros e juros sobre o capital próprio, pagos</t>
  </si>
  <si>
    <t>Aumento do capital social</t>
  </si>
  <si>
    <t>Ingressos e pagamentos de mútuos com partes relacionadas, líquidos</t>
  </si>
  <si>
    <t>Captações de empréstimos, financiamentos</t>
  </si>
  <si>
    <t>Pagamentos de empréstimos, financiamentos</t>
  </si>
  <si>
    <t>Pagamentos de arrendamentos</t>
  </si>
  <si>
    <t>Pagamentos (recebimento) de derivativos</t>
  </si>
  <si>
    <t>Caixa líquido aplicado (gerado) nas atividades de financiamentos</t>
  </si>
  <si>
    <t>Aumento (redução) líquida de caixa e equivalentes de caixa</t>
  </si>
  <si>
    <t>Caixa e equivalentes de caixa no início do período</t>
  </si>
  <si>
    <t>Caixa e equivalentes de caixa no final do período</t>
  </si>
  <si>
    <t>Resultado na alienção de bens imobilizado e intangível</t>
  </si>
  <si>
    <t>Provisão (reversão) para perdas de estoque</t>
  </si>
  <si>
    <t>Provisões (reversões) de participação no lucro</t>
  </si>
  <si>
    <t>Juros pagos</t>
  </si>
  <si>
    <t>Aquisições de investimentos</t>
  </si>
  <si>
    <t>Baixa de investimentos</t>
  </si>
  <si>
    <t>Caixa líquido aplicado nas atividades de investimentos</t>
  </si>
  <si>
    <t>LTM</t>
  </si>
  <si>
    <t>Negócios gerados por produto</t>
  </si>
  <si>
    <t>Créditos em cotas de consórcios</t>
  </si>
  <si>
    <t xml:space="preserve">Prêmio líquido de seguros </t>
  </si>
  <si>
    <t>Empréstimos, financiamentos e arrendamento mercantil</t>
  </si>
  <si>
    <t>Frota de veículos alugados</t>
  </si>
  <si>
    <t xml:space="preserve">Veículos, peças, pneus e serviços de oficina </t>
  </si>
  <si>
    <t>Digital</t>
  </si>
  <si>
    <t>Negócios gerados por canal</t>
  </si>
  <si>
    <t>Receita futura contratada de seguro prestamista</t>
  </si>
  <si>
    <t>Negócios gerados</t>
  </si>
  <si>
    <t>Concessionárias próprias</t>
  </si>
  <si>
    <t>Concessionárias parceiras</t>
  </si>
  <si>
    <t>Parcerias &amp; Agentes comissionados</t>
  </si>
  <si>
    <t>Veículos vendidos (unidades)</t>
  </si>
  <si>
    <t>Passagens na oficina (unidades)</t>
  </si>
  <si>
    <t>Patrimônio de referência</t>
  </si>
  <si>
    <t>Ativos sob gestão (recursos financeiros dos grupos de consórcios)</t>
  </si>
  <si>
    <t>Índice de basiléia (%)</t>
  </si>
  <si>
    <t>Receita futura contratada</t>
  </si>
  <si>
    <t>Receita futura contratada de consórcio</t>
  </si>
  <si>
    <t>Análise da demonstração do resultado do exercício (em % da receita líquida)</t>
  </si>
  <si>
    <t>Receita futura contratada total</t>
  </si>
  <si>
    <t>Lucro líquido, EBIT e EBITDA</t>
  </si>
  <si>
    <t>(+) Imposto de renda e contribuição social</t>
  </si>
  <si>
    <t>(=) Lucro antes do imposto de renda e da contribuição social</t>
  </si>
  <si>
    <t>(+) Resultado financeiro</t>
  </si>
  <si>
    <t>(=) EBIT</t>
  </si>
  <si>
    <t>(=) EBITDA</t>
  </si>
  <si>
    <t>(+) Depreciação e amortização</t>
  </si>
  <si>
    <t>Margem líquida (% da receita líquida)</t>
  </si>
  <si>
    <t>Margem EBIT (% da receita líquida)</t>
  </si>
  <si>
    <t>Margem EBITDA (% da receita líquida)</t>
  </si>
  <si>
    <t>Endividamento</t>
  </si>
  <si>
    <t>Dívida bruta</t>
  </si>
  <si>
    <t>Dívida líquida</t>
  </si>
  <si>
    <t>(-) Caixa e equivalentes de caixa</t>
  </si>
  <si>
    <t>(-) Aplicações financeiras e títulos e valores mobiliários</t>
  </si>
  <si>
    <t>ROIC e ROE (ajustados)</t>
  </si>
  <si>
    <t>(a) Lucro Líquido (U12M)</t>
  </si>
  <si>
    <t>(a/b) ROE (%)</t>
  </si>
  <si>
    <t>(c) EBIT (U12M)</t>
  </si>
  <si>
    <t>(d) Impostos (U12M)</t>
  </si>
  <si>
    <t>(c+d) NOPLAT (ajustado)</t>
  </si>
  <si>
    <t>(e) Dívida Bruta média</t>
  </si>
  <si>
    <t>(b+e) Capital Investido médio</t>
  </si>
  <si>
    <t>(c+d)/(b+e) ROIC (%)</t>
  </si>
  <si>
    <t>Over 90 (%)</t>
  </si>
  <si>
    <t xml:space="preserve">Receitas financeiras </t>
  </si>
  <si>
    <t>Despesas financeiras</t>
  </si>
  <si>
    <t>(1) O Patrimônio Líquido Ajustado corresponde ao Patrimônio Líquido mais dividendos, lucros e juros sobre capital a pagar.</t>
  </si>
  <si>
    <t>(b) Patrimônio Líquido médio (ajustado)¹</t>
  </si>
  <si>
    <t>%</t>
  </si>
  <si>
    <t>Nominal</t>
  </si>
  <si>
    <t>informe o período de comparação</t>
  </si>
  <si>
    <t>Demais indicadores operacionais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</si>
</sst>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,;\(#,##0.0,\);&quot;&quot;"/>
    <numFmt numFmtId="166" formatCode="#,##0.0;\(#,##0.0\);"/>
    <numFmt numFmtId="167" formatCode="#,##0.0"/>
    <numFmt numFmtId="168" formatCode="\+0.0%;\-0.0%;"/>
    <numFmt numFmtId="169" formatCode="\+#,##0.0\ \p\.\p;\-#,##0.0\ \p\.\p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i/>
      <sz val="10"/>
      <color theme="0" tint="-0.499984740745262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2"/>
      <name val="Arial"/>
      <family val="2"/>
      <scheme val="minor"/>
    </font>
    <font>
      <b/>
      <sz val="11"/>
      <color theme="2"/>
      <name val="Arial"/>
      <family val="2"/>
      <scheme val="minor"/>
    </font>
    <font>
      <i/>
      <sz val="10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0"/>
      <name val="Arial"/>
      <family val="2"/>
      <scheme val="minor"/>
    </font>
    <font>
      <i/>
      <sz val="10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4" tint="-9.9978637043366805E-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 tint="0.24994659260841701"/>
      </top>
      <bottom style="thin">
        <color theme="3" tint="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2" borderId="0" xfId="0" applyFont="1" applyFill="1"/>
    <xf numFmtId="0" fontId="0" fillId="2" borderId="0" xfId="0" applyFont="1" applyFill="1"/>
    <xf numFmtId="0" fontId="0" fillId="0" borderId="0" xfId="0" applyFont="1"/>
    <xf numFmtId="0" fontId="5" fillId="2" borderId="0" xfId="0" applyFont="1" applyFill="1"/>
    <xf numFmtId="0" fontId="0" fillId="3" borderId="0" xfId="0" applyFont="1" applyFill="1"/>
    <xf numFmtId="0" fontId="4" fillId="3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164" fontId="8" fillId="6" borderId="0" xfId="1" applyNumberFormat="1" applyFont="1" applyFill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0" fontId="8" fillId="0" borderId="1" xfId="0" applyFont="1" applyBorder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6" fontId="8" fillId="6" borderId="0" xfId="0" applyNumberFormat="1" applyFont="1" applyFill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Alignment="1">
      <alignment horizontal="center" vertical="center"/>
    </xf>
    <xf numFmtId="166" fontId="8" fillId="6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8" fillId="6" borderId="0" xfId="1" applyNumberFormat="1" applyFont="1" applyFill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9" fontId="7" fillId="0" borderId="0" xfId="1" applyFont="1" applyAlignment="1">
      <alignment horizontal="center" vertical="center"/>
    </xf>
    <xf numFmtId="168" fontId="8" fillId="6" borderId="0" xfId="1" applyNumberFormat="1" applyFont="1" applyFill="1" applyAlignment="1">
      <alignment horizontal="center" vertical="center"/>
    </xf>
    <xf numFmtId="168" fontId="7" fillId="0" borderId="0" xfId="1" applyNumberFormat="1" applyFont="1" applyAlignment="1">
      <alignment horizontal="center" vertical="center"/>
    </xf>
    <xf numFmtId="168" fontId="8" fillId="0" borderId="1" xfId="1" applyNumberFormat="1" applyFont="1" applyBorder="1" applyAlignment="1">
      <alignment horizontal="center" vertical="center"/>
    </xf>
    <xf numFmtId="169" fontId="8" fillId="6" borderId="0" xfId="1" applyNumberFormat="1" applyFont="1" applyFill="1" applyAlignment="1">
      <alignment horizontal="center" vertical="center"/>
    </xf>
    <xf numFmtId="169" fontId="7" fillId="0" borderId="0" xfId="1" applyNumberFormat="1" applyFont="1" applyAlignment="1">
      <alignment horizontal="center" vertical="center"/>
    </xf>
    <xf numFmtId="169" fontId="8" fillId="0" borderId="1" xfId="1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8" fillId="6" borderId="0" xfId="0" applyNumberFormat="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8" fillId="6" borderId="1" xfId="0" applyNumberFormat="1" applyFont="1" applyFill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169" fontId="16" fillId="0" borderId="0" xfId="1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7940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8.png"/><Relationship Id="rId3" Type="http://schemas.openxmlformats.org/officeDocument/2006/relationships/hyperlink" Target="https://www.rodobens.com.br/" TargetMode="External"/><Relationship Id="rId7" Type="http://schemas.microsoft.com/office/2007/relationships/hdphoto" Target="../media/hdphoto2.wdp"/><Relationship Id="rId12" Type="http://schemas.openxmlformats.org/officeDocument/2006/relationships/image" Target="../media/image7.emf"/><Relationship Id="rId2" Type="http://schemas.openxmlformats.org/officeDocument/2006/relationships/image" Target="../media/image1.png"/><Relationship Id="rId16" Type="http://schemas.openxmlformats.org/officeDocument/2006/relationships/hyperlink" Target="http://ri.rodobens.com.br/informacoes-aos-investidores/central-de-resultados/" TargetMode="External"/><Relationship Id="rId1" Type="http://schemas.openxmlformats.org/officeDocument/2006/relationships/hyperlink" Target="http://ri.rodobens.com.br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6.svg"/><Relationship Id="rId5" Type="http://schemas.microsoft.com/office/2007/relationships/hdphoto" Target="../media/hdphoto1.wdp"/><Relationship Id="rId15" Type="http://schemas.openxmlformats.org/officeDocument/2006/relationships/hyperlink" Target="mailto:ri@rodobens.com.br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microsoft.com/office/2007/relationships/hdphoto" Target="../media/hdphoto3.wdp"/><Relationship Id="rId14" Type="http://schemas.openxmlformats.org/officeDocument/2006/relationships/image" Target="../media/image9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4" Type="http://schemas.openxmlformats.org/officeDocument/2006/relationships/image" Target="../media/image1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4" Type="http://schemas.openxmlformats.org/officeDocument/2006/relationships/image" Target="../media/image1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svg"/><Relationship Id="rId1" Type="http://schemas.openxmlformats.org/officeDocument/2006/relationships/image" Target="../media/image10.png"/><Relationship Id="rId4" Type="http://schemas.openxmlformats.org/officeDocument/2006/relationships/image" Target="../media/image1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230890</xdr:colOff>
      <xdr:row>14</xdr:row>
      <xdr:rowOff>134451</xdr:rowOff>
    </xdr:from>
    <xdr:to>
      <xdr:col>16</xdr:col>
      <xdr:colOff>316765</xdr:colOff>
      <xdr:row>20</xdr:row>
      <xdr:rowOff>143718</xdr:rowOff>
    </xdr:to>
    <xdr:pic>
      <xdr:nvPicPr>
        <xdr:cNvPr id="31" name="Imagem 30" descr="Text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3E7E73-C027-47CA-A5AE-D8CB219DA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0743" y="2689392"/>
          <a:ext cx="2506346" cy="1085032"/>
        </a:xfrm>
        <a:prstGeom prst="rect">
          <a:avLst/>
        </a:prstGeom>
      </xdr:spPr>
    </xdr:pic>
    <xdr:clientData/>
  </xdr:twoCellAnchor>
  <xdr:twoCellAnchor>
    <xdr:from>
      <xdr:col>12</xdr:col>
      <xdr:colOff>224484</xdr:colOff>
      <xdr:row>8</xdr:row>
      <xdr:rowOff>30880</xdr:rowOff>
    </xdr:from>
    <xdr:to>
      <xdr:col>16</xdr:col>
      <xdr:colOff>323172</xdr:colOff>
      <xdr:row>15</xdr:row>
      <xdr:rowOff>25553</xdr:rowOff>
    </xdr:to>
    <xdr:sp macro="" textlink="">
      <xdr:nvSpPr>
        <xdr:cNvPr id="29" name="CaixaDeTexto 22">
          <a:extLst>
            <a:ext uri="{FF2B5EF4-FFF2-40B4-BE49-F238E27FC236}">
              <a16:creationId xmlns:a16="http://schemas.microsoft.com/office/drawing/2014/main" id="{B2533D10-FA9A-4EF9-B8AF-8054494EE320}"/>
            </a:ext>
          </a:extLst>
        </xdr:cNvPr>
        <xdr:cNvSpPr txBox="1"/>
      </xdr:nvSpPr>
      <xdr:spPr>
        <a:xfrm>
          <a:off x="7564337" y="1487645"/>
          <a:ext cx="2519159" cy="127214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0" i="0" u="none" strike="noStrike" baseline="0">
              <a:solidFill>
                <a:schemeClr val="bg1"/>
              </a:solidFill>
            </a:rPr>
            <a:t>Rodobens S.A tem o registro de emissor categoria A na CVM e é listada no segmento básico da B3 S.A. A Companhia possui admissão à negociação Units no segmento básico da B3, com o nome de pregão “RODOBENS” e o código de negociação (ticker) RBNS. </a:t>
          </a:r>
          <a:endParaRPr lang="pt-BR" sz="10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105903</xdr:colOff>
      <xdr:row>14</xdr:row>
      <xdr:rowOff>62412</xdr:rowOff>
    </xdr:from>
    <xdr:to>
      <xdr:col>11</xdr:col>
      <xdr:colOff>417400</xdr:colOff>
      <xdr:row>20</xdr:row>
      <xdr:rowOff>48165</xdr:rowOff>
    </xdr:to>
    <xdr:grpSp>
      <xdr:nvGrpSpPr>
        <xdr:cNvPr id="17" name="Agrupar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5A410D-FC82-4F47-AC3F-9FB3FF83EF3C}"/>
            </a:ext>
          </a:extLst>
        </xdr:cNvPr>
        <xdr:cNvGrpSpPr/>
      </xdr:nvGrpSpPr>
      <xdr:grpSpPr>
        <a:xfrm>
          <a:off x="105903" y="2617353"/>
          <a:ext cx="7046232" cy="1061518"/>
          <a:chOff x="1741963" y="1911375"/>
          <a:chExt cx="7046232" cy="1061518"/>
        </a:xfrm>
      </xdr:grpSpPr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ACABD1DF-C4BB-42EE-B05F-74074BFD42B3}"/>
              </a:ext>
            </a:extLst>
          </xdr:cNvPr>
          <xdr:cNvSpPr txBox="1"/>
        </xdr:nvSpPr>
        <xdr:spPr>
          <a:xfrm>
            <a:off x="7064730" y="2724150"/>
            <a:ext cx="1723465" cy="165829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Varejo Automotivo</a:t>
            </a:r>
          </a:p>
        </xdr:txBody>
      </xdr:sp>
      <xdr:sp macro="" textlink="">
        <xdr:nvSpPr>
          <xdr:cNvPr id="6" name="TextBox 51">
            <a:extLst>
              <a:ext uri="{FF2B5EF4-FFF2-40B4-BE49-F238E27FC236}">
                <a16:creationId xmlns:a16="http://schemas.microsoft.com/office/drawing/2014/main" id="{F0839809-C756-43DE-A98C-ACE3AD7A8DEB}"/>
              </a:ext>
            </a:extLst>
          </xdr:cNvPr>
          <xdr:cNvSpPr txBox="1"/>
        </xdr:nvSpPr>
        <xdr:spPr>
          <a:xfrm>
            <a:off x="2589559" y="2641235"/>
            <a:ext cx="2915284" cy="331658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Empréstimos, Financiamentos, Arrendamento e Locação</a:t>
            </a:r>
          </a:p>
        </xdr:txBody>
      </xdr:sp>
      <xdr:pic>
        <xdr:nvPicPr>
          <xdr:cNvPr id="7" name="Picture 52">
            <a:extLst>
              <a:ext uri="{FF2B5EF4-FFF2-40B4-BE49-F238E27FC236}">
                <a16:creationId xmlns:a16="http://schemas.microsoft.com/office/drawing/2014/main" id="{5E99B554-9183-4101-912F-8EAC7F600D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rightnessContrast bright="1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2396" y="1997240"/>
            <a:ext cx="509609" cy="51023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TextBox 62">
            <a:extLst>
              <a:ext uri="{FF2B5EF4-FFF2-40B4-BE49-F238E27FC236}">
                <a16:creationId xmlns:a16="http://schemas.microsoft.com/office/drawing/2014/main" id="{78CE0097-FE86-47CA-81E3-39E1332EC403}"/>
              </a:ext>
            </a:extLst>
          </xdr:cNvPr>
          <xdr:cNvSpPr txBox="1"/>
        </xdr:nvSpPr>
        <xdr:spPr>
          <a:xfrm>
            <a:off x="1741963" y="2718547"/>
            <a:ext cx="1116000" cy="177036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clip" wrap="square" lIns="0" tIns="0" rIns="0" bIns="0" rtlCol="0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Consórcio</a:t>
            </a:r>
          </a:p>
        </xdr:txBody>
      </xdr:sp>
      <xdr:pic>
        <xdr:nvPicPr>
          <xdr:cNvPr id="9" name="Picture 63">
            <a:extLst>
              <a:ext uri="{FF2B5EF4-FFF2-40B4-BE49-F238E27FC236}">
                <a16:creationId xmlns:a16="http://schemas.microsoft.com/office/drawing/2014/main" id="{EC933ADD-9A69-43A6-B5AC-AACD9FDCC8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rightnessContrast bright="1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34267" y="2011890"/>
            <a:ext cx="531393" cy="4809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0" name="TextBox 29">
            <a:extLst>
              <a:ext uri="{FF2B5EF4-FFF2-40B4-BE49-F238E27FC236}">
                <a16:creationId xmlns:a16="http://schemas.microsoft.com/office/drawing/2014/main" id="{42DE53DA-10A7-4E4C-BFA6-F12F96658BC9}"/>
              </a:ext>
            </a:extLst>
          </xdr:cNvPr>
          <xdr:cNvSpPr txBox="1"/>
        </xdr:nvSpPr>
        <xdr:spPr>
          <a:xfrm>
            <a:off x="4724911" y="2724150"/>
            <a:ext cx="2737854" cy="165829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1200">
                <a:solidFill>
                  <a:schemeClr val="bg1"/>
                </a:solidFill>
                <a:latin typeface="+mj-lt"/>
              </a:rPr>
              <a:t>Corretora de Seguros</a:t>
            </a:r>
          </a:p>
        </xdr:txBody>
      </xdr:sp>
      <xdr:pic>
        <xdr:nvPicPr>
          <xdr:cNvPr id="11" name="Picture 36">
            <a:extLst>
              <a:ext uri="{FF2B5EF4-FFF2-40B4-BE49-F238E27FC236}">
                <a16:creationId xmlns:a16="http://schemas.microsoft.com/office/drawing/2014/main" id="{C3DEE208-86E1-4D56-BBD3-6DBB441447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BEBA8EAE-BF5A-486C-A8C5-ECC9F3942E4B}">
                <a14:imgProps xmlns:a14="http://schemas.microsoft.com/office/drawing/2010/main">
                  <a14:imgLayer r:embed="rId9">
                    <a14:imgEffect>
                      <a14:brightnessContrast bright="1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13683" y="1972480"/>
            <a:ext cx="560310" cy="5597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0" name="Graphic 87" descr="Handshake">
            <a:extLst>
              <a:ext uri="{FF2B5EF4-FFF2-40B4-BE49-F238E27FC236}">
                <a16:creationId xmlns:a16="http://schemas.microsoft.com/office/drawing/2014/main" id="{B297D95E-9689-41EC-9C30-F47DCA6F65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7587444" y="1911375"/>
            <a:ext cx="678038" cy="681961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0</xdr:colOff>
      <xdr:row>8</xdr:row>
      <xdr:rowOff>146023</xdr:rowOff>
    </xdr:from>
    <xdr:to>
      <xdr:col>17</xdr:col>
      <xdr:colOff>0</xdr:colOff>
      <xdr:row>9</xdr:row>
      <xdr:rowOff>157123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3C4A10B1-CB6B-7F40-BFED-AAA81EDB7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84325" y="1580376"/>
          <a:ext cx="0" cy="201600"/>
        </a:xfrm>
        <a:prstGeom prst="rect">
          <a:avLst/>
        </a:prstGeom>
      </xdr:spPr>
    </xdr:pic>
    <xdr:clientData/>
  </xdr:twoCellAnchor>
  <xdr:twoCellAnchor>
    <xdr:from>
      <xdr:col>12</xdr:col>
      <xdr:colOff>44823</xdr:colOff>
      <xdr:row>0</xdr:row>
      <xdr:rowOff>145672</xdr:rowOff>
    </xdr:from>
    <xdr:to>
      <xdr:col>16</xdr:col>
      <xdr:colOff>502833</xdr:colOff>
      <xdr:row>2</xdr:row>
      <xdr:rowOff>85884</xdr:rowOff>
    </xdr:to>
    <xdr:sp macro="" textlink="">
      <xdr:nvSpPr>
        <xdr:cNvPr id="28" name="CaixaDeTexto 21">
          <a:extLst>
            <a:ext uri="{FF2B5EF4-FFF2-40B4-BE49-F238E27FC236}">
              <a16:creationId xmlns:a16="http://schemas.microsoft.com/office/drawing/2014/main" id="{180FB5DE-2D58-4BD8-9E04-5EEC87E6214A}"/>
            </a:ext>
          </a:extLst>
        </xdr:cNvPr>
        <xdr:cNvSpPr txBox="1"/>
      </xdr:nvSpPr>
      <xdr:spPr>
        <a:xfrm>
          <a:off x="7384676" y="145672"/>
          <a:ext cx="2878481" cy="29880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 i="0" u="none" strike="noStrike" baseline="0">
              <a:solidFill>
                <a:schemeClr val="bg1"/>
              </a:solidFill>
              <a:latin typeface="+mj-lt"/>
            </a:rPr>
            <a:t>Relações com Investidores </a:t>
          </a:r>
          <a:endParaRPr lang="pt-BR" sz="14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12</xdr:col>
      <xdr:colOff>279284</xdr:colOff>
      <xdr:row>2</xdr:row>
      <xdr:rowOff>99692</xdr:rowOff>
    </xdr:from>
    <xdr:to>
      <xdr:col>16</xdr:col>
      <xdr:colOff>268371</xdr:colOff>
      <xdr:row>3</xdr:row>
      <xdr:rowOff>174955</xdr:rowOff>
    </xdr:to>
    <xdr:sp macro="" textlink="">
      <xdr:nvSpPr>
        <xdr:cNvPr id="30" name="CaixaDeTexto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39E20E-9763-430B-B9ED-CB897F8CB93A}"/>
            </a:ext>
          </a:extLst>
        </xdr:cNvPr>
        <xdr:cNvSpPr txBox="1"/>
      </xdr:nvSpPr>
      <xdr:spPr>
        <a:xfrm>
          <a:off x="7619137" y="458280"/>
          <a:ext cx="2409558" cy="25455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0" i="0" u="none" strike="noStrike" baseline="0">
              <a:solidFill>
                <a:schemeClr val="bg1"/>
              </a:solidFill>
            </a:rPr>
            <a:t>ri.rodobens.com.br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448233</xdr:colOff>
      <xdr:row>3</xdr:row>
      <xdr:rowOff>33621</xdr:rowOff>
    </xdr:from>
    <xdr:to>
      <xdr:col>5</xdr:col>
      <xdr:colOff>591120</xdr:colOff>
      <xdr:row>4</xdr:row>
      <xdr:rowOff>160560</xdr:rowOff>
    </xdr:to>
    <xdr:pic>
      <xdr:nvPicPr>
        <xdr:cNvPr id="3" name="Gráfico 74">
          <a:extLst>
            <a:ext uri="{FF2B5EF4-FFF2-40B4-BE49-F238E27FC236}">
              <a16:creationId xmlns:a16="http://schemas.microsoft.com/office/drawing/2014/main" id="{990E8F9F-1FFF-4093-885F-3ECB38940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448233" y="571503"/>
          <a:ext cx="3246916" cy="306233"/>
        </a:xfrm>
        <a:prstGeom prst="rect">
          <a:avLst/>
        </a:prstGeom>
      </xdr:spPr>
    </xdr:pic>
    <xdr:clientData/>
  </xdr:twoCellAnchor>
  <xdr:twoCellAnchor>
    <xdr:from>
      <xdr:col>13</xdr:col>
      <xdr:colOff>55313</xdr:colOff>
      <xdr:row>4</xdr:row>
      <xdr:rowOff>100854</xdr:rowOff>
    </xdr:from>
    <xdr:to>
      <xdr:col>15</xdr:col>
      <xdr:colOff>492342</xdr:colOff>
      <xdr:row>5</xdr:row>
      <xdr:rowOff>176116</xdr:rowOff>
    </xdr:to>
    <xdr:sp macro="" textlink="">
      <xdr:nvSpPr>
        <xdr:cNvPr id="22" name="CaixaDeTexto 2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0F13C8B-3D6B-4EC3-B593-D52C50A1AB65}"/>
            </a:ext>
          </a:extLst>
        </xdr:cNvPr>
        <xdr:cNvSpPr txBox="1"/>
      </xdr:nvSpPr>
      <xdr:spPr>
        <a:xfrm>
          <a:off x="8000284" y="818030"/>
          <a:ext cx="1647264" cy="25455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0" i="0" u="none" strike="noStrike" baseline="0">
              <a:solidFill>
                <a:schemeClr val="bg1"/>
              </a:solidFill>
            </a:rPr>
            <a:t>ri@rodobens.com.br</a:t>
          </a:r>
          <a:r>
            <a:rPr lang="pt-BR" sz="110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13</xdr:col>
      <xdr:colOff>269479</xdr:colOff>
      <xdr:row>6</xdr:row>
      <xdr:rowOff>112059</xdr:rowOff>
    </xdr:from>
    <xdr:to>
      <xdr:col>15</xdr:col>
      <xdr:colOff>278177</xdr:colOff>
      <xdr:row>7</xdr:row>
      <xdr:rowOff>176116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43950397-1F6F-4748-8D76-A03C6414E113}"/>
            </a:ext>
          </a:extLst>
        </xdr:cNvPr>
        <xdr:cNvSpPr txBox="1"/>
      </xdr:nvSpPr>
      <xdr:spPr>
        <a:xfrm>
          <a:off x="8214450" y="1199030"/>
          <a:ext cx="1218933" cy="25455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0" i="0" u="none" strike="noStrike" baseline="0">
              <a:solidFill>
                <a:schemeClr val="bg1"/>
              </a:solidFill>
            </a:rPr>
            <a:t>(17) 2136-3666 </a:t>
          </a:r>
          <a:r>
            <a:rPr lang="pt-BR" sz="1100">
              <a:solidFill>
                <a:schemeClr val="bg1"/>
              </a:solidFill>
            </a:rPr>
            <a:t> </a:t>
          </a:r>
          <a:r>
            <a:rPr lang="pt-BR" sz="1100" b="0" i="0" u="none" strike="noStrike" baseline="0">
              <a:solidFill>
                <a:schemeClr val="bg1"/>
              </a:solidFill>
            </a:rPr>
            <a:t> 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oneCellAnchor>
    <xdr:from>
      <xdr:col>0</xdr:col>
      <xdr:colOff>347381</xdr:colOff>
      <xdr:row>8</xdr:row>
      <xdr:rowOff>112058</xdr:rowOff>
    </xdr:from>
    <xdr:ext cx="3008259" cy="387286"/>
    <xdr:sp macro="" textlink="">
      <xdr:nvSpPr>
        <xdr:cNvPr id="16" name="CaixaDeTexto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C27E767-7AB7-4F74-95A1-48E42476DB4D}"/>
            </a:ext>
          </a:extLst>
        </xdr:cNvPr>
        <xdr:cNvSpPr txBox="1"/>
      </xdr:nvSpPr>
      <xdr:spPr>
        <a:xfrm>
          <a:off x="347381" y="1568823"/>
          <a:ext cx="300825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>
              <a:solidFill>
                <a:schemeClr val="tx2">
                  <a:lumMod val="50000"/>
                  <a:lumOff val="50000"/>
                </a:schemeClr>
              </a:solidFill>
            </a:rPr>
            <a:t>Planilha</a:t>
          </a:r>
          <a:r>
            <a:rPr lang="pt-BR" sz="2000" baseline="0">
              <a:solidFill>
                <a:schemeClr val="tx2">
                  <a:lumMod val="50000"/>
                  <a:lumOff val="50000"/>
                </a:schemeClr>
              </a:solidFill>
            </a:rPr>
            <a:t> de fundamentos</a:t>
          </a:r>
          <a:endParaRPr lang="pt-BR" sz="20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39221</xdr:rowOff>
    </xdr:from>
    <xdr:to>
      <xdr:col>1</xdr:col>
      <xdr:colOff>1718703</xdr:colOff>
      <xdr:row>2</xdr:row>
      <xdr:rowOff>48746</xdr:rowOff>
    </xdr:to>
    <xdr:pic>
      <xdr:nvPicPr>
        <xdr:cNvPr id="5" name="Gráfico 74">
          <a:extLst>
            <a:ext uri="{FF2B5EF4-FFF2-40B4-BE49-F238E27FC236}">
              <a16:creationId xmlns:a16="http://schemas.microsoft.com/office/drawing/2014/main" id="{5EC6DC0A-739B-46E1-928F-4FC8C640B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265" y="140074"/>
          <a:ext cx="1718703" cy="166407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429768</xdr:colOff>
      <xdr:row>2</xdr:row>
      <xdr:rowOff>66115</xdr:rowOff>
    </xdr:to>
    <xdr:pic>
      <xdr:nvPicPr>
        <xdr:cNvPr id="53" name="Gráfico 3" descr="Seta: reta com preenchimento sólido">
          <a:extLst>
            <a:ext uri="{FF2B5EF4-FFF2-40B4-BE49-F238E27FC236}">
              <a16:creationId xmlns:a16="http://schemas.microsoft.com/office/drawing/2014/main" id="{18018FF3-F286-46A5-A288-12E0604BB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889941" y="0"/>
          <a:ext cx="429768" cy="313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33618</xdr:rowOff>
    </xdr:from>
    <xdr:to>
      <xdr:col>1</xdr:col>
      <xdr:colOff>1719263</xdr:colOff>
      <xdr:row>2</xdr:row>
      <xdr:rowOff>38661</xdr:rowOff>
    </xdr:to>
    <xdr:pic>
      <xdr:nvPicPr>
        <xdr:cNvPr id="2" name="Gráfico 74">
          <a:extLst>
            <a:ext uri="{FF2B5EF4-FFF2-40B4-BE49-F238E27FC236}">
              <a16:creationId xmlns:a16="http://schemas.microsoft.com/office/drawing/2014/main" id="{246FB3EB-DAE1-4299-8A09-45C005456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265" y="134471"/>
          <a:ext cx="1719263" cy="161925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429768</xdr:colOff>
      <xdr:row>2</xdr:row>
      <xdr:rowOff>66115</xdr:rowOff>
    </xdr:to>
    <xdr:pic>
      <xdr:nvPicPr>
        <xdr:cNvPr id="4" name="Gráfico 3" descr="Seta: reta com preenchimento sólido">
          <a:extLst>
            <a:ext uri="{FF2B5EF4-FFF2-40B4-BE49-F238E27FC236}">
              <a16:creationId xmlns:a16="http://schemas.microsoft.com/office/drawing/2014/main" id="{4294B383-7E9C-40F4-B9DB-5BE0ED35E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934765" y="0"/>
          <a:ext cx="429768" cy="3137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33618</xdr:rowOff>
    </xdr:from>
    <xdr:to>
      <xdr:col>1</xdr:col>
      <xdr:colOff>1719263</xdr:colOff>
      <xdr:row>2</xdr:row>
      <xdr:rowOff>38661</xdr:rowOff>
    </xdr:to>
    <xdr:pic>
      <xdr:nvPicPr>
        <xdr:cNvPr id="2" name="Gráfico 74">
          <a:extLst>
            <a:ext uri="{FF2B5EF4-FFF2-40B4-BE49-F238E27FC236}">
              <a16:creationId xmlns:a16="http://schemas.microsoft.com/office/drawing/2014/main" id="{2D1A585A-8F2D-40AE-9269-C854DD47B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265" y="134471"/>
          <a:ext cx="1719263" cy="161925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429768</xdr:colOff>
      <xdr:row>2</xdr:row>
      <xdr:rowOff>56030</xdr:rowOff>
    </xdr:to>
    <xdr:pic>
      <xdr:nvPicPr>
        <xdr:cNvPr id="3" name="Gráfico 2" descr="Seta: reta com preenchimento sólido">
          <a:extLst>
            <a:ext uri="{FF2B5EF4-FFF2-40B4-BE49-F238E27FC236}">
              <a16:creationId xmlns:a16="http://schemas.microsoft.com/office/drawing/2014/main" id="{E76E8561-5FAB-4445-B26F-9785B870F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887700" y="0"/>
          <a:ext cx="429768" cy="303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ODOSA">
  <a:themeElements>
    <a:clrScheme name="Personalizar 3">
      <a:dk1>
        <a:srgbClr val="193319"/>
      </a:dk1>
      <a:lt1>
        <a:srgbClr val="FFFFFF"/>
      </a:lt1>
      <a:dk2>
        <a:srgbClr val="193319"/>
      </a:dk2>
      <a:lt2>
        <a:srgbClr val="DFE5CF"/>
      </a:lt2>
      <a:accent1>
        <a:srgbClr val="DFE5CF"/>
      </a:accent1>
      <a:accent2>
        <a:srgbClr val="B8DDE8"/>
      </a:accent2>
      <a:accent3>
        <a:srgbClr val="E9D6E4"/>
      </a:accent3>
      <a:accent4>
        <a:srgbClr val="DFE5CF"/>
      </a:accent4>
      <a:accent5>
        <a:srgbClr val="B8DDE8"/>
      </a:accent5>
      <a:accent6>
        <a:srgbClr val="E9D6E4"/>
      </a:accent6>
      <a:hlink>
        <a:srgbClr val="193319"/>
      </a:hlink>
      <a:folHlink>
        <a:srgbClr val="8A959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ODOSA" id="{28E96AD4-FE06-4997-9549-067D487F091F}" vid="{9DBBED39-9FE5-4997-85E2-DE86C5936D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B9F8-BF66-432B-A396-253D80B1164D}">
  <sheetPr>
    <tabColor theme="1"/>
  </sheetPr>
  <dimension ref="A1:Q26"/>
  <sheetViews>
    <sheetView showGridLines="0" tabSelected="1" zoomScale="85" zoomScaleNormal="85" workbookViewId="0">
      <selection activeCell="E17" sqref="E17"/>
    </sheetView>
  </sheetViews>
  <sheetFormatPr defaultColWidth="0" defaultRowHeight="14.25" zeroHeight="1" x14ac:dyDescent="0.2"/>
  <cols>
    <col min="1" max="1" width="9" style="3" customWidth="1"/>
    <col min="2" max="12" width="8" style="3" customWidth="1"/>
    <col min="13" max="17" width="8" style="5" customWidth="1"/>
    <col min="18" max="21" width="8" style="5" hidden="1" customWidth="1"/>
    <col min="22" max="16384" width="8" style="5" hidden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"/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6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</row>
    <row r="6" spans="1:13" ht="15" x14ac:dyDescent="0.2">
      <c r="A6" s="1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6"/>
    </row>
    <row r="7" spans="1:13" ht="15" x14ac:dyDescent="0.2">
      <c r="A7" s="1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6"/>
    </row>
    <row r="9" spans="1:13" ht="15" x14ac:dyDescent="0.2">
      <c r="A9" s="1"/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6"/>
    </row>
    <row r="10" spans="1:13" ht="15" x14ac:dyDescent="0.2">
      <c r="A10" s="1"/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6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6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6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6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6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6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idden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idden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" hidden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sheetProtection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9F5A-2B0A-4EC5-86D3-A96C4A6E0FD2}">
  <sheetPr>
    <tabColor theme="3" tint="0.499984740745262"/>
  </sheetPr>
  <dimension ref="A1:X248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RowHeight="12.75" x14ac:dyDescent="0.2"/>
  <cols>
    <col min="1" max="1" width="1.625" style="55" customWidth="1"/>
    <col min="2" max="2" width="54.625" style="7" customWidth="1"/>
    <col min="3" max="10" width="8.625" style="8" customWidth="1"/>
    <col min="11" max="11" width="1.625" style="8" customWidth="1"/>
    <col min="12" max="15" width="8.625" style="8" customWidth="1"/>
    <col min="16" max="16" width="1.625" style="8" customWidth="1"/>
    <col min="17" max="19" width="8.625" style="8" customWidth="1"/>
    <col min="20" max="20" width="1.625" style="7" customWidth="1"/>
    <col min="21" max="22" width="8.625" style="8" customWidth="1"/>
    <col min="23" max="23" width="6.125" style="7" customWidth="1"/>
    <col min="24" max="16384" width="9" style="7"/>
  </cols>
  <sheetData>
    <row r="1" spans="1:24" ht="8.1" customHeight="1" x14ac:dyDescent="0.2"/>
    <row r="2" spans="1:24" ht="12" customHeight="1" x14ac:dyDescent="0.2">
      <c r="U2" s="8">
        <v>2021</v>
      </c>
      <c r="V2" s="8">
        <v>2020</v>
      </c>
      <c r="X2" s="71" t="s">
        <v>245</v>
      </c>
    </row>
    <row r="3" spans="1:24" ht="15" customHeight="1" x14ac:dyDescent="0.2">
      <c r="U3" s="86" t="str">
        <f>U2&amp;" vs "&amp;V2</f>
        <v>2021 vs 2020</v>
      </c>
      <c r="V3" s="86"/>
    </row>
    <row r="4" spans="1:24" s="18" customFormat="1" ht="15" customHeight="1" x14ac:dyDescent="0.2">
      <c r="A4" s="56"/>
      <c r="B4" s="15" t="s">
        <v>3</v>
      </c>
      <c r="C4" s="16" t="str">
        <f>IF(MONTH(C8)=3,"1T",IF(MONTH(C8)=6,"2T",IF(MONTH(C8)=9,"3T",IF(MONTH(C8)=12,"4T"))))&amp;RIGHT(C6,2)</f>
        <v>1T20</v>
      </c>
      <c r="D4" s="16" t="str">
        <f t="shared" ref="D4:J4" si="0">IF(MONTH(D8)=3,"1T",IF(MONTH(D8)=6,"2T",IF(MONTH(D8)=9,"3T",IF(MONTH(D8)=12,"4T"))))&amp;RIGHT(D6,2)</f>
        <v>2T20</v>
      </c>
      <c r="E4" s="16" t="str">
        <f t="shared" si="0"/>
        <v>3T20</v>
      </c>
      <c r="F4" s="16" t="str">
        <f t="shared" si="0"/>
        <v>4T20</v>
      </c>
      <c r="G4" s="16" t="str">
        <f t="shared" si="0"/>
        <v>1T21</v>
      </c>
      <c r="H4" s="16" t="str">
        <f t="shared" si="0"/>
        <v>2T21</v>
      </c>
      <c r="I4" s="16" t="str">
        <f t="shared" si="0"/>
        <v>3T21</v>
      </c>
      <c r="J4" s="16" t="str">
        <f t="shared" si="0"/>
        <v>4T21</v>
      </c>
      <c r="K4" s="17"/>
      <c r="L4" s="16" t="s">
        <v>8</v>
      </c>
      <c r="M4" s="16" t="s">
        <v>9</v>
      </c>
      <c r="N4" s="16" t="s">
        <v>10</v>
      </c>
      <c r="O4" s="16" t="s">
        <v>11</v>
      </c>
      <c r="P4" s="17"/>
      <c r="Q4" s="16">
        <v>2020</v>
      </c>
      <c r="R4" s="16">
        <v>2021</v>
      </c>
      <c r="S4" s="16" t="s">
        <v>191</v>
      </c>
      <c r="U4" s="16" t="s">
        <v>243</v>
      </c>
      <c r="V4" s="16" t="s">
        <v>244</v>
      </c>
    </row>
    <row r="5" spans="1:24" ht="5.0999999999999996" customHeight="1" x14ac:dyDescent="0.2"/>
    <row r="6" spans="1:24" s="11" customFormat="1" x14ac:dyDescent="0.2">
      <c r="A6" s="57"/>
      <c r="B6" s="11" t="s">
        <v>0</v>
      </c>
      <c r="C6" s="12">
        <f>YEAR(C8)</f>
        <v>2020</v>
      </c>
      <c r="D6" s="12">
        <f>YEAR(D8)</f>
        <v>2020</v>
      </c>
      <c r="E6" s="12">
        <f t="shared" ref="E6:J6" si="1">YEAR(E8)</f>
        <v>2020</v>
      </c>
      <c r="F6" s="12">
        <f t="shared" si="1"/>
        <v>2020</v>
      </c>
      <c r="G6" s="12">
        <f t="shared" si="1"/>
        <v>2021</v>
      </c>
      <c r="H6" s="12">
        <f t="shared" si="1"/>
        <v>2021</v>
      </c>
      <c r="I6" s="12">
        <f t="shared" si="1"/>
        <v>2021</v>
      </c>
      <c r="J6" s="12">
        <f t="shared" si="1"/>
        <v>2021</v>
      </c>
      <c r="K6" s="12"/>
      <c r="L6" s="12"/>
      <c r="M6" s="12"/>
      <c r="N6" s="12"/>
      <c r="O6" s="12"/>
      <c r="P6" s="12"/>
      <c r="Q6" s="12"/>
      <c r="R6" s="12"/>
      <c r="S6" s="12"/>
      <c r="U6" s="12"/>
      <c r="V6" s="12"/>
    </row>
    <row r="7" spans="1:24" s="11" customFormat="1" x14ac:dyDescent="0.2">
      <c r="A7" s="57"/>
      <c r="B7" s="11" t="s">
        <v>1</v>
      </c>
      <c r="C7" s="12" t="str">
        <f>IF(MONTH(C8)=3,"1S",IF(MONTH(C8)=6,"1S",IF(MONTH(C8)=9,"2S",IF(MONTH(C8)=12,"2S"))))&amp;RIGHT(C6,2)</f>
        <v>1S20</v>
      </c>
      <c r="D7" s="12" t="str">
        <f>IF(MONTH(D8)=3,"1S",IF(MONTH(D8)=6,"1S",IF(MONTH(D8)=9,"2S",IF(MONTH(D8)=12,"2S"))))&amp;RIGHT(D6,2)</f>
        <v>1S20</v>
      </c>
      <c r="E7" s="12" t="str">
        <f t="shared" ref="E7:J7" si="2">IF(MONTH(E8)=3,"1S",IF(MONTH(E8)=6,"1S",IF(MONTH(E8)=9,"2S",IF(MONTH(E8)=12,"2S"))))&amp;RIGHT(E6,2)</f>
        <v>2S20</v>
      </c>
      <c r="F7" s="12" t="str">
        <f t="shared" si="2"/>
        <v>2S20</v>
      </c>
      <c r="G7" s="12" t="str">
        <f t="shared" si="2"/>
        <v>1S21</v>
      </c>
      <c r="H7" s="12" t="str">
        <f t="shared" si="2"/>
        <v>1S21</v>
      </c>
      <c r="I7" s="12" t="str">
        <f t="shared" si="2"/>
        <v>2S21</v>
      </c>
      <c r="J7" s="12" t="str">
        <f t="shared" si="2"/>
        <v>2S21</v>
      </c>
      <c r="K7" s="12"/>
      <c r="L7" s="12"/>
      <c r="M7" s="12"/>
      <c r="N7" s="12"/>
      <c r="O7" s="12"/>
      <c r="P7" s="12"/>
      <c r="Q7" s="12"/>
      <c r="R7" s="12"/>
      <c r="S7" s="13">
        <f>EDATE(S8,-11)</f>
        <v>44197</v>
      </c>
      <c r="U7" s="13"/>
      <c r="V7" s="13"/>
    </row>
    <row r="8" spans="1:24" s="11" customFormat="1" x14ac:dyDescent="0.2">
      <c r="A8" s="57"/>
      <c r="B8" s="11" t="s">
        <v>2</v>
      </c>
      <c r="C8" s="13">
        <v>43891</v>
      </c>
      <c r="D8" s="13">
        <f>EDATE(C8,3)</f>
        <v>43983</v>
      </c>
      <c r="E8" s="13">
        <f t="shared" ref="E8:J8" si="3">EDATE(D8,3)</f>
        <v>44075</v>
      </c>
      <c r="F8" s="13">
        <f t="shared" si="3"/>
        <v>44166</v>
      </c>
      <c r="G8" s="13">
        <f t="shared" si="3"/>
        <v>44256</v>
      </c>
      <c r="H8" s="13">
        <f t="shared" si="3"/>
        <v>44348</v>
      </c>
      <c r="I8" s="13">
        <f t="shared" si="3"/>
        <v>44440</v>
      </c>
      <c r="J8" s="13">
        <f t="shared" si="3"/>
        <v>44531</v>
      </c>
      <c r="K8" s="12"/>
      <c r="L8" s="13">
        <v>43983</v>
      </c>
      <c r="M8" s="13">
        <f>EDATE(L8,6)</f>
        <v>44166</v>
      </c>
      <c r="N8" s="13">
        <f>EDATE(M8,6)</f>
        <v>44348</v>
      </c>
      <c r="O8" s="13">
        <f>EDATE(N8,6)</f>
        <v>44531</v>
      </c>
      <c r="P8" s="12"/>
      <c r="Q8" s="13">
        <v>44166</v>
      </c>
      <c r="R8" s="13">
        <v>44531</v>
      </c>
      <c r="S8" s="13">
        <v>44531</v>
      </c>
      <c r="U8" s="13"/>
      <c r="V8" s="13"/>
    </row>
    <row r="9" spans="1:24" ht="5.0999999999999996" customHeight="1" x14ac:dyDescent="0.2"/>
    <row r="10" spans="1:24" s="18" customFormat="1" ht="15" x14ac:dyDescent="0.2">
      <c r="A10" s="56"/>
      <c r="B10" s="19" t="s">
        <v>4</v>
      </c>
      <c r="C10" s="20"/>
      <c r="D10" s="20"/>
      <c r="E10" s="20"/>
      <c r="F10" s="20"/>
      <c r="G10" s="20"/>
      <c r="H10" s="20"/>
      <c r="I10" s="20"/>
      <c r="J10" s="20"/>
      <c r="K10" s="17"/>
      <c r="L10" s="20"/>
      <c r="M10" s="20"/>
      <c r="N10" s="20"/>
      <c r="O10" s="20"/>
      <c r="P10" s="17"/>
      <c r="Q10" s="21"/>
      <c r="R10" s="21"/>
      <c r="S10" s="21"/>
      <c r="U10" s="21"/>
      <c r="V10" s="21"/>
    </row>
    <row r="11" spans="1:24" x14ac:dyDescent="0.2">
      <c r="U11" s="72"/>
    </row>
    <row r="12" spans="1:24" s="10" customFormat="1" x14ac:dyDescent="0.2">
      <c r="A12" s="58"/>
      <c r="B12" s="22" t="s">
        <v>5</v>
      </c>
      <c r="C12" s="45">
        <f>SUM(C13:C14)</f>
        <v>921.45625775262477</v>
      </c>
      <c r="D12" s="45">
        <f t="shared" ref="D12:J12" si="4">SUM(D13:D14)</f>
        <v>678.49241912777529</v>
      </c>
      <c r="E12" s="45">
        <f t="shared" si="4"/>
        <v>929.27932311960001</v>
      </c>
      <c r="F12" s="45">
        <f t="shared" si="4"/>
        <v>1028.586</v>
      </c>
      <c r="G12" s="45">
        <f t="shared" si="4"/>
        <v>963.72236483012512</v>
      </c>
      <c r="H12" s="45">
        <f t="shared" si="4"/>
        <v>1239.10903647285</v>
      </c>
      <c r="I12" s="45">
        <f t="shared" si="4"/>
        <v>1543.9905986970248</v>
      </c>
      <c r="J12" s="45">
        <f t="shared" si="4"/>
        <v>1621.2829999999999</v>
      </c>
      <c r="K12" s="46"/>
      <c r="L12" s="45">
        <f ca="1">SUMIF($B$7:$K$7,L$4,$B12:$J12)</f>
        <v>1599.9486768803999</v>
      </c>
      <c r="M12" s="45">
        <f t="shared" ref="M12:O28" ca="1" si="5">SUMIF($B$7:$K$7,M$4,$B12:$J12)</f>
        <v>1957.8653231195999</v>
      </c>
      <c r="N12" s="45">
        <f t="shared" ca="1" si="5"/>
        <v>2202.8314013029749</v>
      </c>
      <c r="O12" s="45">
        <f t="shared" ca="1" si="5"/>
        <v>3165.2735986970247</v>
      </c>
      <c r="P12" s="46"/>
      <c r="Q12" s="45">
        <f ca="1">SUMIF($B$6:$K$6,Q$4,$B12:$J12)</f>
        <v>3557.8140000000003</v>
      </c>
      <c r="R12" s="45">
        <f t="shared" ref="R12:R47" ca="1" si="6">SUMIF($B$6:$K$6,R$4,$B12:$J12)</f>
        <v>5368.1049999999996</v>
      </c>
      <c r="S12" s="45">
        <f>SUMIFS($B12:$K12,$B$8:$K$8,"&gt;="&amp;$S$7,$B$8:$K$8,"&lt;="&amp;$S$8)</f>
        <v>5368.1049999999996</v>
      </c>
      <c r="U12" s="73">
        <f ca="1">SUMIF($C$4:$T$4,$U$2,$C12:$T12)/SUMIF($C$4:$T$4,$V$2,$C12:$T12)-1</f>
        <v>0.50882114691774194</v>
      </c>
      <c r="V12" s="45">
        <f ca="1">SUMIF($C$4:$T$4,$U$2,$C12:$T12)-SUMIF($C$4:$T$4,$V$2,$C12:$T12)</f>
        <v>1810.2909999999993</v>
      </c>
    </row>
    <row r="13" spans="1:24" x14ac:dyDescent="0.2">
      <c r="B13" s="14" t="s">
        <v>6</v>
      </c>
      <c r="C13" s="47">
        <v>725.68157119999978</v>
      </c>
      <c r="D13" s="47">
        <v>493.18042880000024</v>
      </c>
      <c r="E13" s="47">
        <v>721.69200000000001</v>
      </c>
      <c r="F13" s="47">
        <v>816.28899999999999</v>
      </c>
      <c r="G13" s="47">
        <v>752.61800000000005</v>
      </c>
      <c r="H13" s="47">
        <v>992.02300000000002</v>
      </c>
      <c r="I13" s="47">
        <v>1274.8969999999999</v>
      </c>
      <c r="J13" s="47">
        <v>1323.096</v>
      </c>
      <c r="K13" s="47"/>
      <c r="L13" s="47">
        <f t="shared" ref="L13:L14" ca="1" si="7">SUMIF($B$7:$K$7,L$4,$B13:$J13)</f>
        <v>1218.8620000000001</v>
      </c>
      <c r="M13" s="47">
        <f t="shared" ca="1" si="5"/>
        <v>1537.981</v>
      </c>
      <c r="N13" s="47">
        <f t="shared" ca="1" si="5"/>
        <v>1744.6410000000001</v>
      </c>
      <c r="O13" s="47">
        <f t="shared" ca="1" si="5"/>
        <v>2597.9929999999999</v>
      </c>
      <c r="P13" s="47"/>
      <c r="Q13" s="47">
        <f t="shared" ref="Q13:Q14" ca="1" si="8">SUMIF($B$6:$K$6,Q$4,$B13:$J13)</f>
        <v>2756.8429999999998</v>
      </c>
      <c r="R13" s="47">
        <f t="shared" ca="1" si="6"/>
        <v>4342.634</v>
      </c>
      <c r="S13" s="47">
        <f t="shared" ref="S13:S14" si="9">SUMIFS($B13:$K13,$B$8:$K$8,"&gt;="&amp;$S$7,$B$8:$K$8,"&lt;="&amp;$S$8)</f>
        <v>4342.634</v>
      </c>
      <c r="U13" s="74">
        <f ca="1">SUMIF($C$4:$T$4,$U$2,$C13:$T13)/SUMIF($C$4:$T$4,$V$2,$C13:$T13)-1</f>
        <v>0.57521991640438008</v>
      </c>
      <c r="V13" s="47">
        <f ca="1">SUMIF($C$4:$T$4,$U$2,$C13:$T13)-SUMIF($C$4:$T$4,$V$2,$C13:$T13)</f>
        <v>1585.7910000000002</v>
      </c>
    </row>
    <row r="14" spans="1:24" x14ac:dyDescent="0.2">
      <c r="B14" s="14" t="s">
        <v>7</v>
      </c>
      <c r="C14" s="47">
        <v>195.77468655262501</v>
      </c>
      <c r="D14" s="47">
        <v>185.31199032777499</v>
      </c>
      <c r="E14" s="47">
        <v>207.5873231196</v>
      </c>
      <c r="F14" s="47">
        <v>212.297</v>
      </c>
      <c r="G14" s="47">
        <v>211.10436483012501</v>
      </c>
      <c r="H14" s="47">
        <v>247.08603647285003</v>
      </c>
      <c r="I14" s="47">
        <v>269.09359869702496</v>
      </c>
      <c r="J14" s="47">
        <v>298.18700000000001</v>
      </c>
      <c r="K14" s="47"/>
      <c r="L14" s="47">
        <f t="shared" ca="1" si="7"/>
        <v>381.08667688039998</v>
      </c>
      <c r="M14" s="47">
        <f t="shared" ca="1" si="5"/>
        <v>419.88432311960003</v>
      </c>
      <c r="N14" s="47">
        <f t="shared" ca="1" si="5"/>
        <v>458.19040130297503</v>
      </c>
      <c r="O14" s="47">
        <f t="shared" ca="1" si="5"/>
        <v>567.28059869702497</v>
      </c>
      <c r="P14" s="47"/>
      <c r="Q14" s="47">
        <f t="shared" ca="1" si="8"/>
        <v>800.971</v>
      </c>
      <c r="R14" s="47">
        <f t="shared" ca="1" si="6"/>
        <v>1025.471</v>
      </c>
      <c r="S14" s="47">
        <f t="shared" si="9"/>
        <v>1025.471</v>
      </c>
      <c r="U14" s="74">
        <f ca="1">SUMIF($C$4:$T$4,$U$2,$C14:$T14)/SUMIF($C$4:$T$4,$V$2,$C14:$T14)-1</f>
        <v>0.28028480431875802</v>
      </c>
      <c r="V14" s="47">
        <f ca="1">SUMIF($C$4:$T$4,$U$2,$C14:$T14)-SUMIF($C$4:$T$4,$V$2,$C14:$T14)</f>
        <v>224.5</v>
      </c>
    </row>
    <row r="15" spans="1:24" ht="5.0999999999999996" customHeight="1" x14ac:dyDescent="0.2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U15" s="74"/>
      <c r="V15" s="47"/>
    </row>
    <row r="16" spans="1:24" s="10" customFormat="1" x14ac:dyDescent="0.2">
      <c r="A16" s="58"/>
      <c r="B16" s="31" t="s">
        <v>12</v>
      </c>
      <c r="C16" s="48">
        <f>SUM(C17:C18)</f>
        <v>-673.49124730000005</v>
      </c>
      <c r="D16" s="48">
        <f t="shared" ref="D16" si="10">SUM(D17:D18)</f>
        <v>-466.19675269999999</v>
      </c>
      <c r="E16" s="48">
        <f t="shared" ref="E16" si="11">SUM(E17:E18)</f>
        <v>-676.66499999999996</v>
      </c>
      <c r="F16" s="48">
        <f t="shared" ref="F16" si="12">SUM(F17:F18)</f>
        <v>-744.62200000000007</v>
      </c>
      <c r="G16" s="48">
        <f t="shared" ref="G16" si="13">SUM(G17:G18)</f>
        <v>-665.31400000000008</v>
      </c>
      <c r="H16" s="48">
        <f t="shared" ref="H16" si="14">SUM(H17:H18)</f>
        <v>-887.11500000000001</v>
      </c>
      <c r="I16" s="48">
        <f t="shared" ref="I16" si="15">SUM(I17:I18)</f>
        <v>-1138.297</v>
      </c>
      <c r="J16" s="48">
        <f t="shared" ref="J16" si="16">SUM(J17:J18)</f>
        <v>-1217.2809999999999</v>
      </c>
      <c r="K16" s="46"/>
      <c r="L16" s="48">
        <f ca="1">SUMIF($B$7:$K$7,L$4,$B16:$J16)</f>
        <v>-1139.6880000000001</v>
      </c>
      <c r="M16" s="48">
        <f t="shared" ca="1" si="5"/>
        <v>-1421.287</v>
      </c>
      <c r="N16" s="48">
        <f t="shared" ca="1" si="5"/>
        <v>-1552.4290000000001</v>
      </c>
      <c r="O16" s="48">
        <f t="shared" ca="1" si="5"/>
        <v>-2355.578</v>
      </c>
      <c r="P16" s="46"/>
      <c r="Q16" s="48">
        <f ca="1">SUMIF($B$6:$K$6,Q$4,$B16:$J16)</f>
        <v>-2560.9750000000004</v>
      </c>
      <c r="R16" s="48">
        <f t="shared" ca="1" si="6"/>
        <v>-3908.0070000000001</v>
      </c>
      <c r="S16" s="48">
        <f t="shared" ref="S16:S18" si="17">SUMIFS($B16:$K16,$B$8:$K$8,"&gt;="&amp;$S$7,$B$8:$K$8,"&lt;="&amp;$S$8)</f>
        <v>-3908.0070000000001</v>
      </c>
      <c r="U16" s="75">
        <f ca="1">SUMIF($C$4:$T$4,$U$2,$C16:$T16)/SUMIF($C$4:$T$4,$V$2,$C16:$T16)-1</f>
        <v>0.52598404904382101</v>
      </c>
      <c r="V16" s="48">
        <f ca="1">SUMIF($C$4:$T$4,$U$2,$C16:$T16)-SUMIF($C$4:$T$4,$V$2,$C16:$T16)</f>
        <v>-1347.0319999999997</v>
      </c>
    </row>
    <row r="17" spans="1:22" x14ac:dyDescent="0.2">
      <c r="B17" s="14" t="s">
        <v>13</v>
      </c>
      <c r="C17" s="47">
        <v>-633.03526881000005</v>
      </c>
      <c r="D17" s="47">
        <v>-426.59773118999999</v>
      </c>
      <c r="E17" s="47">
        <v>-629.50099999999998</v>
      </c>
      <c r="F17" s="47">
        <v>-693.72500000000002</v>
      </c>
      <c r="G17" s="47">
        <v>-627.45100000000002</v>
      </c>
      <c r="H17" s="47">
        <v>-822.78300000000002</v>
      </c>
      <c r="I17" s="47">
        <v>-1070.748</v>
      </c>
      <c r="J17" s="47">
        <v>-1119.7929999999999</v>
      </c>
      <c r="K17" s="47"/>
      <c r="L17" s="47">
        <f t="shared" ref="L17:L18" ca="1" si="18">SUMIF($B$7:$K$7,L$4,$B17:$J17)</f>
        <v>-1059.633</v>
      </c>
      <c r="M17" s="47">
        <f t="shared" ca="1" si="5"/>
        <v>-1323.2260000000001</v>
      </c>
      <c r="N17" s="47">
        <f t="shared" ca="1" si="5"/>
        <v>-1450.2339999999999</v>
      </c>
      <c r="O17" s="47">
        <f t="shared" ca="1" si="5"/>
        <v>-2190.5410000000002</v>
      </c>
      <c r="P17" s="47"/>
      <c r="Q17" s="47">
        <f t="shared" ref="Q17:Q18" ca="1" si="19">SUMIF($B$6:$K$6,Q$4,$B17:$J17)</f>
        <v>-2382.8589999999999</v>
      </c>
      <c r="R17" s="47">
        <f t="shared" ca="1" si="6"/>
        <v>-3640.7749999999996</v>
      </c>
      <c r="S17" s="47">
        <f t="shared" si="17"/>
        <v>-3640.7749999999996</v>
      </c>
      <c r="U17" s="74">
        <f ca="1">SUMIF($C$4:$T$4,$U$2,$C17:$T17)/SUMIF($C$4:$T$4,$V$2,$C17:$T17)-1</f>
        <v>0.52790198664713262</v>
      </c>
      <c r="V17" s="47">
        <f ca="1">SUMIF($C$4:$T$4,$U$2,$C17:$T17)-SUMIF($C$4:$T$4,$V$2,$C17:$T17)</f>
        <v>-1257.9159999999997</v>
      </c>
    </row>
    <row r="18" spans="1:22" x14ac:dyDescent="0.2">
      <c r="B18" s="14" t="s">
        <v>14</v>
      </c>
      <c r="C18" s="47">
        <v>-40.45597849</v>
      </c>
      <c r="D18" s="47">
        <v>-39.59902151</v>
      </c>
      <c r="E18" s="47">
        <v>-47.164000000000001</v>
      </c>
      <c r="F18" s="47">
        <v>-50.896999999999998</v>
      </c>
      <c r="G18" s="47">
        <v>-37.863</v>
      </c>
      <c r="H18" s="47">
        <v>-64.331999999999994</v>
      </c>
      <c r="I18" s="47">
        <v>-67.549000000000007</v>
      </c>
      <c r="J18" s="47">
        <v>-97.488</v>
      </c>
      <c r="K18" s="47"/>
      <c r="L18" s="47">
        <f t="shared" ca="1" si="18"/>
        <v>-80.055000000000007</v>
      </c>
      <c r="M18" s="47">
        <f t="shared" ca="1" si="5"/>
        <v>-98.061000000000007</v>
      </c>
      <c r="N18" s="47">
        <f t="shared" ca="1" si="5"/>
        <v>-102.19499999999999</v>
      </c>
      <c r="O18" s="47">
        <f t="shared" ca="1" si="5"/>
        <v>-165.03700000000001</v>
      </c>
      <c r="P18" s="47"/>
      <c r="Q18" s="47">
        <f t="shared" ca="1" si="19"/>
        <v>-178.11600000000001</v>
      </c>
      <c r="R18" s="47">
        <f t="shared" ca="1" si="6"/>
        <v>-267.23199999999997</v>
      </c>
      <c r="S18" s="47">
        <f t="shared" si="17"/>
        <v>-267.23199999999997</v>
      </c>
      <c r="U18" s="74">
        <f ca="1">SUMIF($C$4:$T$4,$U$2,$C18:$T18)/SUMIF($C$4:$T$4,$V$2,$C18:$T18)-1</f>
        <v>0.50032563048799639</v>
      </c>
      <c r="V18" s="47">
        <f ca="1">SUMIF($C$4:$T$4,$U$2,$C18:$T18)-SUMIF($C$4:$T$4,$V$2,$C18:$T18)</f>
        <v>-89.115999999999957</v>
      </c>
    </row>
    <row r="19" spans="1:22" ht="5.0999999999999996" customHeight="1" x14ac:dyDescent="0.2"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U19" s="74"/>
      <c r="V19" s="47"/>
    </row>
    <row r="20" spans="1:22" s="10" customFormat="1" x14ac:dyDescent="0.2">
      <c r="A20" s="58"/>
      <c r="B20" s="22" t="s">
        <v>15</v>
      </c>
      <c r="C20" s="45">
        <f>SUM(C21:C22)</f>
        <v>247.96501045262474</v>
      </c>
      <c r="D20" s="45">
        <f t="shared" ref="D20:J20" si="20">SUM(D21:D22)</f>
        <v>212.29566642777525</v>
      </c>
      <c r="E20" s="45">
        <f t="shared" si="20"/>
        <v>252.61432311960004</v>
      </c>
      <c r="F20" s="45">
        <f t="shared" si="20"/>
        <v>283.96399999999994</v>
      </c>
      <c r="G20" s="45">
        <f t="shared" si="20"/>
        <v>298.40836483012504</v>
      </c>
      <c r="H20" s="45">
        <f t="shared" si="20"/>
        <v>351.99403647285004</v>
      </c>
      <c r="I20" s="45">
        <f t="shared" si="20"/>
        <v>405.69359869702487</v>
      </c>
      <c r="J20" s="45">
        <f t="shared" si="20"/>
        <v>404.00200000000012</v>
      </c>
      <c r="K20" s="46"/>
      <c r="L20" s="45">
        <f ca="1">SUMIF($B$7:$K$7,L$4,$B20:$J20)</f>
        <v>460.26067688039996</v>
      </c>
      <c r="M20" s="45">
        <f t="shared" ca="1" si="5"/>
        <v>536.57832311959999</v>
      </c>
      <c r="N20" s="45">
        <f t="shared" ca="1" si="5"/>
        <v>650.40240130297502</v>
      </c>
      <c r="O20" s="45">
        <f t="shared" ca="1" si="5"/>
        <v>809.69559869702493</v>
      </c>
      <c r="P20" s="46"/>
      <c r="Q20" s="45">
        <f ca="1">SUMIF($B$6:$K$6,Q$4,$B20:$J20)</f>
        <v>996.83899999999994</v>
      </c>
      <c r="R20" s="45">
        <f t="shared" ca="1" si="6"/>
        <v>1460.0980000000002</v>
      </c>
      <c r="S20" s="45">
        <f t="shared" ref="S20:S22" si="21">SUMIFS($B20:$K20,$B$8:$K$8,"&gt;="&amp;$S$7,$B$8:$K$8,"&lt;="&amp;$S$8)</f>
        <v>1460.0980000000002</v>
      </c>
      <c r="U20" s="73">
        <f ca="1">SUMIF($C$4:$T$4,$U$2,$C20:$T20)/SUMIF($C$4:$T$4,$V$2,$C20:$T20)-1</f>
        <v>0.46472800522451485</v>
      </c>
      <c r="V20" s="45">
        <f ca="1">SUMIF($C$4:$T$4,$U$2,$C20:$T20)-SUMIF($C$4:$T$4,$V$2,$C20:$T20)</f>
        <v>463.25900000000024</v>
      </c>
    </row>
    <row r="21" spans="1:22" x14ac:dyDescent="0.2">
      <c r="B21" s="14" t="s">
        <v>16</v>
      </c>
      <c r="C21" s="47">
        <f>SUM(C13,C17)</f>
        <v>92.646302389999732</v>
      </c>
      <c r="D21" s="47">
        <f t="shared" ref="D21:J21" si="22">SUM(D13,D17)</f>
        <v>66.582697610000253</v>
      </c>
      <c r="E21" s="47">
        <f t="shared" si="22"/>
        <v>92.191000000000031</v>
      </c>
      <c r="F21" s="47">
        <f t="shared" si="22"/>
        <v>122.56399999999996</v>
      </c>
      <c r="G21" s="47">
        <f t="shared" si="22"/>
        <v>125.16700000000003</v>
      </c>
      <c r="H21" s="47">
        <f t="shared" si="22"/>
        <v>169.24</v>
      </c>
      <c r="I21" s="47">
        <f t="shared" si="22"/>
        <v>204.14899999999989</v>
      </c>
      <c r="J21" s="47">
        <f t="shared" si="22"/>
        <v>203.30300000000011</v>
      </c>
      <c r="K21" s="47"/>
      <c r="L21" s="47">
        <f t="shared" ref="L21:L22" ca="1" si="23">SUMIF($B$7:$K$7,L$4,$B21:$J21)</f>
        <v>159.22899999999998</v>
      </c>
      <c r="M21" s="47">
        <f t="shared" ca="1" si="5"/>
        <v>214.755</v>
      </c>
      <c r="N21" s="47">
        <f t="shared" ca="1" si="5"/>
        <v>294.40700000000004</v>
      </c>
      <c r="O21" s="47">
        <f t="shared" ca="1" si="5"/>
        <v>407.452</v>
      </c>
      <c r="P21" s="47"/>
      <c r="Q21" s="47">
        <f t="shared" ref="Q21:Q22" ca="1" si="24">SUMIF($B$6:$K$6,Q$4,$B21:$J21)</f>
        <v>373.98399999999998</v>
      </c>
      <c r="R21" s="47">
        <f t="shared" ca="1" si="6"/>
        <v>701.85900000000004</v>
      </c>
      <c r="S21" s="47">
        <f t="shared" si="21"/>
        <v>701.85900000000004</v>
      </c>
      <c r="U21" s="74">
        <f ca="1">SUMIF($C$4:$T$4,$U$2,$C21:$T21)/SUMIF($C$4:$T$4,$V$2,$C21:$T21)-1</f>
        <v>0.87670862924617121</v>
      </c>
      <c r="V21" s="47">
        <f ca="1">SUMIF($C$4:$T$4,$U$2,$C21:$T21)-SUMIF($C$4:$T$4,$V$2,$C21:$T21)</f>
        <v>327.87500000000006</v>
      </c>
    </row>
    <row r="22" spans="1:22" x14ac:dyDescent="0.2">
      <c r="B22" s="14" t="s">
        <v>17</v>
      </c>
      <c r="C22" s="47">
        <f t="shared" ref="C22:J22" si="25">SUM(C14,C18)</f>
        <v>155.31870806262501</v>
      </c>
      <c r="D22" s="47">
        <f t="shared" si="25"/>
        <v>145.71296881777499</v>
      </c>
      <c r="E22" s="47">
        <f t="shared" si="25"/>
        <v>160.42332311960001</v>
      </c>
      <c r="F22" s="47">
        <f t="shared" si="25"/>
        <v>161.4</v>
      </c>
      <c r="G22" s="47">
        <f t="shared" si="25"/>
        <v>173.24136483012501</v>
      </c>
      <c r="H22" s="47">
        <f t="shared" si="25"/>
        <v>182.75403647285003</v>
      </c>
      <c r="I22" s="47">
        <f t="shared" si="25"/>
        <v>201.54459869702495</v>
      </c>
      <c r="J22" s="47">
        <f t="shared" si="25"/>
        <v>200.69900000000001</v>
      </c>
      <c r="K22" s="47"/>
      <c r="L22" s="47">
        <f t="shared" ca="1" si="23"/>
        <v>301.03167688040003</v>
      </c>
      <c r="M22" s="47">
        <f t="shared" ca="1" si="5"/>
        <v>321.82332311959999</v>
      </c>
      <c r="N22" s="47">
        <f t="shared" ca="1" si="5"/>
        <v>355.99540130297504</v>
      </c>
      <c r="O22" s="47">
        <f t="shared" ca="1" si="5"/>
        <v>402.24359869702494</v>
      </c>
      <c r="P22" s="47"/>
      <c r="Q22" s="47">
        <f t="shared" ca="1" si="24"/>
        <v>622.85500000000002</v>
      </c>
      <c r="R22" s="47">
        <f t="shared" ca="1" si="6"/>
        <v>758.23900000000003</v>
      </c>
      <c r="S22" s="47">
        <f t="shared" si="21"/>
        <v>758.23900000000003</v>
      </c>
      <c r="U22" s="74">
        <f ca="1">SUMIF($C$4:$T$4,$U$2,$C22:$T22)/SUMIF($C$4:$T$4,$V$2,$C22:$T22)-1</f>
        <v>0.21736038082699838</v>
      </c>
      <c r="V22" s="47">
        <f ca="1">SUMIF($C$4:$T$4,$U$2,$C22:$T22)-SUMIF($C$4:$T$4,$V$2,$C22:$T22)</f>
        <v>135.38400000000001</v>
      </c>
    </row>
    <row r="23" spans="1:22" ht="5.0999999999999996" customHeight="1" x14ac:dyDescent="0.2"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U23" s="74"/>
      <c r="V23" s="47"/>
    </row>
    <row r="24" spans="1:22" s="39" customFormat="1" x14ac:dyDescent="0.2">
      <c r="A24" s="59"/>
      <c r="B24" s="36" t="s">
        <v>20</v>
      </c>
      <c r="C24" s="49">
        <f>SUM(C25:C26)</f>
        <v>-51.968414929999994</v>
      </c>
      <c r="D24" s="49">
        <f t="shared" ref="D24" si="26">SUM(D25:D26)</f>
        <v>-46.579088769702082</v>
      </c>
      <c r="E24" s="49">
        <f t="shared" ref="E24" si="27">SUM(E25:E26)</f>
        <v>-52.083346674622916</v>
      </c>
      <c r="F24" s="49">
        <f t="shared" ref="F24" si="28">SUM(F25:F26)</f>
        <v>-58.907518717707489</v>
      </c>
      <c r="G24" s="49">
        <f t="shared" ref="G24" si="29">SUM(G25:G26)</f>
        <v>-54.169564935677201</v>
      </c>
      <c r="H24" s="49">
        <f t="shared" ref="H24" si="30">SUM(H25:H26)</f>
        <v>-62.772984894814755</v>
      </c>
      <c r="I24" s="49">
        <f t="shared" ref="I24" si="31">SUM(I25:I26)</f>
        <v>-79.906611452902524</v>
      </c>
      <c r="J24" s="49">
        <f t="shared" ref="J24" si="32">SUM(J25:J26)</f>
        <v>-79.216246121855121</v>
      </c>
      <c r="K24" s="50"/>
      <c r="L24" s="49">
        <f ca="1">SUMIF($B$7:$K$7,L$4,$B24:$J24)</f>
        <v>-98.547503699702077</v>
      </c>
      <c r="M24" s="49">
        <f t="shared" ca="1" si="5"/>
        <v>-110.99086539233041</v>
      </c>
      <c r="N24" s="49">
        <f t="shared" ca="1" si="5"/>
        <v>-116.94254983049196</v>
      </c>
      <c r="O24" s="49">
        <f t="shared" ca="1" si="5"/>
        <v>-159.12285757475763</v>
      </c>
      <c r="P24" s="50"/>
      <c r="Q24" s="49">
        <f ca="1">SUMIF($B$6:$K$6,Q$4,$B24:$J24)</f>
        <v>-209.5383690920325</v>
      </c>
      <c r="R24" s="49">
        <f t="shared" ca="1" si="6"/>
        <v>-276.06540740524963</v>
      </c>
      <c r="S24" s="49">
        <f t="shared" ref="S24:S26" si="33">SUMIFS($B24:$K24,$B$8:$K$8,"&gt;="&amp;$S$7,$B$8:$K$8,"&lt;="&amp;$S$8)</f>
        <v>-276.06540740524963</v>
      </c>
      <c r="U24" s="75">
        <f ca="1">SUMIF($C$4:$T$4,$U$2,$C24:$T24)/SUMIF($C$4:$T$4,$V$2,$C24:$T24)-1</f>
        <v>0.31749334788416439</v>
      </c>
      <c r="V24" s="48">
        <f ca="1">SUMIF($C$4:$T$4,$U$2,$C24:$T24)-SUMIF($C$4:$T$4,$V$2,$C24:$T24)</f>
        <v>-66.527038313217133</v>
      </c>
    </row>
    <row r="25" spans="1:22" x14ac:dyDescent="0.2">
      <c r="B25" s="14" t="s">
        <v>18</v>
      </c>
      <c r="C25" s="47">
        <v>-25.4942514</v>
      </c>
      <c r="D25" s="47">
        <v>-19.151051189999997</v>
      </c>
      <c r="E25" s="47">
        <v>-23.35644721000001</v>
      </c>
      <c r="F25" s="47">
        <v>-30.84196652999999</v>
      </c>
      <c r="G25" s="47">
        <v>-29.369114840000005</v>
      </c>
      <c r="H25" s="47">
        <v>-34.061924830000002</v>
      </c>
      <c r="I25" s="47">
        <v>-46.377683209999965</v>
      </c>
      <c r="J25" s="47">
        <v>-44.184715440000033</v>
      </c>
      <c r="K25" s="47"/>
      <c r="L25" s="47">
        <f t="shared" ref="L25:L26" ca="1" si="34">SUMIF($B$7:$K$7,L$4,$B25:$J25)</f>
        <v>-44.64530259</v>
      </c>
      <c r="M25" s="47">
        <f t="shared" ca="1" si="5"/>
        <v>-54.198413739999999</v>
      </c>
      <c r="N25" s="47">
        <f t="shared" ca="1" si="5"/>
        <v>-63.431039670000004</v>
      </c>
      <c r="O25" s="47">
        <f t="shared" ca="1" si="5"/>
        <v>-90.562398650000006</v>
      </c>
      <c r="P25" s="47"/>
      <c r="Q25" s="47">
        <f t="shared" ref="Q25:Q26" ca="1" si="35">SUMIF($B$6:$K$6,Q$4,$B25:$J25)</f>
        <v>-98.843716330000007</v>
      </c>
      <c r="R25" s="47">
        <f t="shared" ca="1" si="6"/>
        <v>-153.99343832</v>
      </c>
      <c r="S25" s="47">
        <f t="shared" si="33"/>
        <v>-153.99343832</v>
      </c>
      <c r="U25" s="74">
        <f ca="1">SUMIF($C$4:$T$4,$U$2,$C25:$T25)/SUMIF($C$4:$T$4,$V$2,$C25:$T25)-1</f>
        <v>0.5579486894834762</v>
      </c>
      <c r="V25" s="47">
        <f ca="1">SUMIF($C$4:$T$4,$U$2,$C25:$T25)-SUMIF($C$4:$T$4,$V$2,$C25:$T25)</f>
        <v>-55.149721989999989</v>
      </c>
    </row>
    <row r="26" spans="1:22" x14ac:dyDescent="0.2">
      <c r="B26" s="14" t="s">
        <v>19</v>
      </c>
      <c r="C26" s="47">
        <v>-26.474163529999998</v>
      </c>
      <c r="D26" s="47">
        <v>-27.428037579702089</v>
      </c>
      <c r="E26" s="47">
        <v>-28.726899464622903</v>
      </c>
      <c r="F26" s="47">
        <v>-28.0655521877075</v>
      </c>
      <c r="G26" s="47">
        <v>-24.800450095677199</v>
      </c>
      <c r="H26" s="47">
        <v>-28.711060064814752</v>
      </c>
      <c r="I26" s="47">
        <v>-33.528928242902559</v>
      </c>
      <c r="J26" s="47">
        <v>-35.031530681855088</v>
      </c>
      <c r="K26" s="47"/>
      <c r="L26" s="47">
        <f t="shared" ca="1" si="34"/>
        <v>-53.902201109702091</v>
      </c>
      <c r="M26" s="47">
        <f t="shared" ca="1" si="5"/>
        <v>-56.792451652330399</v>
      </c>
      <c r="N26" s="47">
        <f t="shared" ca="1" si="5"/>
        <v>-53.511510160491952</v>
      </c>
      <c r="O26" s="47">
        <f t="shared" ca="1" si="5"/>
        <v>-68.560458924757654</v>
      </c>
      <c r="P26" s="47"/>
      <c r="Q26" s="47">
        <f t="shared" ca="1" si="35"/>
        <v>-110.69465276203249</v>
      </c>
      <c r="R26" s="47">
        <f t="shared" ca="1" si="6"/>
        <v>-122.07196908524961</v>
      </c>
      <c r="S26" s="47">
        <f t="shared" si="33"/>
        <v>-122.07196908524961</v>
      </c>
      <c r="U26" s="74">
        <f ca="1">SUMIF($C$4:$T$4,$U$2,$C26:$T26)/SUMIF($C$4:$T$4,$V$2,$C26:$T26)-1</f>
        <v>0.10278108327125501</v>
      </c>
      <c r="V26" s="47">
        <f ca="1">SUMIF($C$4:$T$4,$U$2,$C26:$T26)-SUMIF($C$4:$T$4,$V$2,$C26:$T26)</f>
        <v>-11.377316323217116</v>
      </c>
    </row>
    <row r="27" spans="1:22" ht="5.0999999999999996" customHeight="1" x14ac:dyDescent="0.2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U27" s="74"/>
      <c r="V27" s="47"/>
    </row>
    <row r="28" spans="1:22" s="10" customFormat="1" x14ac:dyDescent="0.2">
      <c r="A28" s="58"/>
      <c r="B28" s="22" t="s">
        <v>22</v>
      </c>
      <c r="C28" s="45">
        <f>SUM(C29:C30)</f>
        <v>195.99659552262474</v>
      </c>
      <c r="D28" s="45">
        <f t="shared" ref="D28" si="36">SUM(D29:D30)</f>
        <v>165.71657765807316</v>
      </c>
      <c r="E28" s="45">
        <f t="shared" ref="E28" si="37">SUM(E29:E30)</f>
        <v>200.53097644497711</v>
      </c>
      <c r="F28" s="45">
        <f t="shared" ref="F28" si="38">SUM(F29:F30)</f>
        <v>225.05648128229245</v>
      </c>
      <c r="G28" s="45">
        <f t="shared" ref="G28" si="39">SUM(G29:G30)</f>
        <v>244.23879989444782</v>
      </c>
      <c r="H28" s="45">
        <f t="shared" ref="H28" si="40">SUM(H29:H30)</f>
        <v>289.22105157803526</v>
      </c>
      <c r="I28" s="45">
        <f t="shared" ref="I28" si="41">SUM(I29:I30)</f>
        <v>325.78698724412232</v>
      </c>
      <c r="J28" s="45">
        <f t="shared" ref="J28" si="42">SUM(J29:J30)</f>
        <v>324.78575387814499</v>
      </c>
      <c r="K28" s="46"/>
      <c r="L28" s="45">
        <f ca="1">SUMIF($B$7:$K$7,L$4,$B28:$J28)</f>
        <v>361.71317318069794</v>
      </c>
      <c r="M28" s="45">
        <f t="shared" ca="1" si="5"/>
        <v>425.58745772726957</v>
      </c>
      <c r="N28" s="45">
        <f t="shared" ca="1" si="5"/>
        <v>533.45985147248302</v>
      </c>
      <c r="O28" s="45">
        <f t="shared" ca="1" si="5"/>
        <v>650.5727411222673</v>
      </c>
      <c r="P28" s="46"/>
      <c r="Q28" s="45">
        <f ca="1">SUMIF($B$6:$K$6,Q$4,$B28:$J28)</f>
        <v>787.3006309079675</v>
      </c>
      <c r="R28" s="45">
        <f t="shared" ca="1" si="6"/>
        <v>1184.0325925947504</v>
      </c>
      <c r="S28" s="45">
        <f t="shared" ref="S28:S30" si="43">SUMIFS($B28:$K28,$B$8:$K$8,"&gt;="&amp;$S$7,$B$8:$K$8,"&lt;="&amp;$S$8)</f>
        <v>1184.0325925947504</v>
      </c>
      <c r="U28" s="73">
        <f ca="1">SUMIF($C$4:$T$4,$U$2,$C28:$T28)/SUMIF($C$4:$T$4,$V$2,$C28:$T28)-1</f>
        <v>0.50391419251022973</v>
      </c>
      <c r="V28" s="45">
        <f ca="1">SUMIF($C$4:$T$4,$U$2,$C28:$T28)-SUMIF($C$4:$T$4,$V$2,$C28:$T28)</f>
        <v>396.73196168678294</v>
      </c>
    </row>
    <row r="29" spans="1:22" x14ac:dyDescent="0.2">
      <c r="B29" s="14" t="s">
        <v>23</v>
      </c>
      <c r="C29" s="47">
        <f>SUM(C21,C25)</f>
        <v>67.152050989999736</v>
      </c>
      <c r="D29" s="47">
        <f t="shared" ref="D29:J29" si="44">SUM(D21,D25)</f>
        <v>47.431646420000256</v>
      </c>
      <c r="E29" s="47">
        <f t="shared" si="44"/>
        <v>68.834552790000018</v>
      </c>
      <c r="F29" s="47">
        <f t="shared" si="44"/>
        <v>91.722033469999971</v>
      </c>
      <c r="G29" s="47">
        <f t="shared" si="44"/>
        <v>95.797885160000021</v>
      </c>
      <c r="H29" s="47">
        <f t="shared" si="44"/>
        <v>135.17807517</v>
      </c>
      <c r="I29" s="47">
        <f t="shared" si="44"/>
        <v>157.77131678999993</v>
      </c>
      <c r="J29" s="47">
        <f t="shared" si="44"/>
        <v>159.11828456000006</v>
      </c>
      <c r="K29" s="47"/>
      <c r="L29" s="47">
        <f t="shared" ref="L29:O30" ca="1" si="45">SUMIF($B$7:$K$7,L$4,$B29:$J29)</f>
        <v>114.58369740999998</v>
      </c>
      <c r="M29" s="47">
        <f t="shared" ca="1" si="45"/>
        <v>160.55658625999999</v>
      </c>
      <c r="N29" s="47">
        <f t="shared" ca="1" si="45"/>
        <v>230.97596033000002</v>
      </c>
      <c r="O29" s="47">
        <f t="shared" ca="1" si="45"/>
        <v>316.88960135000002</v>
      </c>
      <c r="P29" s="47"/>
      <c r="Q29" s="47">
        <f t="shared" ref="Q29:Q30" ca="1" si="46">SUMIF($B$6:$K$6,Q$4,$B29:$J29)</f>
        <v>275.14028366999997</v>
      </c>
      <c r="R29" s="47">
        <f t="shared" ca="1" si="6"/>
        <v>547.86556167999993</v>
      </c>
      <c r="S29" s="47">
        <f t="shared" si="43"/>
        <v>547.86556167999993</v>
      </c>
      <c r="U29" s="74">
        <f ca="1">SUMIF($C$4:$T$4,$U$2,$C29:$T29)/SUMIF($C$4:$T$4,$V$2,$C29:$T29)-1</f>
        <v>0.9912226387652614</v>
      </c>
      <c r="V29" s="47">
        <f ca="1">SUMIF($C$4:$T$4,$U$2,$C29:$T29)-SUMIF($C$4:$T$4,$V$2,$C29:$T29)</f>
        <v>272.72527800999995</v>
      </c>
    </row>
    <row r="30" spans="1:22" x14ac:dyDescent="0.2">
      <c r="B30" s="14" t="s">
        <v>24</v>
      </c>
      <c r="C30" s="47">
        <f t="shared" ref="C30:J30" si="47">SUM(C22,C26)</f>
        <v>128.84454453262501</v>
      </c>
      <c r="D30" s="47">
        <f t="shared" si="47"/>
        <v>118.2849312380729</v>
      </c>
      <c r="E30" s="47">
        <f t="shared" si="47"/>
        <v>131.69642365497711</v>
      </c>
      <c r="F30" s="47">
        <f t="shared" si="47"/>
        <v>133.3344478122925</v>
      </c>
      <c r="G30" s="47">
        <f t="shared" si="47"/>
        <v>148.4409147344478</v>
      </c>
      <c r="H30" s="47">
        <f t="shared" si="47"/>
        <v>154.04297640803529</v>
      </c>
      <c r="I30" s="47">
        <f t="shared" si="47"/>
        <v>168.01567045412239</v>
      </c>
      <c r="J30" s="47">
        <f t="shared" si="47"/>
        <v>165.66746931814492</v>
      </c>
      <c r="K30" s="47"/>
      <c r="L30" s="47">
        <f t="shared" ca="1" si="45"/>
        <v>247.12947577069792</v>
      </c>
      <c r="M30" s="47">
        <f t="shared" ca="1" si="45"/>
        <v>265.03087146726961</v>
      </c>
      <c r="N30" s="47">
        <f t="shared" ca="1" si="45"/>
        <v>302.48389114248312</v>
      </c>
      <c r="O30" s="47">
        <f t="shared" ca="1" si="45"/>
        <v>333.68313977226728</v>
      </c>
      <c r="P30" s="47"/>
      <c r="Q30" s="47">
        <f t="shared" ca="1" si="46"/>
        <v>512.16034723796758</v>
      </c>
      <c r="R30" s="47">
        <f t="shared" ca="1" si="6"/>
        <v>636.16703091475051</v>
      </c>
      <c r="S30" s="47">
        <f t="shared" si="43"/>
        <v>636.16703091475051</v>
      </c>
      <c r="U30" s="74">
        <f ca="1">SUMIF($C$4:$T$4,$U$2,$C30:$T30)/SUMIF($C$4:$T$4,$V$2,$C30:$T30)-1</f>
        <v>0.24212472587059741</v>
      </c>
      <c r="V30" s="47">
        <f ca="1">SUMIF($C$4:$T$4,$U$2,$C30:$T30)-SUMIF($C$4:$T$4,$V$2,$C30:$T30)</f>
        <v>124.00668367678293</v>
      </c>
    </row>
    <row r="31" spans="1:22" ht="5.0999999999999996" customHeight="1" x14ac:dyDescent="0.2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U31" s="74"/>
      <c r="V31" s="47"/>
    </row>
    <row r="32" spans="1:22" s="39" customFormat="1" x14ac:dyDescent="0.2">
      <c r="A32" s="59"/>
      <c r="B32" s="36" t="s">
        <v>21</v>
      </c>
      <c r="C32" s="49">
        <f t="shared" ref="C32:J32" si="48">SUM(C33:C37)</f>
        <v>-108.12219938376646</v>
      </c>
      <c r="D32" s="49">
        <f t="shared" si="48"/>
        <v>-88.936477496633557</v>
      </c>
      <c r="E32" s="49">
        <f t="shared" si="48"/>
        <v>-87.113833949600007</v>
      </c>
      <c r="F32" s="49">
        <f t="shared" si="48"/>
        <v>-154.15151860999993</v>
      </c>
      <c r="G32" s="49">
        <f t="shared" si="48"/>
        <v>-112.287364830125</v>
      </c>
      <c r="H32" s="49">
        <f t="shared" si="48"/>
        <v>-119.78603647285001</v>
      </c>
      <c r="I32" s="49">
        <f t="shared" si="48"/>
        <v>-137.61059869702498</v>
      </c>
      <c r="J32" s="49">
        <f t="shared" si="48"/>
        <v>-174.43293566999989</v>
      </c>
      <c r="K32" s="50"/>
      <c r="L32" s="49">
        <f ca="1">SUMIF($B$7:$K$7,L$4,$B32:$J32)</f>
        <v>-197.05867688040001</v>
      </c>
      <c r="M32" s="49">
        <f t="shared" ref="M32:O47" ca="1" si="49">SUMIF($B$7:$K$7,M$4,$B32:$J32)</f>
        <v>-241.26535255959993</v>
      </c>
      <c r="N32" s="49">
        <f t="shared" ca="1" si="49"/>
        <v>-232.07340130297501</v>
      </c>
      <c r="O32" s="49">
        <f t="shared" ca="1" si="49"/>
        <v>-312.0435343670249</v>
      </c>
      <c r="P32" s="50"/>
      <c r="Q32" s="49">
        <f ca="1">SUMIF($B$6:$K$6,Q$4,$B32:$J32)</f>
        <v>-438.32402943999995</v>
      </c>
      <c r="R32" s="49">
        <f t="shared" ca="1" si="6"/>
        <v>-544.11693566999986</v>
      </c>
      <c r="S32" s="49">
        <f t="shared" ref="S32:S37" si="50">SUMIFS($B32:$K32,$B$8:$K$8,"&gt;="&amp;$S$7,$B$8:$K$8,"&lt;="&amp;$S$8)</f>
        <v>-544.11693566999986</v>
      </c>
      <c r="U32" s="75">
        <f t="shared" ref="U32:U37" ca="1" si="51">SUMIF($C$4:$T$4,$U$2,$C32:$T32)/SUMIF($C$4:$T$4,$V$2,$C32:$T32)-1</f>
        <v>0.24135776075329529</v>
      </c>
      <c r="V32" s="48">
        <f t="shared" ref="V32:V37" ca="1" si="52">SUMIF($C$4:$T$4,$U$2,$C32:$T32)-SUMIF($C$4:$T$4,$V$2,$C32:$T32)</f>
        <v>-105.79290622999991</v>
      </c>
    </row>
    <row r="33" spans="1:22" x14ac:dyDescent="0.2">
      <c r="B33" s="14" t="s">
        <v>25</v>
      </c>
      <c r="C33" s="47">
        <v>-92.418971601449968</v>
      </c>
      <c r="D33" s="47">
        <v>-78.335750126500031</v>
      </c>
      <c r="E33" s="47">
        <v>-91.94431165204999</v>
      </c>
      <c r="F33" s="47">
        <v>-126.90318109999997</v>
      </c>
      <c r="G33" s="47">
        <v>-97.827190276750002</v>
      </c>
      <c r="H33" s="47">
        <v>-144.37254064825001</v>
      </c>
      <c r="I33" s="47">
        <v>-125.50326907499999</v>
      </c>
      <c r="J33" s="47">
        <v>-161.82693566999987</v>
      </c>
      <c r="K33" s="47"/>
      <c r="L33" s="47">
        <f t="shared" ref="L33:L37" ca="1" si="53">SUMIF($B$7:$K$7,L$4,$B33:$J33)</f>
        <v>-170.75472172795</v>
      </c>
      <c r="M33" s="47">
        <f t="shared" ca="1" si="49"/>
        <v>-218.84749275204996</v>
      </c>
      <c r="N33" s="47">
        <f t="shared" ca="1" si="49"/>
        <v>-242.19973092500001</v>
      </c>
      <c r="O33" s="47">
        <f t="shared" ca="1" si="49"/>
        <v>-287.33020474499983</v>
      </c>
      <c r="P33" s="47"/>
      <c r="Q33" s="47">
        <f t="shared" ref="Q33:Q37" ca="1" si="54">SUMIF($B$6:$K$6,Q$4,$B33:$J33)</f>
        <v>-389.60221447999999</v>
      </c>
      <c r="R33" s="47">
        <f t="shared" ca="1" si="6"/>
        <v>-529.52993566999987</v>
      </c>
      <c r="S33" s="47">
        <f t="shared" si="50"/>
        <v>-529.52993566999987</v>
      </c>
      <c r="U33" s="74">
        <f t="shared" ca="1" si="51"/>
        <v>0.35915535381840846</v>
      </c>
      <c r="V33" s="47">
        <f t="shared" ca="1" si="52"/>
        <v>-139.92772118999989</v>
      </c>
    </row>
    <row r="34" spans="1:22" x14ac:dyDescent="0.2">
      <c r="B34" s="14" t="s">
        <v>27</v>
      </c>
      <c r="C34" s="47">
        <v>-10.815925380000003</v>
      </c>
      <c r="D34" s="47">
        <v>-10.666074619999998</v>
      </c>
      <c r="E34" s="47">
        <v>-10.171250410000001</v>
      </c>
      <c r="F34" s="47">
        <v>-9.7679477699999921</v>
      </c>
      <c r="G34" s="47">
        <v>-9.6379999999999999</v>
      </c>
      <c r="H34" s="47">
        <v>-9.7080000000000002</v>
      </c>
      <c r="I34" s="47">
        <v>-9.8379999999999992</v>
      </c>
      <c r="J34" s="47">
        <v>-10.179</v>
      </c>
      <c r="K34" s="47"/>
      <c r="L34" s="47">
        <f ca="1">SUMIF($B$7:$K$7,L$4,$B34:$J34)</f>
        <v>-21.481999999999999</v>
      </c>
      <c r="M34" s="47">
        <f ca="1">SUMIF($B$7:$K$7,M$4,$B34:$J34)</f>
        <v>-19.939198179999991</v>
      </c>
      <c r="N34" s="47">
        <f ca="1">SUMIF($B$7:$K$7,N$4,$B34:$J34)</f>
        <v>-19.346</v>
      </c>
      <c r="O34" s="47">
        <f ca="1">SUMIF($B$7:$K$7,O$4,$B34:$J34)</f>
        <v>-20.016999999999999</v>
      </c>
      <c r="P34" s="47"/>
      <c r="Q34" s="47">
        <f ca="1">SUMIF($B$6:$K$6,Q$4,$B34:$J34)</f>
        <v>-41.42119817999999</v>
      </c>
      <c r="R34" s="47">
        <f ca="1">SUMIF($B$6:$K$6,R$4,$B34:$J34)</f>
        <v>-39.363</v>
      </c>
      <c r="S34" s="47">
        <f t="shared" si="50"/>
        <v>-39.363</v>
      </c>
      <c r="U34" s="74">
        <f t="shared" ca="1" si="51"/>
        <v>-4.9689489209266302E-2</v>
      </c>
      <c r="V34" s="47">
        <f t="shared" ca="1" si="52"/>
        <v>2.0581981799999909</v>
      </c>
    </row>
    <row r="35" spans="1:22" x14ac:dyDescent="0.2">
      <c r="B35" s="14" t="s">
        <v>26</v>
      </c>
      <c r="C35" s="47">
        <v>-8.7823185000000006</v>
      </c>
      <c r="D35" s="47">
        <v>-4.9156815000000007</v>
      </c>
      <c r="E35" s="47">
        <v>-0.80822704000000167</v>
      </c>
      <c r="F35" s="47">
        <v>-3.2953897400000005</v>
      </c>
      <c r="G35" s="47">
        <v>-8.33</v>
      </c>
      <c r="H35" s="47">
        <v>-2.3679999999999999</v>
      </c>
      <c r="I35" s="47">
        <v>-5.8529999999999998</v>
      </c>
      <c r="J35" s="47">
        <v>-4.3940000000000001</v>
      </c>
      <c r="K35" s="47"/>
      <c r="L35" s="47">
        <f t="shared" ca="1" si="53"/>
        <v>-13.698</v>
      </c>
      <c r="M35" s="47">
        <f t="shared" ca="1" si="49"/>
        <v>-4.1036167800000021</v>
      </c>
      <c r="N35" s="47">
        <f t="shared" ca="1" si="49"/>
        <v>-10.698</v>
      </c>
      <c r="O35" s="47">
        <f t="shared" ca="1" si="49"/>
        <v>-10.247</v>
      </c>
      <c r="P35" s="47"/>
      <c r="Q35" s="47">
        <f t="shared" ca="1" si="54"/>
        <v>-17.801616780000003</v>
      </c>
      <c r="R35" s="47">
        <f t="shared" ca="1" si="6"/>
        <v>-20.945</v>
      </c>
      <c r="S35" s="47">
        <f t="shared" si="50"/>
        <v>-20.945</v>
      </c>
      <c r="U35" s="74">
        <f t="shared" ca="1" si="51"/>
        <v>0.17657852423447107</v>
      </c>
      <c r="V35" s="47">
        <f t="shared" ca="1" si="52"/>
        <v>-3.1433832199999969</v>
      </c>
    </row>
    <row r="36" spans="1:22" x14ac:dyDescent="0.2">
      <c r="B36" s="14" t="s">
        <v>28</v>
      </c>
      <c r="C36" s="47">
        <v>0.84201235882500081</v>
      </c>
      <c r="D36" s="47">
        <v>1.920032488725</v>
      </c>
      <c r="E36" s="47">
        <v>12.608955152449999</v>
      </c>
      <c r="F36" s="47">
        <v>-16.312999999999999</v>
      </c>
      <c r="G36" s="47">
        <v>-4.0174553374999956E-2</v>
      </c>
      <c r="H36" s="47">
        <v>32.958504175399995</v>
      </c>
      <c r="I36" s="47">
        <v>-0.54132962202499768</v>
      </c>
      <c r="J36" s="47">
        <v>-1.655</v>
      </c>
      <c r="K36" s="47"/>
      <c r="L36" s="47">
        <f t="shared" ca="1" si="53"/>
        <v>2.7620448475500008</v>
      </c>
      <c r="M36" s="47">
        <f t="shared" ca="1" si="49"/>
        <v>-3.7040448475499996</v>
      </c>
      <c r="N36" s="47">
        <f t="shared" ca="1" si="49"/>
        <v>32.918329622024991</v>
      </c>
      <c r="O36" s="47">
        <f t="shared" ca="1" si="49"/>
        <v>-2.1963296220249977</v>
      </c>
      <c r="P36" s="47"/>
      <c r="Q36" s="47">
        <f t="shared" ca="1" si="54"/>
        <v>-0.94199999999999839</v>
      </c>
      <c r="R36" s="47">
        <f t="shared" ca="1" si="6"/>
        <v>30.721999999999994</v>
      </c>
      <c r="S36" s="47">
        <f t="shared" si="50"/>
        <v>30.721999999999994</v>
      </c>
      <c r="U36" s="74">
        <f t="shared" ca="1" si="51"/>
        <v>-33.613588110403448</v>
      </c>
      <c r="V36" s="47">
        <f t="shared" ca="1" si="52"/>
        <v>31.663999999999994</v>
      </c>
    </row>
    <row r="37" spans="1:22" x14ac:dyDescent="0.2">
      <c r="B37" s="14" t="s">
        <v>29</v>
      </c>
      <c r="C37" s="47">
        <v>3.0530037388585116</v>
      </c>
      <c r="D37" s="47">
        <v>3.0609962611414887</v>
      </c>
      <c r="E37" s="47">
        <v>3.2010000000000001</v>
      </c>
      <c r="F37" s="47">
        <v>2.1280000000000001</v>
      </c>
      <c r="G37" s="47">
        <v>3.548</v>
      </c>
      <c r="H37" s="47">
        <v>3.7040000000000002</v>
      </c>
      <c r="I37" s="47">
        <v>4.125</v>
      </c>
      <c r="J37" s="47">
        <v>3.6219999999999999</v>
      </c>
      <c r="K37" s="47"/>
      <c r="L37" s="47">
        <f t="shared" ca="1" si="53"/>
        <v>6.1140000000000008</v>
      </c>
      <c r="M37" s="47">
        <f t="shared" ca="1" si="49"/>
        <v>5.3290000000000006</v>
      </c>
      <c r="N37" s="47">
        <f t="shared" ca="1" si="49"/>
        <v>7.2520000000000007</v>
      </c>
      <c r="O37" s="47">
        <f t="shared" ca="1" si="49"/>
        <v>7.7469999999999999</v>
      </c>
      <c r="P37" s="47"/>
      <c r="Q37" s="47">
        <f t="shared" ca="1" si="54"/>
        <v>11.443000000000001</v>
      </c>
      <c r="R37" s="47">
        <f t="shared" ca="1" si="6"/>
        <v>14.999000000000001</v>
      </c>
      <c r="S37" s="47">
        <f t="shared" si="50"/>
        <v>14.999000000000001</v>
      </c>
      <c r="U37" s="74">
        <f t="shared" ca="1" si="51"/>
        <v>0.31075766844358976</v>
      </c>
      <c r="V37" s="47">
        <f t="shared" ca="1" si="52"/>
        <v>3.5559999999999992</v>
      </c>
    </row>
    <row r="38" spans="1:22" ht="5.0999999999999996" customHeight="1" x14ac:dyDescent="0.2"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U38" s="74"/>
      <c r="V38" s="47"/>
    </row>
    <row r="39" spans="1:22" s="39" customFormat="1" x14ac:dyDescent="0.2">
      <c r="A39" s="59"/>
      <c r="B39" s="36" t="s">
        <v>30</v>
      </c>
      <c r="C39" s="49">
        <f t="shared" ref="C39:J39" si="55">SUM(C40:C42)</f>
        <v>-8.7882899999967123E-2</v>
      </c>
      <c r="D39" s="49">
        <f t="shared" si="55"/>
        <v>1.8882899999974168E-2</v>
      </c>
      <c r="E39" s="49">
        <f t="shared" si="55"/>
        <v>5.6950000000000003</v>
      </c>
      <c r="F39" s="49">
        <f t="shared" si="55"/>
        <v>-4.0678359999991365E-2</v>
      </c>
      <c r="G39" s="49">
        <f t="shared" si="55"/>
        <v>4.3200000000000012</v>
      </c>
      <c r="H39" s="49">
        <f t="shared" si="55"/>
        <v>-1.1400000000000006</v>
      </c>
      <c r="I39" s="49">
        <f t="shared" si="55"/>
        <v>-5.1529999999999996</v>
      </c>
      <c r="J39" s="49">
        <f t="shared" si="55"/>
        <v>6.3929999999999998</v>
      </c>
      <c r="K39" s="50"/>
      <c r="L39" s="49">
        <f ca="1">SUMIF($B$7:$K$7,L$4,$B39:$J39)</f>
        <v>-6.8999999999992956E-2</v>
      </c>
      <c r="M39" s="49">
        <f t="shared" ca="1" si="49"/>
        <v>5.6543216400000089</v>
      </c>
      <c r="N39" s="49">
        <f t="shared" ca="1" si="49"/>
        <v>3.1800000000000006</v>
      </c>
      <c r="O39" s="49">
        <f t="shared" ca="1" si="49"/>
        <v>1.2400000000000002</v>
      </c>
      <c r="P39" s="50"/>
      <c r="Q39" s="49">
        <f ca="1">SUMIF($B$6:$K$6,Q$4,$B39:$J39)</f>
        <v>5.5853216400000161</v>
      </c>
      <c r="R39" s="49">
        <f t="shared" ca="1" si="6"/>
        <v>4.4200000000000008</v>
      </c>
      <c r="S39" s="49">
        <f t="shared" ref="S39:S42" si="56">SUMIFS($B39:$K39,$B$8:$K$8,"&gt;="&amp;$S$7,$B$8:$K$8,"&lt;="&amp;$S$8)</f>
        <v>4.4200000000000008</v>
      </c>
      <c r="U39" s="75">
        <f ca="1">SUMIF($C$4:$T$4,$U$2,$C39:$T39)/SUMIF($C$4:$T$4,$V$2,$C39:$T39)-1</f>
        <v>-0.20864002381786051</v>
      </c>
      <c r="V39" s="48">
        <f ca="1">SUMIF($C$4:$T$4,$U$2,$C39:$T39)-SUMIF($C$4:$T$4,$V$2,$C39:$T39)</f>
        <v>-1.1653216400000153</v>
      </c>
    </row>
    <row r="40" spans="1:22" x14ac:dyDescent="0.2">
      <c r="B40" s="14" t="s">
        <v>239</v>
      </c>
      <c r="C40" s="47">
        <v>9.0670000000000002</v>
      </c>
      <c r="D40" s="47">
        <v>6.6819999999999986</v>
      </c>
      <c r="E40" s="47">
        <v>14.55</v>
      </c>
      <c r="F40" s="47">
        <v>7.1236671000000058</v>
      </c>
      <c r="G40" s="47">
        <v>12.819000000000001</v>
      </c>
      <c r="H40" s="47">
        <v>12.648</v>
      </c>
      <c r="I40" s="47">
        <v>17.588000000000001</v>
      </c>
      <c r="J40" s="47">
        <v>18.545999999999999</v>
      </c>
      <c r="K40" s="47"/>
      <c r="L40" s="47">
        <f t="shared" ref="L40:L42" ca="1" si="57">SUMIF($B$7:$K$7,L$4,$B40:$J40)</f>
        <v>15.748999999999999</v>
      </c>
      <c r="M40" s="47">
        <f t="shared" ca="1" si="49"/>
        <v>21.673667100000007</v>
      </c>
      <c r="N40" s="47">
        <f t="shared" ca="1" si="49"/>
        <v>25.466999999999999</v>
      </c>
      <c r="O40" s="47">
        <f t="shared" ca="1" si="49"/>
        <v>36.134</v>
      </c>
      <c r="P40" s="47"/>
      <c r="Q40" s="47">
        <f t="shared" ref="Q40:Q42" ca="1" si="58">SUMIF($B$6:$K$6,Q$4,$B40:$J40)</f>
        <v>37.422667100000005</v>
      </c>
      <c r="R40" s="47">
        <f t="shared" ca="1" si="6"/>
        <v>61.600999999999999</v>
      </c>
      <c r="S40" s="47">
        <f t="shared" si="56"/>
        <v>61.600999999999999</v>
      </c>
      <c r="U40" s="74">
        <f ca="1">SUMIF($C$4:$T$4,$U$2,$C40:$T40)/SUMIF($C$4:$T$4,$V$2,$C40:$T40)-1</f>
        <v>0.64608791338659</v>
      </c>
      <c r="V40" s="47">
        <f ca="1">SUMIF($C$4:$T$4,$U$2,$C40:$T40)-SUMIF($C$4:$T$4,$V$2,$C40:$T40)</f>
        <v>24.178332899999994</v>
      </c>
    </row>
    <row r="41" spans="1:22" x14ac:dyDescent="0.2">
      <c r="B41" s="14" t="s">
        <v>240</v>
      </c>
      <c r="C41" s="47">
        <v>-8.9659999999999904</v>
      </c>
      <c r="D41" s="47">
        <v>-9.2410000000000014</v>
      </c>
      <c r="E41" s="47">
        <v>-9.7170000000000005</v>
      </c>
      <c r="F41" s="47">
        <v>-9.6463454599999974</v>
      </c>
      <c r="G41" s="47">
        <v>-9.8209999999999997</v>
      </c>
      <c r="H41" s="47">
        <v>-8.9450000000000003</v>
      </c>
      <c r="I41" s="47">
        <v>-26.082000000000001</v>
      </c>
      <c r="J41" s="47">
        <v>-11.853</v>
      </c>
      <c r="K41" s="47"/>
      <c r="L41" s="47">
        <f ca="1">SUMIF($B$7:$K$7,L$4,$B41:$J41)</f>
        <v>-18.206999999999994</v>
      </c>
      <c r="M41" s="47">
        <f ca="1">SUMIF($B$7:$K$7,M$4,$B41:$J41)</f>
        <v>-19.363345459999998</v>
      </c>
      <c r="N41" s="47">
        <f ca="1">SUMIF($B$7:$K$7,N$4,$B41:$J41)</f>
        <v>-18.765999999999998</v>
      </c>
      <c r="O41" s="47">
        <f ca="1">SUMIF($B$7:$K$7,O$4,$B41:$J41)</f>
        <v>-37.935000000000002</v>
      </c>
      <c r="P41" s="47"/>
      <c r="Q41" s="47">
        <f ca="1">SUMIF($B$6:$K$6,Q$4,$B41:$J41)</f>
        <v>-37.570345459999992</v>
      </c>
      <c r="R41" s="47">
        <f ca="1">SUMIF($B$6:$K$6,R$4,$B41:$J41)</f>
        <v>-56.701000000000001</v>
      </c>
      <c r="S41" s="47">
        <f t="shared" si="56"/>
        <v>-56.701000000000001</v>
      </c>
      <c r="U41" s="74">
        <f ca="1">SUMIF($C$4:$T$4,$U$2,$C41:$T41)/SUMIF($C$4:$T$4,$V$2,$C41:$T41)-1</f>
        <v>0.50919559843727913</v>
      </c>
      <c r="V41" s="47">
        <f ca="1">SUMIF($C$4:$T$4,$U$2,$C41:$T41)-SUMIF($C$4:$T$4,$V$2,$C41:$T41)</f>
        <v>-19.130654540000009</v>
      </c>
    </row>
    <row r="42" spans="1:22" x14ac:dyDescent="0.2">
      <c r="B42" s="14" t="s">
        <v>31</v>
      </c>
      <c r="C42" s="47">
        <v>-0.18888289999997687</v>
      </c>
      <c r="D42" s="47">
        <v>2.577882899999977</v>
      </c>
      <c r="E42" s="47">
        <v>0.86199999999999999</v>
      </c>
      <c r="F42" s="47">
        <v>2.4820000000000002</v>
      </c>
      <c r="G42" s="47">
        <v>1.3220000000000001</v>
      </c>
      <c r="H42" s="47">
        <v>-4.843</v>
      </c>
      <c r="I42" s="47">
        <v>3.3410000000000002</v>
      </c>
      <c r="J42" s="47">
        <v>-0.3</v>
      </c>
      <c r="K42" s="47"/>
      <c r="L42" s="47">
        <f t="shared" ca="1" si="57"/>
        <v>2.3890000000000002</v>
      </c>
      <c r="M42" s="47">
        <f t="shared" ca="1" si="49"/>
        <v>3.3440000000000003</v>
      </c>
      <c r="N42" s="47">
        <f t="shared" ca="1" si="49"/>
        <v>-3.5209999999999999</v>
      </c>
      <c r="O42" s="47">
        <f t="shared" ca="1" si="49"/>
        <v>3.0410000000000004</v>
      </c>
      <c r="P42" s="47"/>
      <c r="Q42" s="47">
        <f t="shared" ca="1" si="58"/>
        <v>5.7330000000000005</v>
      </c>
      <c r="R42" s="47">
        <f t="shared" ca="1" si="6"/>
        <v>-0.4799999999999997</v>
      </c>
      <c r="S42" s="47">
        <f t="shared" si="56"/>
        <v>-0.4799999999999997</v>
      </c>
      <c r="U42" s="74">
        <f ca="1">SUMIF($C$4:$T$4,$U$2,$C42:$T42)/SUMIF($C$4:$T$4,$V$2,$C42:$T42)-1</f>
        <v>-1.0837257980115123</v>
      </c>
      <c r="V42" s="47">
        <f ca="1">SUMIF($C$4:$T$4,$U$2,$C42:$T42)-SUMIF($C$4:$T$4,$V$2,$C42:$T42)</f>
        <v>-6.2130000000000001</v>
      </c>
    </row>
    <row r="43" spans="1:22" ht="5.0999999999999996" customHeight="1" x14ac:dyDescent="0.2"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U43" s="74"/>
      <c r="V43" s="47"/>
    </row>
    <row r="44" spans="1:22" s="10" customFormat="1" x14ac:dyDescent="0.2">
      <c r="A44" s="58"/>
      <c r="B44" s="22" t="s">
        <v>32</v>
      </c>
      <c r="C44" s="45">
        <f>SUM(C28,C32,C39)</f>
        <v>87.786513238858319</v>
      </c>
      <c r="D44" s="45">
        <f t="shared" ref="D44:J44" si="59">SUM(D28,D32,D39)</f>
        <v>76.798983061439586</v>
      </c>
      <c r="E44" s="45">
        <f t="shared" si="59"/>
        <v>119.1121424953771</v>
      </c>
      <c r="F44" s="45">
        <f t="shared" si="59"/>
        <v>70.86428431229254</v>
      </c>
      <c r="G44" s="45">
        <f t="shared" si="59"/>
        <v>136.27143506432282</v>
      </c>
      <c r="H44" s="45">
        <f t="shared" si="59"/>
        <v>168.29501510518526</v>
      </c>
      <c r="I44" s="45">
        <f t="shared" si="59"/>
        <v>183.02338854709734</v>
      </c>
      <c r="J44" s="45">
        <f t="shared" si="59"/>
        <v>156.7458182081451</v>
      </c>
      <c r="K44" s="46"/>
      <c r="L44" s="45">
        <f ca="1">SUMIF($B$7:$K$7,L$4,$B44:$J44)</f>
        <v>164.5854963002979</v>
      </c>
      <c r="M44" s="45">
        <f t="shared" ca="1" si="49"/>
        <v>189.97642680766964</v>
      </c>
      <c r="N44" s="45">
        <f t="shared" ca="1" si="49"/>
        <v>304.56645016950807</v>
      </c>
      <c r="O44" s="45">
        <f t="shared" ca="1" si="49"/>
        <v>339.76920675524241</v>
      </c>
      <c r="P44" s="46"/>
      <c r="Q44" s="45">
        <f ca="1">SUMIF($B$6:$K$6,Q$4,$B44:$J44)</f>
        <v>354.56192310796757</v>
      </c>
      <c r="R44" s="45">
        <f t="shared" ca="1" si="6"/>
        <v>644.33565692475054</v>
      </c>
      <c r="S44" s="45">
        <f>SUMIFS($B44:$K44,$B$8:$K$8,"&gt;="&amp;$S$7,$B$8:$K$8,"&lt;="&amp;$S$8)</f>
        <v>644.33565692475054</v>
      </c>
      <c r="U44" s="73">
        <f ca="1">SUMIF($C$4:$T$4,$U$2,$C44:$T44)/SUMIF($C$4:$T$4,$V$2,$C44:$T44)-1</f>
        <v>0.81727256913750446</v>
      </c>
      <c r="V44" s="45">
        <f ca="1">SUMIF($C$4:$T$4,$U$2,$C44:$T44)-SUMIF($C$4:$T$4,$V$2,$C44:$T44)</f>
        <v>289.77373381678296</v>
      </c>
    </row>
    <row r="45" spans="1:22" ht="5.0999999999999996" customHeight="1" x14ac:dyDescent="0.2"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U45" s="74"/>
      <c r="V45" s="47"/>
    </row>
    <row r="46" spans="1:22" s="39" customFormat="1" x14ac:dyDescent="0.2">
      <c r="A46" s="59"/>
      <c r="B46" s="36" t="s">
        <v>36</v>
      </c>
      <c r="C46" s="49">
        <f t="shared" ref="C46:J46" si="60">SUM(C47:C48)</f>
        <v>-33.189851682000011</v>
      </c>
      <c r="D46" s="49">
        <f t="shared" si="60"/>
        <v>-19.645148317999993</v>
      </c>
      <c r="E46" s="49">
        <f t="shared" si="60"/>
        <v>-22.684000000000001</v>
      </c>
      <c r="F46" s="49">
        <f t="shared" si="60"/>
        <v>34.734999999999999</v>
      </c>
      <c r="G46" s="49">
        <f t="shared" si="60"/>
        <v>-38.366</v>
      </c>
      <c r="H46" s="49">
        <f t="shared" si="60"/>
        <v>-47.795999999999999</v>
      </c>
      <c r="I46" s="49">
        <f t="shared" si="60"/>
        <v>-45.806000000000004</v>
      </c>
      <c r="J46" s="49">
        <f t="shared" si="60"/>
        <v>-41.091000000000001</v>
      </c>
      <c r="K46" s="50"/>
      <c r="L46" s="49">
        <f ca="1">SUMIF($B$7:$K$7,L$4,$B46:$J46)</f>
        <v>-52.835000000000008</v>
      </c>
      <c r="M46" s="49">
        <f t="shared" ca="1" si="49"/>
        <v>12.050999999999998</v>
      </c>
      <c r="N46" s="49">
        <f t="shared" ca="1" si="49"/>
        <v>-86.162000000000006</v>
      </c>
      <c r="O46" s="49">
        <f t="shared" ca="1" si="49"/>
        <v>-86.897000000000006</v>
      </c>
      <c r="P46" s="50"/>
      <c r="Q46" s="49">
        <f ca="1">SUMIF($B$6:$K$6,Q$4,$B46:$J46)</f>
        <v>-40.784000000000006</v>
      </c>
      <c r="R46" s="49">
        <f t="shared" ca="1" si="6"/>
        <v>-173.05900000000003</v>
      </c>
      <c r="S46" s="49">
        <f t="shared" ref="S46:S50" si="61">SUMIFS($B46:$K46,$B$8:$K$8,"&gt;="&amp;$S$7,$B$8:$K$8,"&lt;="&amp;$S$8)</f>
        <v>-173.05900000000003</v>
      </c>
      <c r="U46" s="75">
        <f ca="1">SUMIF($C$4:$T$4,$U$2,$C46:$T46)/SUMIF($C$4:$T$4,$V$2,$C46:$T46)-1</f>
        <v>3.2433061985092193</v>
      </c>
      <c r="V46" s="48">
        <f ca="1">SUMIF($C$4:$T$4,$U$2,$C46:$T46)-SUMIF($C$4:$T$4,$V$2,$C46:$T46)</f>
        <v>-132.27500000000003</v>
      </c>
    </row>
    <row r="47" spans="1:22" x14ac:dyDescent="0.2">
      <c r="B47" s="14" t="s">
        <v>33</v>
      </c>
      <c r="C47" s="47">
        <v>-24.641526752000008</v>
      </c>
      <c r="D47" s="47">
        <v>-14.853473247999991</v>
      </c>
      <c r="E47" s="47">
        <v>-26.763000000000002</v>
      </c>
      <c r="F47" s="47">
        <v>-31.038</v>
      </c>
      <c r="G47" s="47">
        <v>-30.05</v>
      </c>
      <c r="H47" s="47">
        <v>-51.256999999999998</v>
      </c>
      <c r="I47" s="47">
        <v>-36.020000000000003</v>
      </c>
      <c r="J47" s="47">
        <v>-40.627000000000002</v>
      </c>
      <c r="K47" s="47"/>
      <c r="L47" s="47">
        <f t="shared" ref="L47" ca="1" si="62">SUMIF($B$7:$K$7,L$4,$B47:$J47)</f>
        <v>-39.494999999999997</v>
      </c>
      <c r="M47" s="47">
        <f t="shared" ca="1" si="49"/>
        <v>-57.801000000000002</v>
      </c>
      <c r="N47" s="47">
        <f t="shared" ca="1" si="49"/>
        <v>-81.307000000000002</v>
      </c>
      <c r="O47" s="47">
        <f t="shared" ca="1" si="49"/>
        <v>-76.647000000000006</v>
      </c>
      <c r="P47" s="47"/>
      <c r="Q47" s="47">
        <f t="shared" ref="Q47" ca="1" si="63">SUMIF($B$6:$K$6,Q$4,$B47:$J47)</f>
        <v>-97.295999999999992</v>
      </c>
      <c r="R47" s="47">
        <f t="shared" ca="1" si="6"/>
        <v>-157.95400000000001</v>
      </c>
      <c r="S47" s="47">
        <f t="shared" si="61"/>
        <v>-157.95400000000001</v>
      </c>
      <c r="U47" s="74">
        <f ca="1">SUMIF($C$4:$T$4,$U$2,$C47:$T47)/SUMIF($C$4:$T$4,$V$2,$C47:$T47)-1</f>
        <v>0.62343775694787062</v>
      </c>
      <c r="V47" s="47">
        <f ca="1">SUMIF($C$4:$T$4,$U$2,$C47:$T47)-SUMIF($C$4:$T$4,$V$2,$C47:$T47)</f>
        <v>-60.658000000000015</v>
      </c>
    </row>
    <row r="48" spans="1:22" x14ac:dyDescent="0.2">
      <c r="B48" s="14" t="s">
        <v>34</v>
      </c>
      <c r="C48" s="47">
        <v>-8.5483249299999997</v>
      </c>
      <c r="D48" s="47">
        <v>-4.791675070000001</v>
      </c>
      <c r="E48" s="47">
        <v>4.0789999999999997</v>
      </c>
      <c r="F48" s="47">
        <v>65.772999999999996</v>
      </c>
      <c r="G48" s="47">
        <v>-8.3160000000000007</v>
      </c>
      <c r="H48" s="47">
        <v>3.4609999999999999</v>
      </c>
      <c r="I48" s="47">
        <v>-9.7859999999999996</v>
      </c>
      <c r="J48" s="47">
        <v>-0.46400000000000002</v>
      </c>
      <c r="K48" s="47"/>
      <c r="L48" s="47">
        <f ca="1">SUMIF($B$7:$K$7,L$4,$B48:$J48)</f>
        <v>-13.34</v>
      </c>
      <c r="M48" s="47">
        <f ca="1">SUMIF($B$7:$K$7,M$4,$B48:$J48)</f>
        <v>69.85199999999999</v>
      </c>
      <c r="N48" s="47">
        <f ca="1">SUMIF($B$7:$K$7,N$4,$B48:$J48)</f>
        <v>-4.8550000000000004</v>
      </c>
      <c r="O48" s="47">
        <f ca="1">SUMIF($B$7:$K$7,O$4,$B48:$J48)</f>
        <v>-10.25</v>
      </c>
      <c r="P48" s="47"/>
      <c r="Q48" s="47">
        <f ca="1">SUMIF($B$6:$K$6,Q$4,$B48:$J48)</f>
        <v>56.512</v>
      </c>
      <c r="R48" s="47">
        <f ca="1">SUMIF($B$6:$K$6,R$4,$B48:$J48)</f>
        <v>-15.105</v>
      </c>
      <c r="S48" s="47">
        <f t="shared" si="61"/>
        <v>-15.105</v>
      </c>
      <c r="U48" s="74">
        <f ca="1">SUMIF($C$4:$T$4,$U$2,$C48:$T48)/SUMIF($C$4:$T$4,$V$2,$C48:$T48)-1</f>
        <v>-1.2672883635334089</v>
      </c>
      <c r="V48" s="47">
        <f ca="1">SUMIF($C$4:$T$4,$U$2,$C48:$T48)-SUMIF($C$4:$T$4,$V$2,$C48:$T48)</f>
        <v>-71.617000000000004</v>
      </c>
    </row>
    <row r="49" spans="1:22" ht="5.0999999999999996" customHeight="1" x14ac:dyDescent="0.2"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U49" s="74"/>
      <c r="V49" s="47"/>
    </row>
    <row r="50" spans="1:22" s="10" customFormat="1" x14ac:dyDescent="0.2">
      <c r="A50" s="58"/>
      <c r="B50" s="22" t="s">
        <v>35</v>
      </c>
      <c r="C50" s="45">
        <f>SUM(C44,C46)</f>
        <v>54.596661556858308</v>
      </c>
      <c r="D50" s="45">
        <f t="shared" ref="D50:J50" si="64">SUM(D44,D46)</f>
        <v>57.153834743439589</v>
      </c>
      <c r="E50" s="45">
        <f t="shared" si="64"/>
        <v>96.428142495377102</v>
      </c>
      <c r="F50" s="45">
        <f t="shared" si="64"/>
        <v>105.59928431229254</v>
      </c>
      <c r="G50" s="45">
        <f t="shared" si="64"/>
        <v>97.905435064322816</v>
      </c>
      <c r="H50" s="45">
        <f t="shared" si="64"/>
        <v>120.49901510518526</v>
      </c>
      <c r="I50" s="45">
        <f t="shared" si="64"/>
        <v>137.21738854709733</v>
      </c>
      <c r="J50" s="45">
        <f t="shared" si="64"/>
        <v>115.65481820814509</v>
      </c>
      <c r="K50" s="46"/>
      <c r="L50" s="45">
        <f ca="1">SUMIF($B$7:$K$7,L$4,$B50:$J50)</f>
        <v>111.7504963002979</v>
      </c>
      <c r="M50" s="45">
        <f t="shared" ref="M50:O50" ca="1" si="65">SUMIF($B$7:$K$7,M$4,$B50:$J50)</f>
        <v>202.02742680766966</v>
      </c>
      <c r="N50" s="45">
        <f t="shared" ca="1" si="65"/>
        <v>218.4044501695081</v>
      </c>
      <c r="O50" s="45">
        <f t="shared" ca="1" si="65"/>
        <v>252.87220675524242</v>
      </c>
      <c r="P50" s="46"/>
      <c r="Q50" s="45">
        <f ca="1">SUMIF($B$6:$K$6,Q$4,$B50:$J50)</f>
        <v>313.77792310796752</v>
      </c>
      <c r="R50" s="45">
        <f t="shared" ref="R50" ca="1" si="66">SUMIF($B$6:$K$6,R$4,$B50:$J50)</f>
        <v>471.27665692475057</v>
      </c>
      <c r="S50" s="45">
        <f t="shared" si="61"/>
        <v>471.27665692475057</v>
      </c>
      <c r="U50" s="73">
        <f ca="1">SUMIF($C$4:$T$4,$U$2,$C50:$T50)/SUMIF($C$4:$T$4,$V$2,$C50:$T50)-1</f>
        <v>0.50194332430006394</v>
      </c>
      <c r="V50" s="45">
        <f ca="1">SUMIF($C$4:$T$4,$U$2,$C50:$T50)-SUMIF($C$4:$T$4,$V$2,$C50:$T50)</f>
        <v>157.49873381678304</v>
      </c>
    </row>
    <row r="52" spans="1:22" s="18" customFormat="1" ht="15" x14ac:dyDescent="0.2">
      <c r="A52" s="56"/>
      <c r="B52" s="19" t="s">
        <v>212</v>
      </c>
      <c r="C52" s="20"/>
      <c r="D52" s="20"/>
      <c r="E52" s="20"/>
      <c r="F52" s="20"/>
      <c r="G52" s="20"/>
      <c r="H52" s="20"/>
      <c r="I52" s="20"/>
      <c r="J52" s="20"/>
      <c r="K52" s="17"/>
      <c r="L52" s="20"/>
      <c r="M52" s="20"/>
      <c r="N52" s="20"/>
      <c r="O52" s="20"/>
      <c r="P52" s="17"/>
      <c r="Q52" s="21"/>
      <c r="R52" s="21"/>
      <c r="S52" s="21"/>
      <c r="U52" s="21"/>
      <c r="V52" s="21"/>
    </row>
    <row r="54" spans="1:22" s="10" customFormat="1" x14ac:dyDescent="0.2">
      <c r="A54" s="58"/>
      <c r="B54" s="22" t="s">
        <v>5</v>
      </c>
      <c r="C54" s="23">
        <f>IFERROR(C12/C$12,"-")</f>
        <v>1</v>
      </c>
      <c r="D54" s="23">
        <f t="shared" ref="D54:J54" si="67">IFERROR(D12/D$12,"-")</f>
        <v>1</v>
      </c>
      <c r="E54" s="23">
        <f t="shared" si="67"/>
        <v>1</v>
      </c>
      <c r="F54" s="23">
        <f t="shared" si="67"/>
        <v>1</v>
      </c>
      <c r="G54" s="23">
        <f t="shared" si="67"/>
        <v>1</v>
      </c>
      <c r="H54" s="23">
        <f t="shared" si="67"/>
        <v>1</v>
      </c>
      <c r="I54" s="23">
        <f t="shared" si="67"/>
        <v>1</v>
      </c>
      <c r="J54" s="23">
        <f t="shared" si="67"/>
        <v>1</v>
      </c>
      <c r="K54" s="24"/>
      <c r="L54" s="23">
        <f t="shared" ref="L54:O54" ca="1" si="68">IFERROR(L12/L$12,"-")</f>
        <v>1</v>
      </c>
      <c r="M54" s="23">
        <f t="shared" ca="1" si="68"/>
        <v>1</v>
      </c>
      <c r="N54" s="23">
        <f t="shared" ca="1" si="68"/>
        <v>1</v>
      </c>
      <c r="O54" s="23">
        <f t="shared" ca="1" si="68"/>
        <v>1</v>
      </c>
      <c r="P54" s="24"/>
      <c r="Q54" s="23">
        <f t="shared" ref="Q54:R54" ca="1" si="69">IFERROR(Q12/Q$12,"-")</f>
        <v>1</v>
      </c>
      <c r="R54" s="23">
        <f t="shared" ca="1" si="69"/>
        <v>1</v>
      </c>
      <c r="S54" s="23">
        <f t="shared" ref="S54" si="70">IFERROR(S12/S$12,"-")</f>
        <v>1</v>
      </c>
      <c r="U54" s="23"/>
      <c r="V54" s="76">
        <f ca="1">SUMIF($C$4:$T$4,$U$2,$C54:$T54)*100-SUMIF($C$4:$T$4,$V$2,$C54:$T54)*100</f>
        <v>0</v>
      </c>
    </row>
    <row r="55" spans="1:22" x14ac:dyDescent="0.2">
      <c r="B55" s="14" t="s">
        <v>6</v>
      </c>
      <c r="C55" s="25">
        <f>IFERROR(C13/C$12,"-")</f>
        <v>0.78753773181799491</v>
      </c>
      <c r="D55" s="25">
        <f t="shared" ref="D55:J55" si="71">IFERROR(D13/D$12,"-")</f>
        <v>0.72687684474647507</v>
      </c>
      <c r="E55" s="25">
        <f t="shared" si="71"/>
        <v>0.776614718572746</v>
      </c>
      <c r="F55" s="25">
        <f t="shared" si="71"/>
        <v>0.79360306284549853</v>
      </c>
      <c r="G55" s="25">
        <f t="shared" si="71"/>
        <v>0.78094898226489085</v>
      </c>
      <c r="H55" s="25">
        <f t="shared" si="71"/>
        <v>0.8005937902154393</v>
      </c>
      <c r="I55" s="25">
        <f t="shared" si="71"/>
        <v>0.82571551994933567</v>
      </c>
      <c r="J55" s="25">
        <f t="shared" si="71"/>
        <v>0.81607961102410875</v>
      </c>
      <c r="K55" s="25"/>
      <c r="L55" s="25">
        <f t="shared" ref="L55:O55" ca="1" si="72">IFERROR(L13/L$12,"-")</f>
        <v>0.76181318664330688</v>
      </c>
      <c r="M55" s="25">
        <f t="shared" ca="1" si="72"/>
        <v>0.7855397313791892</v>
      </c>
      <c r="N55" s="25">
        <f t="shared" ca="1" si="72"/>
        <v>0.79199933275331236</v>
      </c>
      <c r="O55" s="25">
        <f t="shared" ca="1" si="72"/>
        <v>0.82077991648793203</v>
      </c>
      <c r="P55" s="25"/>
      <c r="Q55" s="25">
        <f t="shared" ref="Q55:R55" ca="1" si="73">IFERROR(Q13/Q$12,"-")</f>
        <v>0.77486990607153705</v>
      </c>
      <c r="R55" s="25">
        <f t="shared" ca="1" si="73"/>
        <v>0.80896964571296581</v>
      </c>
      <c r="S55" s="25">
        <f t="shared" ref="S55" si="74">IFERROR(S13/S$12,"-")</f>
        <v>0.80896964571296581</v>
      </c>
      <c r="U55" s="25"/>
      <c r="V55" s="77">
        <f ca="1">SUMIF($C$4:$T$4,$U$2,$C55:$T55)*100-SUMIF($C$4:$T$4,$V$2,$C55:$T55)*100</f>
        <v>3.4099739641428783</v>
      </c>
    </row>
    <row r="56" spans="1:22" x14ac:dyDescent="0.2">
      <c r="B56" s="14" t="s">
        <v>7</v>
      </c>
      <c r="C56" s="25">
        <f>IFERROR(C14/C$12,"-")</f>
        <v>0.21246226818200514</v>
      </c>
      <c r="D56" s="25">
        <f t="shared" ref="D56:J56" si="75">IFERROR(D14/D$12,"-")</f>
        <v>0.27312315525352482</v>
      </c>
      <c r="E56" s="25">
        <f t="shared" si="75"/>
        <v>0.22338528142725406</v>
      </c>
      <c r="F56" s="25">
        <f t="shared" si="75"/>
        <v>0.20639693715450141</v>
      </c>
      <c r="G56" s="25">
        <f t="shared" si="75"/>
        <v>0.2190510177351091</v>
      </c>
      <c r="H56" s="25">
        <f t="shared" si="75"/>
        <v>0.19940620978456072</v>
      </c>
      <c r="I56" s="25">
        <f t="shared" si="75"/>
        <v>0.17428448005066438</v>
      </c>
      <c r="J56" s="25">
        <f t="shared" si="75"/>
        <v>0.18392038897589133</v>
      </c>
      <c r="K56" s="25"/>
      <c r="L56" s="25">
        <f t="shared" ref="L56:O56" ca="1" si="76">IFERROR(L14/L$12,"-")</f>
        <v>0.23818681335669314</v>
      </c>
      <c r="M56" s="25">
        <f t="shared" ca="1" si="76"/>
        <v>0.21446026862081086</v>
      </c>
      <c r="N56" s="25">
        <f t="shared" ca="1" si="76"/>
        <v>0.20800066724668778</v>
      </c>
      <c r="O56" s="25">
        <f t="shared" ca="1" si="76"/>
        <v>0.17922008351206806</v>
      </c>
      <c r="P56" s="25"/>
      <c r="Q56" s="25">
        <f t="shared" ref="Q56:R56" ca="1" si="77">IFERROR(Q14/Q$12,"-")</f>
        <v>0.22513009392846281</v>
      </c>
      <c r="R56" s="25">
        <f t="shared" ca="1" si="77"/>
        <v>0.19103035428703427</v>
      </c>
      <c r="S56" s="25">
        <f t="shared" ref="S56" si="78">IFERROR(S14/S$12,"-")</f>
        <v>0.19103035428703427</v>
      </c>
      <c r="U56" s="25"/>
      <c r="V56" s="77">
        <f ca="1">SUMIF($C$4:$T$4,$U$2,$C56:$T56)*100-SUMIF($C$4:$T$4,$V$2,$C56:$T56)*100</f>
        <v>-3.4099739641428535</v>
      </c>
    </row>
    <row r="57" spans="1:22" ht="5.0999999999999996" customHeight="1" x14ac:dyDescent="0.2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U57" s="25"/>
      <c r="V57" s="77"/>
    </row>
    <row r="58" spans="1:22" s="39" customFormat="1" x14ac:dyDescent="0.2">
      <c r="A58" s="59"/>
      <c r="B58" s="36" t="s">
        <v>12</v>
      </c>
      <c r="C58" s="37">
        <f t="shared" ref="C58" si="79">IFERROR(C16/C$12,"-")</f>
        <v>-0.73089877206174048</v>
      </c>
      <c r="D58" s="37">
        <f t="shared" ref="D58:J58" si="80">IFERROR(D16/D$12,"-")</f>
        <v>-0.68710679671161468</v>
      </c>
      <c r="E58" s="37">
        <f t="shared" si="80"/>
        <v>-0.72816104175053498</v>
      </c>
      <c r="F58" s="37">
        <f t="shared" si="80"/>
        <v>-0.72392779991172351</v>
      </c>
      <c r="G58" s="37">
        <f t="shared" si="80"/>
        <v>-0.69035857657747168</v>
      </c>
      <c r="H58" s="37">
        <f t="shared" si="80"/>
        <v>-0.71592973167655327</v>
      </c>
      <c r="I58" s="37">
        <f t="shared" si="80"/>
        <v>-0.73724347865887918</v>
      </c>
      <c r="J58" s="37">
        <f t="shared" si="80"/>
        <v>-0.75081339901793831</v>
      </c>
      <c r="K58" s="38"/>
      <c r="L58" s="37">
        <f t="shared" ref="L58:O58" ca="1" si="81">IFERROR(L16/L$12,"-")</f>
        <v>-0.71232784930462778</v>
      </c>
      <c r="M58" s="37">
        <f t="shared" ca="1" si="81"/>
        <v>-0.72593706176651973</v>
      </c>
      <c r="N58" s="37">
        <f t="shared" ca="1" si="81"/>
        <v>-0.70474254138638948</v>
      </c>
      <c r="O58" s="37">
        <f t="shared" ca="1" si="81"/>
        <v>-0.74419411989208972</v>
      </c>
      <c r="P58" s="38"/>
      <c r="Q58" s="37">
        <f t="shared" ref="Q58:R58" ca="1" si="82">IFERROR(Q16/Q$12,"-")</f>
        <v>-0.71981699998931936</v>
      </c>
      <c r="R58" s="37">
        <f t="shared" ca="1" si="82"/>
        <v>-0.72800494774226665</v>
      </c>
      <c r="S58" s="37">
        <f t="shared" ref="S58" si="83">IFERROR(S16/S$12,"-")</f>
        <v>-0.72800494774226665</v>
      </c>
      <c r="U58" s="70"/>
      <c r="V58" s="78">
        <f ca="1">SUMIF($C$4:$T$4,$U$2,$C58:$T58)*100-SUMIF($C$4:$T$4,$V$2,$C58:$T58)*100</f>
        <v>-0.81879477529473377</v>
      </c>
    </row>
    <row r="59" spans="1:22" x14ac:dyDescent="0.2">
      <c r="B59" s="14" t="s">
        <v>13</v>
      </c>
      <c r="C59" s="25">
        <f>IFERROR(C17/C$13,"-")</f>
        <v>-0.87233201714520847</v>
      </c>
      <c r="D59" s="25">
        <f t="shared" ref="D59:J59" si="84">IFERROR(D17/D$13,"-")</f>
        <v>-0.86499322819437841</v>
      </c>
      <c r="E59" s="25">
        <f t="shared" si="84"/>
        <v>-0.87225714016505651</v>
      </c>
      <c r="F59" s="25">
        <f t="shared" si="84"/>
        <v>-0.849852196954755</v>
      </c>
      <c r="G59" s="25">
        <f t="shared" si="84"/>
        <v>-0.83369119526771884</v>
      </c>
      <c r="H59" s="25">
        <f t="shared" si="84"/>
        <v>-0.82939911675434941</v>
      </c>
      <c r="I59" s="25">
        <f t="shared" si="84"/>
        <v>-0.83987020127900536</v>
      </c>
      <c r="J59" s="25">
        <f t="shared" si="84"/>
        <v>-0.84634297133390157</v>
      </c>
      <c r="K59" s="25"/>
      <c r="L59" s="25">
        <f t="shared" ref="L59:O59" ca="1" si="85">IFERROR(L17/L$13,"-")</f>
        <v>-0.86936256934747325</v>
      </c>
      <c r="M59" s="25">
        <f t="shared" ca="1" si="85"/>
        <v>-0.86036563520615672</v>
      </c>
      <c r="N59" s="25">
        <f t="shared" ca="1" si="85"/>
        <v>-0.83125066990859431</v>
      </c>
      <c r="O59" s="25">
        <f t="shared" ca="1" si="85"/>
        <v>-0.8431666290093931</v>
      </c>
      <c r="P59" s="25"/>
      <c r="Q59" s="25">
        <f t="shared" ref="Q59:R59" ca="1" si="86">IFERROR(Q17/Q$13,"-")</f>
        <v>-0.86434338117912413</v>
      </c>
      <c r="R59" s="25">
        <f t="shared" ca="1" si="86"/>
        <v>-0.8383794259428724</v>
      </c>
      <c r="S59" s="25">
        <f t="shared" ref="S59" si="87">IFERROR(S17/S$13,"-")</f>
        <v>-0.8383794259428724</v>
      </c>
      <c r="U59" s="25"/>
      <c r="V59" s="77">
        <f ca="1">SUMIF($C$4:$T$4,$U$2,$C59:$T59)*100-SUMIF($C$4:$T$4,$V$2,$C59:$T59)*100</f>
        <v>2.5963955236251763</v>
      </c>
    </row>
    <row r="60" spans="1:22" x14ac:dyDescent="0.2">
      <c r="B60" s="14" t="s">
        <v>14</v>
      </c>
      <c r="C60" s="25">
        <f>IFERROR(C18/C$14,"-")</f>
        <v>-0.20664560471215604</v>
      </c>
      <c r="D60" s="25">
        <f t="shared" ref="D60:J60" si="88">IFERROR(D18/D$14,"-")</f>
        <v>-0.21368839350307711</v>
      </c>
      <c r="E60" s="25">
        <f t="shared" si="88"/>
        <v>-0.22720077166189376</v>
      </c>
      <c r="F60" s="25">
        <f t="shared" si="88"/>
        <v>-0.23974432045671865</v>
      </c>
      <c r="G60" s="25">
        <f t="shared" si="88"/>
        <v>-0.17935678416913944</v>
      </c>
      <c r="H60" s="25">
        <f t="shared" si="88"/>
        <v>-0.26036275023201821</v>
      </c>
      <c r="I60" s="25">
        <f t="shared" si="88"/>
        <v>-0.25102418016288103</v>
      </c>
      <c r="J60" s="25">
        <f t="shared" si="88"/>
        <v>-0.32693578190866801</v>
      </c>
      <c r="K60" s="25"/>
      <c r="L60" s="25">
        <f t="shared" ref="L60:O60" ca="1" si="89">IFERROR(L18/L$14,"-")</f>
        <v>-0.21007031958014219</v>
      </c>
      <c r="M60" s="25">
        <f t="shared" ca="1" si="89"/>
        <v>-0.23354289407958742</v>
      </c>
      <c r="N60" s="25">
        <f t="shared" ca="1" si="89"/>
        <v>-0.2230404646395556</v>
      </c>
      <c r="O60" s="25">
        <f t="shared" ca="1" si="89"/>
        <v>-0.29092657210394657</v>
      </c>
      <c r="P60" s="25"/>
      <c r="Q60" s="25">
        <f t="shared" ref="Q60:R60" ca="1" si="90">IFERROR(Q18/Q$14,"-")</f>
        <v>-0.22237509223180366</v>
      </c>
      <c r="R60" s="25">
        <f t="shared" ca="1" si="90"/>
        <v>-0.26059440003666606</v>
      </c>
      <c r="S60" s="25">
        <f t="shared" ref="S60" si="91">IFERROR(S18/S$14,"-")</f>
        <v>-0.26059440003666606</v>
      </c>
      <c r="U60" s="25"/>
      <c r="V60" s="77">
        <f ca="1">SUMIF($C$4:$T$4,$U$2,$C60:$T60)*100-SUMIF($C$4:$T$4,$V$2,$C60:$T60)*100</f>
        <v>-3.821930780486241</v>
      </c>
    </row>
    <row r="61" spans="1:22" ht="5.0999999999999996" customHeight="1" x14ac:dyDescent="0.2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U61" s="25"/>
      <c r="V61" s="77"/>
    </row>
    <row r="62" spans="1:22" s="10" customFormat="1" x14ac:dyDescent="0.2">
      <c r="A62" s="58"/>
      <c r="B62" s="22" t="s">
        <v>15</v>
      </c>
      <c r="C62" s="23">
        <f t="shared" ref="C62:J62" si="92">IFERROR(C20/C$12,"-")</f>
        <v>0.26910122793825958</v>
      </c>
      <c r="D62" s="23">
        <f t="shared" si="92"/>
        <v>0.31289320328838521</v>
      </c>
      <c r="E62" s="23">
        <f t="shared" si="92"/>
        <v>0.27183895824946502</v>
      </c>
      <c r="F62" s="23">
        <f t="shared" si="92"/>
        <v>0.27607220008827649</v>
      </c>
      <c r="G62" s="23">
        <f t="shared" si="92"/>
        <v>0.30964142342252826</v>
      </c>
      <c r="H62" s="23">
        <f t="shared" si="92"/>
        <v>0.28407026832344673</v>
      </c>
      <c r="I62" s="23">
        <f t="shared" si="92"/>
        <v>0.26275652134112093</v>
      </c>
      <c r="J62" s="23">
        <f t="shared" si="92"/>
        <v>0.24918660098206183</v>
      </c>
      <c r="K62" s="24"/>
      <c r="L62" s="23">
        <f t="shared" ref="L62:O62" ca="1" si="93">IFERROR(L20/L$12,"-")</f>
        <v>0.28767215069537233</v>
      </c>
      <c r="M62" s="23">
        <f t="shared" ca="1" si="93"/>
        <v>0.27406293823348038</v>
      </c>
      <c r="N62" s="23">
        <f t="shared" ca="1" si="93"/>
        <v>0.29525745861361063</v>
      </c>
      <c r="O62" s="23">
        <f t="shared" ca="1" si="93"/>
        <v>0.25580588010791033</v>
      </c>
      <c r="P62" s="24"/>
      <c r="Q62" s="23">
        <f t="shared" ref="Q62:R62" ca="1" si="94">IFERROR(Q20/Q$12,"-")</f>
        <v>0.28018300001068069</v>
      </c>
      <c r="R62" s="23">
        <f t="shared" ca="1" si="94"/>
        <v>0.27199505225773346</v>
      </c>
      <c r="S62" s="23">
        <f t="shared" ref="S62" si="95">IFERROR(S20/S$12,"-")</f>
        <v>0.27199505225773346</v>
      </c>
      <c r="U62" s="23"/>
      <c r="V62" s="76">
        <f ca="1">SUMIF($C$4:$T$4,$U$2,$C62:$T62)*100-SUMIF($C$4:$T$4,$V$2,$C62:$T62)*100</f>
        <v>-0.81879477529472311</v>
      </c>
    </row>
    <row r="63" spans="1:22" x14ac:dyDescent="0.2">
      <c r="B63" s="14" t="s">
        <v>16</v>
      </c>
      <c r="C63" s="25">
        <f>IFERROR(C21/C$13,"-")</f>
        <v>0.1276679828547915</v>
      </c>
      <c r="D63" s="25">
        <f t="shared" ref="D63:J63" si="96">IFERROR(D21/D$13,"-")</f>
        <v>0.13500677180562162</v>
      </c>
      <c r="E63" s="25">
        <f t="shared" si="96"/>
        <v>0.12774285983494349</v>
      </c>
      <c r="F63" s="25">
        <f t="shared" si="96"/>
        <v>0.15014780304524497</v>
      </c>
      <c r="G63" s="25">
        <f t="shared" si="96"/>
        <v>0.16630880473228121</v>
      </c>
      <c r="H63" s="25">
        <f t="shared" si="96"/>
        <v>0.17060088324565056</v>
      </c>
      <c r="I63" s="25">
        <f t="shared" si="96"/>
        <v>0.16012979872099464</v>
      </c>
      <c r="J63" s="25">
        <f t="shared" si="96"/>
        <v>0.1536570286660984</v>
      </c>
      <c r="K63" s="25"/>
      <c r="L63" s="25">
        <f t="shared" ref="L63:O63" ca="1" si="97">IFERROR(L21/L$13,"-")</f>
        <v>0.13063743065252667</v>
      </c>
      <c r="M63" s="25">
        <f t="shared" ca="1" si="97"/>
        <v>0.13963436479384336</v>
      </c>
      <c r="N63" s="25">
        <f t="shared" ca="1" si="97"/>
        <v>0.16874933009140564</v>
      </c>
      <c r="O63" s="25">
        <f t="shared" ca="1" si="97"/>
        <v>0.15683337099060699</v>
      </c>
      <c r="P63" s="25"/>
      <c r="Q63" s="25">
        <f t="shared" ref="Q63:R63" ca="1" si="98">IFERROR(Q21/Q$13,"-")</f>
        <v>0.1356566188208759</v>
      </c>
      <c r="R63" s="25">
        <f t="shared" ca="1" si="98"/>
        <v>0.16162057405712754</v>
      </c>
      <c r="S63" s="25">
        <f t="shared" ref="S63" si="99">IFERROR(S21/S$13,"-")</f>
        <v>0.16162057405712754</v>
      </c>
      <c r="U63" s="25"/>
      <c r="V63" s="77">
        <f ca="1">SUMIF($C$4:$T$4,$U$2,$C63:$T63)*100-SUMIF($C$4:$T$4,$V$2,$C63:$T63)*100</f>
        <v>2.5963955236251639</v>
      </c>
    </row>
    <row r="64" spans="1:22" x14ac:dyDescent="0.2">
      <c r="B64" s="14" t="s">
        <v>17</v>
      </c>
      <c r="C64" s="25">
        <f>IFERROR(C22/C$14,"-")</f>
        <v>0.79335439528784391</v>
      </c>
      <c r="D64" s="25">
        <f t="shared" ref="D64:J64" si="100">IFERROR(D22/D$14,"-")</f>
        <v>0.78631160649692289</v>
      </c>
      <c r="E64" s="25">
        <f t="shared" si="100"/>
        <v>0.77279922833810633</v>
      </c>
      <c r="F64" s="25">
        <f t="shared" si="100"/>
        <v>0.76025567954328144</v>
      </c>
      <c r="G64" s="25">
        <f t="shared" si="100"/>
        <v>0.82064321583086053</v>
      </c>
      <c r="H64" s="25">
        <f t="shared" si="100"/>
        <v>0.73963724976798184</v>
      </c>
      <c r="I64" s="25">
        <f t="shared" si="100"/>
        <v>0.74897581983711892</v>
      </c>
      <c r="J64" s="25">
        <f t="shared" si="100"/>
        <v>0.67306421809133199</v>
      </c>
      <c r="K64" s="25"/>
      <c r="L64" s="25">
        <f t="shared" ref="L64:O64" ca="1" si="101">IFERROR(L22/L$14,"-")</f>
        <v>0.789929680419858</v>
      </c>
      <c r="M64" s="25">
        <f t="shared" ca="1" si="101"/>
        <v>0.7664571059204125</v>
      </c>
      <c r="N64" s="25">
        <f t="shared" ca="1" si="101"/>
        <v>0.77695953536044438</v>
      </c>
      <c r="O64" s="25">
        <f t="shared" ca="1" si="101"/>
        <v>0.70907342789605343</v>
      </c>
      <c r="P64" s="25"/>
      <c r="Q64" s="25">
        <f t="shared" ref="Q64" ca="1" si="102">IFERROR(Q22/Q$14,"-")</f>
        <v>0.77762490776819637</v>
      </c>
      <c r="R64" s="25">
        <f ca="1">IFERROR(R22/R$14,"-")</f>
        <v>0.73940559996333399</v>
      </c>
      <c r="S64" s="25">
        <f t="shared" ref="S64" si="103">IFERROR(S22/S$14,"-")</f>
        <v>0.73940559996333399</v>
      </c>
      <c r="U64" s="25"/>
      <c r="V64" s="77">
        <f ca="1">SUMIF($C$4:$T$4,$U$2,$C64:$T64)*100-SUMIF($C$4:$T$4,$V$2,$C64:$T64)*100</f>
        <v>-3.8219307804862268</v>
      </c>
    </row>
    <row r="65" spans="1:22" ht="5.0999999999999996" customHeight="1" x14ac:dyDescent="0.2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U65" s="25"/>
      <c r="V65" s="77"/>
    </row>
    <row r="66" spans="1:22" s="39" customFormat="1" x14ac:dyDescent="0.2">
      <c r="A66" s="59"/>
      <c r="B66" s="36" t="s">
        <v>20</v>
      </c>
      <c r="C66" s="37">
        <f t="shared" ref="C66:J66" si="104">IFERROR(C24/C$12,"-")</f>
        <v>-5.639813555203127E-2</v>
      </c>
      <c r="D66" s="37">
        <f t="shared" si="104"/>
        <v>-6.8650861021529258E-2</v>
      </c>
      <c r="E66" s="37">
        <f t="shared" si="104"/>
        <v>-5.6047030616993176E-2</v>
      </c>
      <c r="F66" s="37">
        <f t="shared" si="104"/>
        <v>-5.7270387422838236E-2</v>
      </c>
      <c r="G66" s="37">
        <f t="shared" si="104"/>
        <v>-5.620868303209467E-2</v>
      </c>
      <c r="H66" s="37">
        <f t="shared" si="104"/>
        <v>-5.0659774924650201E-2</v>
      </c>
      <c r="I66" s="37">
        <f t="shared" si="104"/>
        <v>-5.1753301814360657E-2</v>
      </c>
      <c r="J66" s="37">
        <f t="shared" si="104"/>
        <v>-4.8860221270348933E-2</v>
      </c>
      <c r="K66" s="38"/>
      <c r="L66" s="37">
        <f t="shared" ref="L66:O66" ca="1" si="105">IFERROR(L24/L$12,"-")</f>
        <v>-6.1594165565267534E-2</v>
      </c>
      <c r="M66" s="37">
        <f t="shared" ca="1" si="105"/>
        <v>-5.6689734519369858E-2</v>
      </c>
      <c r="N66" s="37">
        <f t="shared" ca="1" si="105"/>
        <v>-5.30873809776456E-2</v>
      </c>
      <c r="O66" s="37">
        <f t="shared" ca="1" si="105"/>
        <v>-5.0271438664973564E-2</v>
      </c>
      <c r="P66" s="38"/>
      <c r="Q66" s="37">
        <f t="shared" ref="Q66:R66" ca="1" si="106">IFERROR(Q24/Q$12,"-")</f>
        <v>-5.8895256776220588E-2</v>
      </c>
      <c r="R66" s="37">
        <f t="shared" ca="1" si="106"/>
        <v>-5.1426976075402711E-2</v>
      </c>
      <c r="S66" s="37">
        <f t="shared" ref="S66" si="107">IFERROR(S24/S$12,"-")</f>
        <v>-5.1426976075402711E-2</v>
      </c>
      <c r="U66" s="70"/>
      <c r="V66" s="78">
        <f ca="1">SUMIF($C$4:$T$4,$U$2,$C66:$T66)*100-SUMIF($C$4:$T$4,$V$2,$C66:$T66)*100</f>
        <v>0.74682807008178731</v>
      </c>
    </row>
    <row r="67" spans="1:22" x14ac:dyDescent="0.2">
      <c r="B67" s="14" t="s">
        <v>18</v>
      </c>
      <c r="C67" s="25">
        <f>IFERROR(C25/C$13,"-")</f>
        <v>-3.5131457669294618E-2</v>
      </c>
      <c r="D67" s="25">
        <f t="shared" ref="D67:J67" si="108">IFERROR(D25/D$13,"-")</f>
        <v>-3.8831733928692318E-2</v>
      </c>
      <c r="E67" s="25">
        <f t="shared" si="108"/>
        <v>-3.2363455892541429E-2</v>
      </c>
      <c r="F67" s="25">
        <f t="shared" si="108"/>
        <v>-3.778314607939099E-2</v>
      </c>
      <c r="G67" s="25">
        <f t="shared" si="108"/>
        <v>-3.9022604880563583E-2</v>
      </c>
      <c r="H67" s="25">
        <f t="shared" si="108"/>
        <v>-3.4335821679537672E-2</v>
      </c>
      <c r="I67" s="25">
        <f t="shared" si="108"/>
        <v>-3.6377592236863029E-2</v>
      </c>
      <c r="J67" s="25">
        <f t="shared" si="108"/>
        <v>-3.3394942951985369E-2</v>
      </c>
      <c r="K67" s="25"/>
      <c r="L67" s="25">
        <f t="shared" ref="L67:O67" ca="1" si="109">IFERROR(L25/L$13,"-")</f>
        <v>-3.6628677069266251E-2</v>
      </c>
      <c r="M67" s="25">
        <f t="shared" ca="1" si="109"/>
        <v>-3.5239976137546564E-2</v>
      </c>
      <c r="N67" s="25">
        <f t="shared" ca="1" si="109"/>
        <v>-3.6357645882448025E-2</v>
      </c>
      <c r="O67" s="25">
        <f t="shared" ca="1" si="109"/>
        <v>-3.4858599946189235E-2</v>
      </c>
      <c r="P67" s="25"/>
      <c r="Q67" s="25">
        <f t="shared" ref="Q67:R67" ca="1" si="110">IFERROR(Q25/Q$13,"-")</f>
        <v>-3.58539519044066E-2</v>
      </c>
      <c r="R67" s="25">
        <f t="shared" ca="1" si="110"/>
        <v>-3.5460837436449857E-2</v>
      </c>
      <c r="S67" s="25">
        <f t="shared" ref="S67" si="111">IFERROR(S25/S$13,"-")</f>
        <v>-3.5460837436449857E-2</v>
      </c>
      <c r="U67" s="25"/>
      <c r="V67" s="77">
        <f ca="1">SUMIF($C$4:$T$4,$U$2,$C67:$T67)*100-SUMIF($C$4:$T$4,$V$2,$C67:$T67)*100</f>
        <v>3.9311446795673888E-2</v>
      </c>
    </row>
    <row r="68" spans="1:22" x14ac:dyDescent="0.2">
      <c r="B68" s="14" t="s">
        <v>19</v>
      </c>
      <c r="C68" s="25">
        <f>IFERROR(C26/C$14,"-")</f>
        <v>-0.13522771506460127</v>
      </c>
      <c r="D68" s="25">
        <f t="shared" ref="D68:J68" si="112">IFERROR(D26/D$14,"-")</f>
        <v>-0.14801005337640644</v>
      </c>
      <c r="E68" s="25">
        <f t="shared" si="112"/>
        <v>-0.138384651976422</v>
      </c>
      <c r="F68" s="25">
        <f t="shared" si="112"/>
        <v>-0.13219947614760219</v>
      </c>
      <c r="G68" s="25">
        <f t="shared" si="112"/>
        <v>-0.11747957042780258</v>
      </c>
      <c r="H68" s="25">
        <f t="shared" si="112"/>
        <v>-0.11619863459167812</v>
      </c>
      <c r="I68" s="25">
        <f t="shared" si="112"/>
        <v>-0.12459950145693766</v>
      </c>
      <c r="J68" s="25">
        <f t="shared" si="112"/>
        <v>-0.11748175031726764</v>
      </c>
      <c r="K68" s="25"/>
      <c r="L68" s="25">
        <f t="shared" ref="L68:O68" ca="1" si="113">IFERROR(L26/L$14,"-")</f>
        <v>-0.14144341531682234</v>
      </c>
      <c r="M68" s="25">
        <f t="shared" ca="1" si="113"/>
        <v>-0.13525737572286931</v>
      </c>
      <c r="N68" s="25">
        <f t="shared" ca="1" si="113"/>
        <v>-0.11678880659289032</v>
      </c>
      <c r="O68" s="25">
        <f t="shared" ca="1" si="113"/>
        <v>-0.12085810634496005</v>
      </c>
      <c r="P68" s="25"/>
      <c r="Q68" s="25">
        <f t="shared" ref="Q68:R68" ca="1" si="114">IFERROR(Q26/Q$14,"-")</f>
        <v>-0.13820057500462873</v>
      </c>
      <c r="R68" s="25">
        <f t="shared" ca="1" si="114"/>
        <v>-0.11903990369815393</v>
      </c>
      <c r="S68" s="25">
        <f t="shared" ref="S68" si="115">IFERROR(S26/S$14,"-")</f>
        <v>-0.11903990369815393</v>
      </c>
      <c r="U68" s="25"/>
      <c r="V68" s="77">
        <f ca="1">SUMIF($C$4:$T$4,$U$2,$C68:$T68)*100-SUMIF($C$4:$T$4,$V$2,$C68:$T68)*100</f>
        <v>1.9160671306474804</v>
      </c>
    </row>
    <row r="69" spans="1:22" ht="5.0999999999999996" customHeight="1" x14ac:dyDescent="0.2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U69" s="25"/>
      <c r="V69" s="77"/>
    </row>
    <row r="70" spans="1:22" s="10" customFormat="1" x14ac:dyDescent="0.2">
      <c r="A70" s="58"/>
      <c r="B70" s="22" t="s">
        <v>22</v>
      </c>
      <c r="C70" s="23">
        <f t="shared" ref="C70:J70" si="116">IFERROR(C28/C$12,"-")</f>
        <v>0.21270309238622831</v>
      </c>
      <c r="D70" s="23">
        <f t="shared" si="116"/>
        <v>0.24424234226685593</v>
      </c>
      <c r="E70" s="23">
        <f t="shared" si="116"/>
        <v>0.21579192763247182</v>
      </c>
      <c r="F70" s="23">
        <f t="shared" si="116"/>
        <v>0.21880181266543824</v>
      </c>
      <c r="G70" s="23">
        <f t="shared" si="116"/>
        <v>0.25343274039043356</v>
      </c>
      <c r="H70" s="23">
        <f t="shared" si="116"/>
        <v>0.23341049339879652</v>
      </c>
      <c r="I70" s="23">
        <f t="shared" si="116"/>
        <v>0.21100321952676027</v>
      </c>
      <c r="J70" s="23">
        <f t="shared" si="116"/>
        <v>0.20032637971171288</v>
      </c>
      <c r="K70" s="24"/>
      <c r="L70" s="23">
        <f t="shared" ref="L70:O70" ca="1" si="117">IFERROR(L28/L$12,"-")</f>
        <v>0.22607798513010482</v>
      </c>
      <c r="M70" s="23">
        <f t="shared" ca="1" si="117"/>
        <v>0.21737320371411051</v>
      </c>
      <c r="N70" s="23">
        <f t="shared" ca="1" si="117"/>
        <v>0.24217007763596501</v>
      </c>
      <c r="O70" s="23">
        <f t="shared" ca="1" si="117"/>
        <v>0.20553444144293675</v>
      </c>
      <c r="P70" s="24"/>
      <c r="Q70" s="23">
        <f t="shared" ref="Q70:R70" ca="1" si="118">IFERROR(Q28/Q$12,"-")</f>
        <v>0.2212877432344601</v>
      </c>
      <c r="R70" s="23">
        <f t="shared" ca="1" si="118"/>
        <v>0.22056807618233074</v>
      </c>
      <c r="S70" s="23">
        <f t="shared" ref="S70" si="119">IFERROR(S28/S$12,"-")</f>
        <v>0.22056807618233074</v>
      </c>
      <c r="U70" s="23"/>
      <c r="V70" s="76">
        <f ca="1">SUMIF($C$4:$T$4,$U$2,$C70:$T70)*100-SUMIF($C$4:$T$4,$V$2,$C70:$T70)*100</f>
        <v>-7.1966705212936688E-2</v>
      </c>
    </row>
    <row r="71" spans="1:22" x14ac:dyDescent="0.2">
      <c r="B71" s="14" t="s">
        <v>23</v>
      </c>
      <c r="C71" s="25">
        <f>IFERROR(C29/C$13,"-")</f>
        <v>9.253652518549689E-2</v>
      </c>
      <c r="D71" s="25">
        <f t="shared" ref="D71:J71" si="120">IFERROR(D29/D$13,"-")</f>
        <v>9.6175037876929298E-2</v>
      </c>
      <c r="E71" s="25">
        <f t="shared" si="120"/>
        <v>9.5379403942402047E-2</v>
      </c>
      <c r="F71" s="25">
        <f t="shared" si="120"/>
        <v>0.11236465696585397</v>
      </c>
      <c r="G71" s="25">
        <f t="shared" si="120"/>
        <v>0.12728619985171763</v>
      </c>
      <c r="H71" s="25">
        <f t="shared" si="120"/>
        <v>0.13626506156611287</v>
      </c>
      <c r="I71" s="25">
        <f t="shared" si="120"/>
        <v>0.12375220648413161</v>
      </c>
      <c r="J71" s="25">
        <f t="shared" si="120"/>
        <v>0.12026208571411301</v>
      </c>
      <c r="K71" s="25"/>
      <c r="L71" s="25">
        <f t="shared" ref="L71:O71" ca="1" si="121">IFERROR(L29/L$13,"-")</f>
        <v>9.4008753583260427E-2</v>
      </c>
      <c r="M71" s="25">
        <f t="shared" ca="1" si="121"/>
        <v>0.10439438865629679</v>
      </c>
      <c r="N71" s="25">
        <f t="shared" ca="1" si="121"/>
        <v>0.13239168420895761</v>
      </c>
      <c r="O71" s="25">
        <f t="shared" ca="1" si="121"/>
        <v>0.12197477104441776</v>
      </c>
      <c r="P71" s="25"/>
      <c r="Q71" s="25">
        <f t="shared" ref="Q71:R71" ca="1" si="122">IFERROR(Q29/Q$13,"-")</f>
        <v>9.9802666916469301E-2</v>
      </c>
      <c r="R71" s="25">
        <f t="shared" ca="1" si="122"/>
        <v>0.12615973662067767</v>
      </c>
      <c r="S71" s="25">
        <f t="shared" ref="S71" si="123">IFERROR(S29/S$13,"-")</f>
        <v>0.12615973662067767</v>
      </c>
      <c r="U71" s="25"/>
      <c r="V71" s="77">
        <f ca="1">SUMIF($C$4:$T$4,$U$2,$C71:$T71)*100-SUMIF($C$4:$T$4,$V$2,$C71:$T71)*100</f>
        <v>2.635706970420836</v>
      </c>
    </row>
    <row r="72" spans="1:22" x14ac:dyDescent="0.2">
      <c r="B72" s="14" t="s">
        <v>24</v>
      </c>
      <c r="C72" s="25">
        <f>IFERROR(C30/C$14,"-")</f>
        <v>0.65812668022324261</v>
      </c>
      <c r="D72" s="25">
        <f t="shared" ref="D72:J72" si="124">IFERROR(D30/D$14,"-")</f>
        <v>0.6383015531205164</v>
      </c>
      <c r="E72" s="25">
        <f t="shared" si="124"/>
        <v>0.6344145763616843</v>
      </c>
      <c r="F72" s="25">
        <f t="shared" si="124"/>
        <v>0.62805620339567914</v>
      </c>
      <c r="G72" s="25">
        <f t="shared" si="124"/>
        <v>0.70316364540305798</v>
      </c>
      <c r="H72" s="25">
        <f t="shared" si="124"/>
        <v>0.62343861517630372</v>
      </c>
      <c r="I72" s="25">
        <f t="shared" si="124"/>
        <v>0.62437631838018126</v>
      </c>
      <c r="J72" s="25">
        <f t="shared" si="124"/>
        <v>0.55558246777406428</v>
      </c>
      <c r="K72" s="25"/>
      <c r="L72" s="25">
        <f t="shared" ref="L72:O72" ca="1" si="125">IFERROR(L30/L$14,"-")</f>
        <v>0.64848626510303564</v>
      </c>
      <c r="M72" s="25">
        <f t="shared" ca="1" si="125"/>
        <v>0.63119973019754327</v>
      </c>
      <c r="N72" s="25">
        <f t="shared" ca="1" si="125"/>
        <v>0.66017072876755412</v>
      </c>
      <c r="O72" s="25">
        <f t="shared" ca="1" si="125"/>
        <v>0.58821532155109335</v>
      </c>
      <c r="P72" s="25"/>
      <c r="Q72" s="25">
        <f t="shared" ref="Q72:R72" ca="1" si="126">IFERROR(Q30/Q$14,"-")</f>
        <v>0.63942433276356769</v>
      </c>
      <c r="R72" s="25">
        <f t="shared" ca="1" si="126"/>
        <v>0.62036569626518012</v>
      </c>
      <c r="S72" s="25">
        <f t="shared" ref="S72" si="127">IFERROR(S30/S$14,"-")</f>
        <v>0.62036569626518012</v>
      </c>
      <c r="U72" s="25"/>
      <c r="V72" s="77">
        <f ca="1">SUMIF($C$4:$T$4,$U$2,$C72:$T72)*100-SUMIF($C$4:$T$4,$V$2,$C72:$T72)*100</f>
        <v>-1.9058636498387571</v>
      </c>
    </row>
    <row r="73" spans="1:22" ht="5.0999999999999996" customHeight="1" x14ac:dyDescent="0.2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U73" s="25"/>
      <c r="V73" s="77"/>
    </row>
    <row r="74" spans="1:22" s="39" customFormat="1" x14ac:dyDescent="0.2">
      <c r="A74" s="59"/>
      <c r="B74" s="36" t="s">
        <v>21</v>
      </c>
      <c r="C74" s="37">
        <f t="shared" ref="C74:J74" si="128">IFERROR(C32/C$12,"-")</f>
        <v>-0.11733839612470576</v>
      </c>
      <c r="D74" s="37">
        <f t="shared" si="128"/>
        <v>-0.13107954486943918</v>
      </c>
      <c r="E74" s="37">
        <f t="shared" si="128"/>
        <v>-9.3743432983269218E-2</v>
      </c>
      <c r="F74" s="37">
        <f t="shared" si="128"/>
        <v>-0.14986740886031885</v>
      </c>
      <c r="G74" s="37">
        <f t="shared" si="128"/>
        <v>-0.11651422539095878</v>
      </c>
      <c r="H74" s="37">
        <f t="shared" si="128"/>
        <v>-9.6671102338034345E-2</v>
      </c>
      <c r="I74" s="37">
        <f t="shared" si="128"/>
        <v>-8.9126578110744134E-2</v>
      </c>
      <c r="J74" s="37">
        <f t="shared" si="128"/>
        <v>-0.10758944346545292</v>
      </c>
      <c r="K74" s="38"/>
      <c r="L74" s="37">
        <f t="shared" ref="L74:O74" ca="1" si="129">IFERROR(L32/L$12,"-")</f>
        <v>-0.12316562382777646</v>
      </c>
      <c r="M74" s="37">
        <f t="shared" ca="1" si="129"/>
        <v>-0.12322877866551896</v>
      </c>
      <c r="N74" s="37">
        <f t="shared" ca="1" si="129"/>
        <v>-0.10535232118341131</v>
      </c>
      <c r="O74" s="37">
        <f t="shared" ca="1" si="129"/>
        <v>-9.8583431933175286E-2</v>
      </c>
      <c r="P74" s="38"/>
      <c r="Q74" s="37">
        <f t="shared" ref="Q74:R74" ca="1" si="130">IFERROR(Q32/Q$12,"-")</f>
        <v>-0.12320037793993725</v>
      </c>
      <c r="R74" s="37">
        <f t="shared" ca="1" si="130"/>
        <v>-0.10136108285326012</v>
      </c>
      <c r="S74" s="37">
        <f t="shared" ref="S74" si="131">IFERROR(S32/S$12,"-")</f>
        <v>-0.10136108285326012</v>
      </c>
      <c r="U74" s="70"/>
      <c r="V74" s="78">
        <f t="shared" ref="V74:V79" ca="1" si="132">SUMIF($C$4:$T$4,$U$2,$C74:$T74)*100-SUMIF($C$4:$T$4,$V$2,$C74:$T74)*100</f>
        <v>2.1839295086677133</v>
      </c>
    </row>
    <row r="75" spans="1:22" x14ac:dyDescent="0.2">
      <c r="B75" s="14" t="s">
        <v>25</v>
      </c>
      <c r="C75" s="25">
        <f t="shared" ref="C75:J92" si="133">IFERROR(C33/C$12,"-")</f>
        <v>-0.10029664547165176</v>
      </c>
      <c r="D75" s="25">
        <f t="shared" si="133"/>
        <v>-0.1154556011505674</v>
      </c>
      <c r="E75" s="25">
        <f t="shared" si="133"/>
        <v>-9.8941523140095286E-2</v>
      </c>
      <c r="F75" s="25">
        <f t="shared" si="133"/>
        <v>-0.12337634490455826</v>
      </c>
      <c r="G75" s="25">
        <f t="shared" si="133"/>
        <v>-0.10150972297295804</v>
      </c>
      <c r="H75" s="25">
        <f t="shared" si="133"/>
        <v>-0.11651318519894706</v>
      </c>
      <c r="I75" s="25">
        <f t="shared" si="133"/>
        <v>-8.1284995634631665E-2</v>
      </c>
      <c r="J75" s="25">
        <f t="shared" si="133"/>
        <v>-9.9814119848292915E-2</v>
      </c>
      <c r="K75" s="25"/>
      <c r="L75" s="25">
        <f t="shared" ref="L75:O75" ca="1" si="134">IFERROR(L33/L$12,"-")</f>
        <v>-0.10672512449642428</v>
      </c>
      <c r="M75" s="25">
        <f t="shared" ca="1" si="134"/>
        <v>-0.11177862448850433</v>
      </c>
      <c r="N75" s="25">
        <f t="shared" ca="1" si="134"/>
        <v>-0.10994928199304715</v>
      </c>
      <c r="O75" s="25">
        <f t="shared" ca="1" si="134"/>
        <v>-9.0775787869736904E-2</v>
      </c>
      <c r="P75" s="25"/>
      <c r="Q75" s="25">
        <f t="shared" ref="Q75:R75" ca="1" si="135">IFERROR(Q33/Q$12,"-")</f>
        <v>-0.10950606593824184</v>
      </c>
      <c r="R75" s="25">
        <f t="shared" ca="1" si="135"/>
        <v>-9.864373660164992E-2</v>
      </c>
      <c r="S75" s="25">
        <f t="shared" ref="S75" si="136">IFERROR(S33/S$12,"-")</f>
        <v>-9.864373660164992E-2</v>
      </c>
      <c r="U75" s="25"/>
      <c r="V75" s="77">
        <f t="shared" ca="1" si="132"/>
        <v>1.0862329336591934</v>
      </c>
    </row>
    <row r="76" spans="1:22" x14ac:dyDescent="0.2">
      <c r="B76" s="14" t="s">
        <v>27</v>
      </c>
      <c r="C76" s="25">
        <f t="shared" ref="C76:J76" si="137">IFERROR(C34/C$12,"-")</f>
        <v>-1.1737860901155939E-2</v>
      </c>
      <c r="D76" s="25">
        <f t="shared" si="137"/>
        <v>-1.5720256143335536E-2</v>
      </c>
      <c r="E76" s="25">
        <f t="shared" si="137"/>
        <v>-1.0945310152662185E-2</v>
      </c>
      <c r="F76" s="25">
        <f t="shared" si="137"/>
        <v>-9.4964813540141437E-3</v>
      </c>
      <c r="G76" s="25">
        <f t="shared" si="137"/>
        <v>-1.0000805576094403E-2</v>
      </c>
      <c r="H76" s="25">
        <f t="shared" si="137"/>
        <v>-7.8346616110830953E-3</v>
      </c>
      <c r="I76" s="25">
        <f t="shared" si="137"/>
        <v>-6.3718004554576286E-3</v>
      </c>
      <c r="J76" s="25">
        <f t="shared" si="137"/>
        <v>-6.2783610264216675E-3</v>
      </c>
      <c r="K76" s="25"/>
      <c r="L76" s="25">
        <f t="shared" ref="L76:O76" ca="1" si="138">IFERROR(L34/L$12,"-")</f>
        <v>-1.3426680686961704E-2</v>
      </c>
      <c r="M76" s="25">
        <f t="shared" ca="1" si="138"/>
        <v>-1.0184152068350397E-2</v>
      </c>
      <c r="N76" s="25">
        <f t="shared" ca="1" si="138"/>
        <v>-8.7823334952265714E-3</v>
      </c>
      <c r="O76" s="25">
        <f t="shared" ca="1" si="138"/>
        <v>-6.3239398983518953E-3</v>
      </c>
      <c r="P76" s="25"/>
      <c r="Q76" s="25">
        <f t="shared" ref="Q76:R76" ca="1" si="139">IFERROR(Q34/Q$12,"-")</f>
        <v>-1.1642316933937521E-2</v>
      </c>
      <c r="R76" s="25">
        <f t="shared" ca="1" si="139"/>
        <v>-7.332755227403339E-3</v>
      </c>
      <c r="S76" s="25">
        <f t="shared" ref="S76" si="140">IFERROR(S34/S$12,"-")</f>
        <v>-7.332755227403339E-3</v>
      </c>
      <c r="U76" s="25"/>
      <c r="V76" s="77">
        <f t="shared" ca="1" si="132"/>
        <v>0.43095617065341807</v>
      </c>
    </row>
    <row r="77" spans="1:22" x14ac:dyDescent="0.2">
      <c r="B77" s="14" t="s">
        <v>26</v>
      </c>
      <c r="C77" s="25">
        <f t="shared" ref="C77:J77" si="141">IFERROR(C35/C$12,"-")</f>
        <v>-9.5309119951277298E-3</v>
      </c>
      <c r="D77" s="25">
        <f t="shared" si="141"/>
        <v>-7.2450057825543188E-3</v>
      </c>
      <c r="E77" s="25">
        <f t="shared" si="141"/>
        <v>-8.6973530981704773E-4</v>
      </c>
      <c r="F77" s="25">
        <f t="shared" si="141"/>
        <v>-3.2038057488630025E-3</v>
      </c>
      <c r="G77" s="25">
        <f t="shared" si="141"/>
        <v>-8.6435682142422064E-3</v>
      </c>
      <c r="H77" s="25">
        <f t="shared" si="141"/>
        <v>-1.9110505454310639E-3</v>
      </c>
      <c r="I77" s="25">
        <f t="shared" si="141"/>
        <v>-3.7908261908714681E-3</v>
      </c>
      <c r="J77" s="25">
        <f t="shared" si="141"/>
        <v>-2.7101992681105029E-3</v>
      </c>
      <c r="K77" s="25"/>
      <c r="L77" s="25">
        <f t="shared" ref="L77:O77" ca="1" si="142">IFERROR(L35/L$12,"-")</f>
        <v>-8.5615246275952631E-3</v>
      </c>
      <c r="M77" s="25">
        <f t="shared" ca="1" si="142"/>
        <v>-2.0959647895808435E-3</v>
      </c>
      <c r="N77" s="25">
        <f t="shared" ca="1" si="142"/>
        <v>-4.8564769839725972E-3</v>
      </c>
      <c r="O77" s="25">
        <f t="shared" ca="1" si="142"/>
        <v>-3.2373188858676061E-3</v>
      </c>
      <c r="P77" s="25"/>
      <c r="Q77" s="25">
        <f t="shared" ref="Q77:R77" ca="1" si="143">IFERROR(Q35/Q$12,"-")</f>
        <v>-5.0035265418596929E-3</v>
      </c>
      <c r="R77" s="25">
        <f t="shared" ca="1" si="143"/>
        <v>-3.9017493137708747E-3</v>
      </c>
      <c r="S77" s="25">
        <f t="shared" ref="S77" si="144">IFERROR(S35/S$12,"-")</f>
        <v>-3.9017493137708747E-3</v>
      </c>
      <c r="U77" s="25"/>
      <c r="V77" s="77">
        <f t="shared" ca="1" si="132"/>
        <v>0.11017772280888183</v>
      </c>
    </row>
    <row r="78" spans="1:22" x14ac:dyDescent="0.2">
      <c r="B78" s="14" t="s">
        <v>28</v>
      </c>
      <c r="C78" s="25">
        <f t="shared" ref="C78:J78" si="145">IFERROR(C36/C$12,"-")</f>
        <v>9.1378440565221977E-4</v>
      </c>
      <c r="D78" s="25">
        <f t="shared" si="145"/>
        <v>2.8298510559532351E-3</v>
      </c>
      <c r="E78" s="25">
        <f t="shared" si="145"/>
        <v>1.3568530837554429E-2</v>
      </c>
      <c r="F78" s="25">
        <f t="shared" si="145"/>
        <v>-1.5859636432928311E-2</v>
      </c>
      <c r="G78" s="25">
        <f t="shared" si="145"/>
        <v>-4.1686853850363332E-5</v>
      </c>
      <c r="H78" s="25">
        <f t="shared" si="145"/>
        <v>2.6598550414269492E-2</v>
      </c>
      <c r="I78" s="25">
        <f t="shared" si="145"/>
        <v>-3.5060422160719523E-4</v>
      </c>
      <c r="J78" s="25">
        <f t="shared" si="145"/>
        <v>-1.0207964926542746E-3</v>
      </c>
      <c r="K78" s="25"/>
      <c r="L78" s="25">
        <f t="shared" ref="L78:O78" ca="1" si="146">IFERROR(L36/L$12,"-")</f>
        <v>1.7263334052286419E-3</v>
      </c>
      <c r="M78" s="25">
        <f t="shared" ca="1" si="146"/>
        <v>-1.8918792849592398E-3</v>
      </c>
      <c r="N78" s="25">
        <f t="shared" ca="1" si="146"/>
        <v>1.4943644621442112E-2</v>
      </c>
      <c r="O78" s="25">
        <f t="shared" ca="1" si="146"/>
        <v>-6.9388302576090422E-4</v>
      </c>
      <c r="P78" s="25"/>
      <c r="Q78" s="25">
        <f t="shared" ref="Q78:R78" ca="1" si="147">IFERROR(Q36/Q$12,"-")</f>
        <v>-2.647693218363856E-4</v>
      </c>
      <c r="R78" s="25">
        <f t="shared" ca="1" si="147"/>
        <v>5.7230624214690282E-3</v>
      </c>
      <c r="S78" s="25">
        <f t="shared" ref="S78" si="148">IFERROR(S36/S$12,"-")</f>
        <v>5.7230624214690282E-3</v>
      </c>
      <c r="U78" s="25"/>
      <c r="V78" s="77">
        <f t="shared" ca="1" si="132"/>
        <v>0.5987831743305414</v>
      </c>
    </row>
    <row r="79" spans="1:22" x14ac:dyDescent="0.2">
      <c r="B79" s="14" t="s">
        <v>29</v>
      </c>
      <c r="C79" s="25">
        <f t="shared" ref="C79:J79" si="149">IFERROR(C37/C$12,"-")</f>
        <v>3.3132378375774455E-3</v>
      </c>
      <c r="D79" s="25">
        <f t="shared" si="149"/>
        <v>4.5114671510648593E-3</v>
      </c>
      <c r="E79" s="25">
        <f t="shared" si="149"/>
        <v>3.4446047817508854E-3</v>
      </c>
      <c r="F79" s="25">
        <f t="shared" si="149"/>
        <v>2.0688595800448383E-3</v>
      </c>
      <c r="G79" s="25">
        <f t="shared" si="149"/>
        <v>3.6815582261862361E-3</v>
      </c>
      <c r="H79" s="25">
        <f t="shared" si="149"/>
        <v>2.9892446031573737E-3</v>
      </c>
      <c r="I79" s="25">
        <f t="shared" si="149"/>
        <v>2.6716483918238177E-3</v>
      </c>
      <c r="J79" s="25">
        <f t="shared" si="149"/>
        <v>2.2340331700264546E-3</v>
      </c>
      <c r="K79" s="25"/>
      <c r="L79" s="25">
        <f t="shared" ref="L79:O79" ca="1" si="150">IFERROR(L37/L$12,"-")</f>
        <v>3.8213725779761604E-3</v>
      </c>
      <c r="M79" s="25">
        <f t="shared" ca="1" si="150"/>
        <v>2.7218419658758463E-3</v>
      </c>
      <c r="N79" s="25">
        <f t="shared" ca="1" si="150"/>
        <v>3.2921266673929029E-3</v>
      </c>
      <c r="O79" s="25">
        <f t="shared" ca="1" si="150"/>
        <v>2.4474977465420459E-3</v>
      </c>
      <c r="P79" s="25"/>
      <c r="Q79" s="25">
        <f t="shared" ref="Q79:R79" ca="1" si="151">IFERROR(Q37/Q$12,"-")</f>
        <v>3.21630079593818E-3</v>
      </c>
      <c r="R79" s="25">
        <f t="shared" ca="1" si="151"/>
        <v>2.7940958680949799E-3</v>
      </c>
      <c r="S79" s="25">
        <f t="shared" ref="S79" si="152">IFERROR(S37/S$12,"-")</f>
        <v>2.7940958680949799E-3</v>
      </c>
      <c r="U79" s="25"/>
      <c r="V79" s="77">
        <f t="shared" ca="1" si="132"/>
        <v>-4.2220492784319996E-2</v>
      </c>
    </row>
    <row r="80" spans="1:22" ht="5.0999999999999996" customHeight="1" x14ac:dyDescent="0.2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U80" s="25"/>
      <c r="V80" s="77"/>
    </row>
    <row r="81" spans="1:22" s="39" customFormat="1" x14ac:dyDescent="0.2">
      <c r="A81" s="59"/>
      <c r="B81" s="36" t="s">
        <v>30</v>
      </c>
      <c r="C81" s="37">
        <f t="shared" si="133"/>
        <v>-9.5373924980777841E-5</v>
      </c>
      <c r="D81" s="37">
        <f t="shared" si="133"/>
        <v>2.7830672042362341E-5</v>
      </c>
      <c r="E81" s="37">
        <f t="shared" si="133"/>
        <v>6.1284049459766612E-3</v>
      </c>
      <c r="F81" s="37">
        <f t="shared" si="133"/>
        <v>-3.9547845294405489E-5</v>
      </c>
      <c r="G81" s="37">
        <f t="shared" si="133"/>
        <v>4.4826188097870758E-3</v>
      </c>
      <c r="H81" s="37">
        <f t="shared" si="133"/>
        <v>-9.2001588758083353E-4</v>
      </c>
      <c r="I81" s="37">
        <f t="shared" si="133"/>
        <v>-3.3374555546831835E-3</v>
      </c>
      <c r="J81" s="37">
        <f t="shared" si="133"/>
        <v>3.9431734003255448E-3</v>
      </c>
      <c r="K81" s="38"/>
      <c r="L81" s="37">
        <f t="shared" ref="L81:O81" ca="1" si="153">IFERROR(L39/L$12,"-")</f>
        <v>-4.3126383362827628E-5</v>
      </c>
      <c r="M81" s="37">
        <f t="shared" ca="1" si="153"/>
        <v>2.8880033642919799E-3</v>
      </c>
      <c r="N81" s="37">
        <f t="shared" ca="1" si="153"/>
        <v>1.4435966357293755E-3</v>
      </c>
      <c r="O81" s="37">
        <f t="shared" ca="1" si="153"/>
        <v>3.9175128510547793E-4</v>
      </c>
      <c r="P81" s="38"/>
      <c r="Q81" s="37">
        <f t="shared" ref="Q81:R81" ca="1" si="154">IFERROR(Q39/Q$12,"-")</f>
        <v>1.5698745465614603E-3</v>
      </c>
      <c r="R81" s="37">
        <f t="shared" ca="1" si="154"/>
        <v>8.2338180791918217E-4</v>
      </c>
      <c r="S81" s="37">
        <f t="shared" ref="S81" si="155">IFERROR(S39/S$12,"-")</f>
        <v>8.2338180791918217E-4</v>
      </c>
      <c r="U81" s="70"/>
      <c r="V81" s="78">
        <f ca="1">SUMIF($C$4:$T$4,$U$2,$C81:$T81)*100-SUMIF($C$4:$T$4,$V$2,$C81:$T81)*100</f>
        <v>-7.4649273864227803E-2</v>
      </c>
    </row>
    <row r="82" spans="1:22" x14ac:dyDescent="0.2">
      <c r="B82" s="14" t="s">
        <v>239</v>
      </c>
      <c r="C82" s="25">
        <f t="shared" si="133"/>
        <v>9.8398593787987904E-3</v>
      </c>
      <c r="D82" s="25">
        <f t="shared" si="133"/>
        <v>9.8483045817813752E-3</v>
      </c>
      <c r="E82" s="25">
        <f t="shared" si="133"/>
        <v>1.5657294462504023E-2</v>
      </c>
      <c r="F82" s="25">
        <f t="shared" si="133"/>
        <v>6.9256893444009596E-3</v>
      </c>
      <c r="G82" s="25">
        <f t="shared" si="133"/>
        <v>1.3301548732097339E-2</v>
      </c>
      <c r="H82" s="25">
        <f t="shared" si="133"/>
        <v>1.0207334163265244E-2</v>
      </c>
      <c r="I82" s="25">
        <f t="shared" si="133"/>
        <v>1.1391261070399348E-2</v>
      </c>
      <c r="J82" s="25">
        <f t="shared" si="133"/>
        <v>1.1439088672366269E-2</v>
      </c>
      <c r="K82" s="25"/>
      <c r="L82" s="25">
        <f t="shared" ref="L82:O82" ca="1" si="156">IFERROR(L40/L$12,"-")</f>
        <v>9.8434407475542253E-3</v>
      </c>
      <c r="M82" s="25">
        <f t="shared" ca="1" si="156"/>
        <v>1.1070050040758615E-2</v>
      </c>
      <c r="N82" s="25">
        <f t="shared" ca="1" si="156"/>
        <v>1.1561030038402515E-2</v>
      </c>
      <c r="O82" s="25">
        <f t="shared" ca="1" si="156"/>
        <v>1.1415758819355916E-2</v>
      </c>
      <c r="P82" s="25"/>
      <c r="Q82" s="25">
        <f t="shared" ref="Q82:R82" ca="1" si="157">IFERROR(Q40/Q$12,"-")</f>
        <v>1.051844393776628E-2</v>
      </c>
      <c r="R82" s="25">
        <f t="shared" ca="1" si="157"/>
        <v>1.1475371662812111E-2</v>
      </c>
      <c r="S82" s="25">
        <f t="shared" ref="S82" si="158">IFERROR(S40/S$12,"-")</f>
        <v>1.1475371662812111E-2</v>
      </c>
      <c r="U82" s="25"/>
      <c r="V82" s="77">
        <f ca="1">SUMIF($C$4:$T$4,$U$2,$C82:$T82)*100-SUMIF($C$4:$T$4,$V$2,$C82:$T82)*100</f>
        <v>9.5692772504583079E-2</v>
      </c>
    </row>
    <row r="83" spans="1:22" x14ac:dyDescent="0.2">
      <c r="B83" s="14" t="s">
        <v>240</v>
      </c>
      <c r="C83" s="25">
        <f t="shared" si="133"/>
        <v>-9.7302502691419268E-3</v>
      </c>
      <c r="D83" s="25">
        <f t="shared" si="133"/>
        <v>-1.3619901622304956E-2</v>
      </c>
      <c r="E83" s="25">
        <f t="shared" si="133"/>
        <v>-1.0456490054443409E-2</v>
      </c>
      <c r="F83" s="25">
        <f t="shared" si="133"/>
        <v>-9.3782585607814981E-3</v>
      </c>
      <c r="G83" s="25">
        <f t="shared" si="133"/>
        <v>-1.019069428956455E-2</v>
      </c>
      <c r="H83" s="25">
        <f t="shared" si="133"/>
        <v>-7.2188965915882036E-3</v>
      </c>
      <c r="I83" s="25">
        <f t="shared" si="133"/>
        <v>-1.689258990437547E-2</v>
      </c>
      <c r="J83" s="25">
        <f t="shared" si="133"/>
        <v>-7.3108766328888915E-3</v>
      </c>
      <c r="K83" s="25"/>
      <c r="L83" s="25">
        <f t="shared" ref="L83:O83" ca="1" si="159">IFERROR(L41/L$12,"-")</f>
        <v>-1.1379740027349022E-2</v>
      </c>
      <c r="M83" s="25">
        <f t="shared" ca="1" si="159"/>
        <v>-9.8900293249727014E-3</v>
      </c>
      <c r="N83" s="25">
        <f t="shared" ca="1" si="159"/>
        <v>-8.5190359956281297E-3</v>
      </c>
      <c r="O83" s="25">
        <f t="shared" ca="1" si="159"/>
        <v>-1.1984745968126051E-2</v>
      </c>
      <c r="P83" s="25"/>
      <c r="Q83" s="25">
        <f t="shared" ref="Q83:R83" ca="1" si="160">IFERROR(Q41/Q$12,"-")</f>
        <v>-1.0559952111043464E-2</v>
      </c>
      <c r="R83" s="25">
        <f t="shared" ca="1" si="160"/>
        <v>-1.0562572825978628E-2</v>
      </c>
      <c r="S83" s="25">
        <f t="shared" ref="S83" si="161">IFERROR(S41/S$12,"-")</f>
        <v>-1.0562572825978628E-2</v>
      </c>
      <c r="U83" s="25"/>
      <c r="V83" s="77">
        <f ca="1">SUMIF($C$4:$T$4,$U$2,$C83:$T83)*100-SUMIF($C$4:$T$4,$V$2,$C83:$T83)*100</f>
        <v>-2.6207149351664683E-4</v>
      </c>
    </row>
    <row r="84" spans="1:22" x14ac:dyDescent="0.2">
      <c r="B84" s="14" t="s">
        <v>31</v>
      </c>
      <c r="C84" s="25">
        <f t="shared" si="133"/>
        <v>-2.0498303463764049E-4</v>
      </c>
      <c r="D84" s="25">
        <f t="shared" si="133"/>
        <v>3.7994277125659439E-3</v>
      </c>
      <c r="E84" s="25">
        <f t="shared" si="133"/>
        <v>9.276005379160459E-4</v>
      </c>
      <c r="F84" s="25">
        <f t="shared" si="133"/>
        <v>2.4130213710861319E-3</v>
      </c>
      <c r="G84" s="25">
        <f t="shared" si="133"/>
        <v>1.3717643672542853E-3</v>
      </c>
      <c r="H84" s="25">
        <f t="shared" si="133"/>
        <v>-3.9084534592578723E-3</v>
      </c>
      <c r="I84" s="25">
        <f t="shared" si="133"/>
        <v>2.1638732792929397E-3</v>
      </c>
      <c r="J84" s="25">
        <f t="shared" si="133"/>
        <v>-1.8503863915183224E-4</v>
      </c>
      <c r="K84" s="25"/>
      <c r="L84" s="25">
        <f t="shared" ref="L84:O84" ca="1" si="162">IFERROR(L42/L$12,"-")</f>
        <v>1.4931728964319671E-3</v>
      </c>
      <c r="M84" s="25">
        <f t="shared" ca="1" si="162"/>
        <v>1.7079826485060666E-3</v>
      </c>
      <c r="N84" s="25">
        <f t="shared" ca="1" si="162"/>
        <v>-1.5983974070450096E-3</v>
      </c>
      <c r="O84" s="25">
        <f t="shared" ca="1" si="162"/>
        <v>9.6073843387561148E-4</v>
      </c>
      <c r="P84" s="25"/>
      <c r="Q84" s="25">
        <f t="shared" ref="Q84:R84" ca="1" si="163">IFERROR(Q42/Q$12,"-")</f>
        <v>1.6113827198386424E-3</v>
      </c>
      <c r="R84" s="25">
        <f t="shared" ca="1" si="163"/>
        <v>-8.941702891430025E-5</v>
      </c>
      <c r="S84" s="25">
        <f t="shared" ref="S84" si="164">IFERROR(S42/S$12,"-")</f>
        <v>-8.941702891430025E-5</v>
      </c>
      <c r="U84" s="25"/>
      <c r="V84" s="77">
        <f ca="1">SUMIF($C$4:$T$4,$U$2,$C84:$T84)*100-SUMIF($C$4:$T$4,$V$2,$C84:$T84)*100</f>
        <v>-0.17007997487529428</v>
      </c>
    </row>
    <row r="85" spans="1:22" ht="5.0999999999999996" customHeight="1" x14ac:dyDescent="0.2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U85" s="25"/>
      <c r="V85" s="77"/>
    </row>
    <row r="86" spans="1:22" s="10" customFormat="1" x14ac:dyDescent="0.2">
      <c r="A86" s="58"/>
      <c r="B86" s="22" t="s">
        <v>32</v>
      </c>
      <c r="C86" s="23">
        <f t="shared" si="133"/>
        <v>9.526932233654177E-2</v>
      </c>
      <c r="D86" s="23">
        <f t="shared" si="133"/>
        <v>0.11319062806945912</v>
      </c>
      <c r="E86" s="23">
        <f t="shared" si="133"/>
        <v>0.12817689959517925</v>
      </c>
      <c r="F86" s="23">
        <f t="shared" si="133"/>
        <v>6.8894855959824988E-2</v>
      </c>
      <c r="G86" s="23">
        <f t="shared" si="133"/>
        <v>0.14140113380926189</v>
      </c>
      <c r="H86" s="23">
        <f t="shared" si="133"/>
        <v>0.13581937517318135</v>
      </c>
      <c r="I86" s="23">
        <f t="shared" si="133"/>
        <v>0.11853918586133294</v>
      </c>
      <c r="J86" s="23">
        <f t="shared" si="133"/>
        <v>9.6680109646585521E-2</v>
      </c>
      <c r="K86" s="24"/>
      <c r="L86" s="23">
        <f t="shared" ref="L86:O86" ca="1" si="165">IFERROR(L44/L$12,"-")</f>
        <v>0.1028692349189655</v>
      </c>
      <c r="M86" s="23">
        <f t="shared" ca="1" si="165"/>
        <v>9.7032428412883523E-2</v>
      </c>
      <c r="N86" s="23">
        <f t="shared" ca="1" si="165"/>
        <v>0.13826135308828311</v>
      </c>
      <c r="O86" s="23">
        <f t="shared" ca="1" si="165"/>
        <v>0.10734276079486695</v>
      </c>
      <c r="P86" s="24"/>
      <c r="Q86" s="23">
        <f t="shared" ref="Q86:R86" ca="1" si="166">IFERROR(Q44/Q$12,"-")</f>
        <v>9.9657239841084308E-2</v>
      </c>
      <c r="R86" s="23">
        <f t="shared" ca="1" si="166"/>
        <v>0.12003037513698979</v>
      </c>
      <c r="S86" s="23">
        <f t="shared" ref="S86" si="167">IFERROR(S44/S$12,"-")</f>
        <v>0.12003037513698979</v>
      </c>
      <c r="U86" s="23"/>
      <c r="V86" s="76">
        <f ca="1">SUMIF($C$4:$T$4,$U$2,$C86:$T86)*100-SUMIF($C$4:$T$4,$V$2,$C86:$T86)*100</f>
        <v>2.0373135295905485</v>
      </c>
    </row>
    <row r="87" spans="1:22" ht="5.0999999999999996" customHeight="1" x14ac:dyDescent="0.2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U87" s="25"/>
      <c r="V87" s="77"/>
    </row>
    <row r="88" spans="1:22" s="39" customFormat="1" x14ac:dyDescent="0.2">
      <c r="A88" s="59"/>
      <c r="B88" s="36" t="s">
        <v>36</v>
      </c>
      <c r="C88" s="37">
        <f t="shared" si="133"/>
        <v>-3.6018911806999954E-2</v>
      </c>
      <c r="D88" s="37">
        <f t="shared" si="133"/>
        <v>-2.8954116161319075E-2</v>
      </c>
      <c r="E88" s="37">
        <f t="shared" si="133"/>
        <v>-2.4410313923535484E-2</v>
      </c>
      <c r="F88" s="37">
        <f t="shared" si="133"/>
        <v>3.3769660485365345E-2</v>
      </c>
      <c r="G88" s="37">
        <f t="shared" si="133"/>
        <v>-3.9810220661178446E-2</v>
      </c>
      <c r="H88" s="37">
        <f t="shared" si="133"/>
        <v>-3.8572876634046932E-2</v>
      </c>
      <c r="I88" s="37">
        <f t="shared" si="133"/>
        <v>-2.9667279087486502E-2</v>
      </c>
      <c r="J88" s="37">
        <f t="shared" si="133"/>
        <v>-2.5344742404626461E-2</v>
      </c>
      <c r="K88" s="38"/>
      <c r="L88" s="37">
        <f t="shared" ref="L88:O88" ca="1" si="168">IFERROR(L46/L$12,"-")</f>
        <v>-3.3022934275003343E-2</v>
      </c>
      <c r="M88" s="37">
        <f t="shared" ca="1" si="168"/>
        <v>6.1551731151754203E-3</v>
      </c>
      <c r="N88" s="37">
        <f t="shared" ca="1" si="168"/>
        <v>-3.9114205448966807E-2</v>
      </c>
      <c r="O88" s="37">
        <f t="shared" ca="1" si="168"/>
        <v>-2.7453235017589284E-2</v>
      </c>
      <c r="P88" s="38"/>
      <c r="Q88" s="37">
        <f t="shared" ref="Q88:R88" ca="1" si="169">IFERROR(Q46/Q$12,"-")</f>
        <v>-1.1463218706767695E-2</v>
      </c>
      <c r="R88" s="37">
        <f t="shared" ca="1" si="169"/>
        <v>-3.2238378347666456E-2</v>
      </c>
      <c r="S88" s="37">
        <f t="shared" ref="S88" si="170">IFERROR(S46/S$12,"-")</f>
        <v>-3.2238378347666456E-2</v>
      </c>
      <c r="U88" s="70"/>
      <c r="V88" s="78">
        <f ca="1">SUMIF($C$4:$T$4,$U$2,$C88:$T88)*100-SUMIF($C$4:$T$4,$V$2,$C88:$T88)*100</f>
        <v>-2.0775159640898764</v>
      </c>
    </row>
    <row r="89" spans="1:22" x14ac:dyDescent="0.2">
      <c r="B89" s="14" t="s">
        <v>33</v>
      </c>
      <c r="C89" s="25">
        <f t="shared" si="133"/>
        <v>-2.6741938691804187E-2</v>
      </c>
      <c r="D89" s="25">
        <f t="shared" si="133"/>
        <v>-2.1891877977199256E-2</v>
      </c>
      <c r="E89" s="25">
        <f t="shared" si="133"/>
        <v>-2.8799736886597607E-2</v>
      </c>
      <c r="F89" s="25">
        <f t="shared" si="133"/>
        <v>-3.0175405848417148E-2</v>
      </c>
      <c r="G89" s="25">
        <f t="shared" si="133"/>
        <v>-3.118117945233833E-2</v>
      </c>
      <c r="H89" s="25">
        <f t="shared" si="133"/>
        <v>-4.1366012587483125E-2</v>
      </c>
      <c r="I89" s="25">
        <f t="shared" si="133"/>
        <v>-2.3329157593574287E-2</v>
      </c>
      <c r="J89" s="25">
        <f t="shared" si="133"/>
        <v>-2.5058549309404963E-2</v>
      </c>
      <c r="K89" s="25"/>
      <c r="L89" s="25">
        <f t="shared" ref="L89:O89" ca="1" si="171">IFERROR(L47/L$12,"-")</f>
        <v>-2.468516682485581E-2</v>
      </c>
      <c r="M89" s="25">
        <f t="shared" ca="1" si="171"/>
        <v>-2.9522459649012907E-2</v>
      </c>
      <c r="N89" s="25">
        <f t="shared" ca="1" si="171"/>
        <v>-3.6910223792845386E-2</v>
      </c>
      <c r="O89" s="25">
        <f t="shared" ca="1" si="171"/>
        <v>-2.4214968346354487E-2</v>
      </c>
      <c r="P89" s="25"/>
      <c r="Q89" s="25">
        <f t="shared" ref="Q89:R89" ca="1" si="172">IFERROR(Q47/Q$12,"-")</f>
        <v>-2.7347129445215512E-2</v>
      </c>
      <c r="R89" s="25">
        <f t="shared" ca="1" si="172"/>
        <v>-2.9424536219019564E-2</v>
      </c>
      <c r="S89" s="25">
        <f t="shared" ref="S89" si="173">IFERROR(S47/S$12,"-")</f>
        <v>-2.9424536219019564E-2</v>
      </c>
      <c r="U89" s="25"/>
      <c r="V89" s="77">
        <f ca="1">SUMIF($C$4:$T$4,$U$2,$C89:$T89)*100-SUMIF($C$4:$T$4,$V$2,$C89:$T89)*100</f>
        <v>-0.20774067738040536</v>
      </c>
    </row>
    <row r="90" spans="1:22" x14ac:dyDescent="0.2">
      <c r="B90" s="14" t="s">
        <v>34</v>
      </c>
      <c r="C90" s="25">
        <f t="shared" si="133"/>
        <v>-9.2769731151957652E-3</v>
      </c>
      <c r="D90" s="25">
        <f t="shared" si="133"/>
        <v>-7.0622381841198159E-3</v>
      </c>
      <c r="E90" s="25">
        <f t="shared" si="133"/>
        <v>4.3894229630621244E-3</v>
      </c>
      <c r="F90" s="25">
        <f t="shared" si="133"/>
        <v>6.3945066333782483E-2</v>
      </c>
      <c r="G90" s="25">
        <f t="shared" si="133"/>
        <v>-8.6290412088401193E-3</v>
      </c>
      <c r="H90" s="25">
        <f t="shared" si="133"/>
        <v>2.7931359534361959E-3</v>
      </c>
      <c r="I90" s="25">
        <f t="shared" si="133"/>
        <v>-6.3381214939122136E-3</v>
      </c>
      <c r="J90" s="25">
        <f t="shared" si="133"/>
        <v>-2.8619309522150051E-4</v>
      </c>
      <c r="K90" s="25"/>
      <c r="L90" s="25">
        <f t="shared" ref="L90:O90" ca="1" si="174">IFERROR(L48/L$12,"-")</f>
        <v>-8.3377674501475263E-3</v>
      </c>
      <c r="M90" s="25">
        <f t="shared" ca="1" si="174"/>
        <v>3.5677632764188318E-2</v>
      </c>
      <c r="N90" s="25">
        <f t="shared" ca="1" si="174"/>
        <v>-2.2039816561214205E-3</v>
      </c>
      <c r="O90" s="25">
        <f t="shared" ca="1" si="174"/>
        <v>-3.2382666712347965E-3</v>
      </c>
      <c r="P90" s="25"/>
      <c r="Q90" s="25">
        <f t="shared" ref="Q90:R90" ca="1" si="175">IFERROR(Q48/Q$12,"-")</f>
        <v>1.5883910738447821E-2</v>
      </c>
      <c r="R90" s="25">
        <f t="shared" ca="1" si="175"/>
        <v>-2.8138421286468878E-3</v>
      </c>
      <c r="S90" s="25">
        <f t="shared" ref="S90" si="176">IFERROR(S48/S$12,"-")</f>
        <v>-2.8138421286468878E-3</v>
      </c>
      <c r="U90" s="25"/>
      <c r="V90" s="77">
        <f ca="1">SUMIF($C$4:$T$4,$U$2,$C90:$T90)*100-SUMIF($C$4:$T$4,$V$2,$C90:$T90)*100</f>
        <v>-1.869775286709471</v>
      </c>
    </row>
    <row r="91" spans="1:22" ht="5.0999999999999996" customHeight="1" x14ac:dyDescent="0.2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U91" s="25"/>
      <c r="V91" s="77"/>
    </row>
    <row r="92" spans="1:22" s="10" customFormat="1" x14ac:dyDescent="0.2">
      <c r="A92" s="58"/>
      <c r="B92" s="22" t="s">
        <v>35</v>
      </c>
      <c r="C92" s="23">
        <f t="shared" si="133"/>
        <v>5.925041052954181E-2</v>
      </c>
      <c r="D92" s="23">
        <f t="shared" si="133"/>
        <v>8.4236511908140049E-2</v>
      </c>
      <c r="E92" s="23">
        <f t="shared" si="133"/>
        <v>0.10376658567164376</v>
      </c>
      <c r="F92" s="23">
        <f t="shared" si="133"/>
        <v>0.10266451644519033</v>
      </c>
      <c r="G92" s="23">
        <f t="shared" si="133"/>
        <v>0.10159091314808344</v>
      </c>
      <c r="H92" s="23">
        <f t="shared" si="133"/>
        <v>9.7246498539134418E-2</v>
      </c>
      <c r="I92" s="23">
        <f t="shared" si="133"/>
        <v>8.8871906773846432E-2</v>
      </c>
      <c r="J92" s="23">
        <f t="shared" si="133"/>
        <v>7.1335367241959047E-2</v>
      </c>
      <c r="K92" s="24"/>
      <c r="L92" s="23">
        <f t="shared" ref="L92:O92" ca="1" si="177">IFERROR(L50/L$12,"-")</f>
        <v>6.9846300643962161E-2</v>
      </c>
      <c r="M92" s="23">
        <f t="shared" ca="1" si="177"/>
        <v>0.10318760152805895</v>
      </c>
      <c r="N92" s="23">
        <f t="shared" ca="1" si="177"/>
        <v>9.9147147639316313E-2</v>
      </c>
      <c r="O92" s="23">
        <f t="shared" ca="1" si="177"/>
        <v>7.9889525777277676E-2</v>
      </c>
      <c r="P92" s="24"/>
      <c r="Q92" s="23">
        <f t="shared" ref="Q92:R92" ca="1" si="178">IFERROR(Q50/Q$12,"-")</f>
        <v>8.8194021134316611E-2</v>
      </c>
      <c r="R92" s="23">
        <f t="shared" ca="1" si="178"/>
        <v>8.7791996789323354E-2</v>
      </c>
      <c r="S92" s="23">
        <f t="shared" ref="S92" si="179">IFERROR(S50/S$12,"-")</f>
        <v>8.7791996789323354E-2</v>
      </c>
      <c r="U92" s="23"/>
      <c r="V92" s="76">
        <f ca="1">SUMIF($C$4:$T$4,$U$2,$C92:$T92)*100-SUMIF($C$4:$T$4,$V$2,$C92:$T92)*100</f>
        <v>-4.0202434499326145E-2</v>
      </c>
    </row>
    <row r="94" spans="1:22" s="18" customFormat="1" ht="15" x14ac:dyDescent="0.2">
      <c r="A94" s="56"/>
      <c r="B94" s="19" t="s">
        <v>37</v>
      </c>
      <c r="C94" s="20"/>
      <c r="D94" s="20"/>
      <c r="E94" s="20"/>
      <c r="F94" s="20"/>
      <c r="G94" s="20"/>
      <c r="H94" s="20"/>
      <c r="I94" s="20"/>
      <c r="J94" s="20"/>
      <c r="K94" s="17"/>
      <c r="L94" s="20"/>
      <c r="M94" s="20"/>
      <c r="N94" s="20"/>
      <c r="O94" s="20"/>
      <c r="P94" s="17"/>
      <c r="Q94" s="21"/>
      <c r="R94" s="21"/>
      <c r="S94" s="21"/>
      <c r="U94" s="21"/>
      <c r="V94" s="21"/>
    </row>
    <row r="95" spans="1:22" x14ac:dyDescent="0.2">
      <c r="C95" s="35"/>
      <c r="D95" s="35"/>
      <c r="E95" s="35"/>
      <c r="F95" s="35"/>
      <c r="G95" s="35"/>
      <c r="H95" s="35"/>
      <c r="I95" s="35"/>
      <c r="J95" s="35"/>
      <c r="L95" s="35"/>
      <c r="M95" s="35"/>
      <c r="N95" s="35"/>
      <c r="O95" s="35"/>
      <c r="Q95" s="35"/>
      <c r="R95" s="35"/>
      <c r="S95" s="35"/>
      <c r="U95" s="35"/>
      <c r="V95" s="35"/>
    </row>
    <row r="96" spans="1:22" s="10" customFormat="1" x14ac:dyDescent="0.2">
      <c r="A96" s="58"/>
      <c r="B96" s="22" t="s">
        <v>38</v>
      </c>
      <c r="C96" s="45">
        <f>SUM(C97,C110)</f>
        <v>4289.1082835877078</v>
      </c>
      <c r="D96" s="45">
        <f t="shared" ref="D96:J96" si="180">SUM(D97,D110)</f>
        <v>4633.9539999999997</v>
      </c>
      <c r="E96" s="45">
        <f t="shared" si="180"/>
        <v>4803.4263104337024</v>
      </c>
      <c r="F96" s="45">
        <f t="shared" si="180"/>
        <v>5110.1011999169496</v>
      </c>
      <c r="G96" s="45">
        <f t="shared" si="180"/>
        <v>5200.6479999999992</v>
      </c>
      <c r="H96" s="45">
        <f t="shared" si="180"/>
        <v>5521.8410000000013</v>
      </c>
      <c r="I96" s="45">
        <f t="shared" si="180"/>
        <v>6051.8090000000011</v>
      </c>
      <c r="J96" s="45">
        <f t="shared" si="180"/>
        <v>6226.7269999999999</v>
      </c>
      <c r="K96" s="46"/>
      <c r="L96" s="45">
        <f t="shared" ref="L96" ca="1" si="181">SUM(L97,L110)</f>
        <v>4633.9539999999997</v>
      </c>
      <c r="M96" s="45">
        <f t="shared" ref="M96" ca="1" si="182">SUM(M97,M110)</f>
        <v>5110.1011999169496</v>
      </c>
      <c r="N96" s="45">
        <f t="shared" ref="N96" ca="1" si="183">SUM(N97,N110)</f>
        <v>5521.8410000000013</v>
      </c>
      <c r="O96" s="45">
        <f t="shared" ref="O96" ca="1" si="184">SUM(O97,O110)</f>
        <v>6226.7269999999999</v>
      </c>
      <c r="P96" s="46"/>
      <c r="Q96" s="45">
        <f ca="1">SUM(Q97,Q110)</f>
        <v>5110.1011999169496</v>
      </c>
      <c r="R96" s="45">
        <f t="shared" ref="R96:S96" ca="1" si="185">SUM(R97,R110)</f>
        <v>6226.7269999999999</v>
      </c>
      <c r="S96" s="45">
        <f t="shared" ca="1" si="185"/>
        <v>6226.7269999999999</v>
      </c>
      <c r="U96" s="73">
        <f t="shared" ref="U96:U127" ca="1" si="186">IFERROR(SUMIF($C$4:$T$4,$U$2,$C96:$T96)/SUMIF($C$4:$T$4,$V$2,$C96:$T96)-1,"")</f>
        <v>0.21851344159313291</v>
      </c>
      <c r="V96" s="45">
        <f t="shared" ref="V96:V127" ca="1" si="187">SUMIF($C$4:$T$4,$U$2,$C96:$T96)-SUMIF($C$4:$T$4,$V$2,$C96:$T96)</f>
        <v>1116.6258000830503</v>
      </c>
    </row>
    <row r="97" spans="1:22" s="10" customFormat="1" x14ac:dyDescent="0.2">
      <c r="A97" s="58"/>
      <c r="B97" s="31" t="s">
        <v>39</v>
      </c>
      <c r="C97" s="48">
        <f>SUM(C98:C108)</f>
        <v>2260.6939286465108</v>
      </c>
      <c r="D97" s="48">
        <f t="shared" ref="D97:J97" si="188">SUM(D98:D108)</f>
        <v>2629.6009999999997</v>
      </c>
      <c r="E97" s="48">
        <f t="shared" si="188"/>
        <v>2436.8065461967049</v>
      </c>
      <c r="F97" s="48">
        <f t="shared" si="188"/>
        <v>2629.9879453510594</v>
      </c>
      <c r="G97" s="48">
        <f t="shared" si="188"/>
        <v>2584.4</v>
      </c>
      <c r="H97" s="48">
        <f t="shared" si="188"/>
        <v>2637.2470000000008</v>
      </c>
      <c r="I97" s="48">
        <f t="shared" si="188"/>
        <v>2918.6000000000004</v>
      </c>
      <c r="J97" s="48">
        <f t="shared" si="188"/>
        <v>2910.3239999999996</v>
      </c>
      <c r="K97" s="46"/>
      <c r="L97" s="48">
        <f t="shared" ref="L97" ca="1" si="189">SUM(L98:L108)</f>
        <v>2629.6009999999997</v>
      </c>
      <c r="M97" s="48">
        <f t="shared" ref="M97" ca="1" si="190">SUM(M98:M108)</f>
        <v>2629.9879453510594</v>
      </c>
      <c r="N97" s="48">
        <f t="shared" ref="N97" ca="1" si="191">SUM(N98:N108)</f>
        <v>2637.2470000000008</v>
      </c>
      <c r="O97" s="48">
        <f t="shared" ref="O97" ca="1" si="192">SUM(O98:O108)</f>
        <v>2910.3239999999996</v>
      </c>
      <c r="P97" s="46"/>
      <c r="Q97" s="48">
        <f t="shared" ref="Q97" ca="1" si="193">SUM(Q98:Q108)</f>
        <v>2629.9879453510594</v>
      </c>
      <c r="R97" s="48">
        <f t="shared" ref="R97:S97" ca="1" si="194">SUM(R98:R108)</f>
        <v>2910.3239999999996</v>
      </c>
      <c r="S97" s="48">
        <f t="shared" ca="1" si="194"/>
        <v>2910.3239999999996</v>
      </c>
      <c r="U97" s="79">
        <f t="shared" ca="1" si="186"/>
        <v>0.10659214432692776</v>
      </c>
      <c r="V97" s="48">
        <f t="shared" ca="1" si="187"/>
        <v>280.33605464894026</v>
      </c>
    </row>
    <row r="98" spans="1:22" x14ac:dyDescent="0.2">
      <c r="A98" s="55" t="s">
        <v>80</v>
      </c>
      <c r="B98" s="30" t="s">
        <v>40</v>
      </c>
      <c r="C98" s="47">
        <v>189.11782555000008</v>
      </c>
      <c r="D98" s="47">
        <v>452.28300000000002</v>
      </c>
      <c r="E98" s="47">
        <v>95.810490452914323</v>
      </c>
      <c r="F98" s="47">
        <v>325.03793949999999</v>
      </c>
      <c r="G98" s="47">
        <v>251.11500000000001</v>
      </c>
      <c r="H98" s="47">
        <v>138.96199999999999</v>
      </c>
      <c r="I98" s="47">
        <v>243.24199999999999</v>
      </c>
      <c r="J98" s="47">
        <v>248.01400000000001</v>
      </c>
      <c r="K98" s="47"/>
      <c r="L98" s="47">
        <f ca="1">SUMIF($B$8:$K$8,L$8,$B98:$J98)</f>
        <v>452.28300000000002</v>
      </c>
      <c r="M98" s="47">
        <f t="shared" ref="M98:S108" ca="1" si="195">SUMIF($B$8:$K$8,M$8,$B98:$J98)</f>
        <v>325.03793949999999</v>
      </c>
      <c r="N98" s="47">
        <f t="shared" ca="1" si="195"/>
        <v>138.96199999999999</v>
      </c>
      <c r="O98" s="47">
        <f t="shared" ca="1" si="195"/>
        <v>248.01400000000001</v>
      </c>
      <c r="P98" s="47"/>
      <c r="Q98" s="47">
        <f t="shared" ca="1" si="195"/>
        <v>325.03793949999999</v>
      </c>
      <c r="R98" s="47">
        <f t="shared" ca="1" si="195"/>
        <v>248.01400000000001</v>
      </c>
      <c r="S98" s="47">
        <f t="shared" ca="1" si="195"/>
        <v>248.01400000000001</v>
      </c>
      <c r="U98" s="80">
        <f t="shared" ca="1" si="186"/>
        <v>-0.23696907388252741</v>
      </c>
      <c r="V98" s="47">
        <f t="shared" ca="1" si="187"/>
        <v>-77.023939499999983</v>
      </c>
    </row>
    <row r="99" spans="1:22" x14ac:dyDescent="0.2">
      <c r="A99" s="55" t="s">
        <v>81</v>
      </c>
      <c r="B99" s="30" t="s">
        <v>41</v>
      </c>
      <c r="C99" s="47">
        <v>547.49920124999994</v>
      </c>
      <c r="D99" s="47">
        <v>789.22900000000004</v>
      </c>
      <c r="E99" s="47">
        <v>935.21323724708566</v>
      </c>
      <c r="F99" s="47">
        <v>864.6720438599998</v>
      </c>
      <c r="G99" s="47">
        <v>824.95</v>
      </c>
      <c r="H99" s="47">
        <v>788.73500000000001</v>
      </c>
      <c r="I99" s="47">
        <v>806.15499999999997</v>
      </c>
      <c r="J99" s="47">
        <v>806.74900000000002</v>
      </c>
      <c r="K99" s="47"/>
      <c r="L99" s="47">
        <f t="shared" ref="L99:L108" ca="1" si="196">SUMIF($B$8:$K$8,L$8,$B99:$J99)</f>
        <v>789.22900000000004</v>
      </c>
      <c r="M99" s="47">
        <f t="shared" ca="1" si="195"/>
        <v>864.6720438599998</v>
      </c>
      <c r="N99" s="47">
        <f t="shared" ca="1" si="195"/>
        <v>788.73500000000001</v>
      </c>
      <c r="O99" s="47">
        <f t="shared" ca="1" si="195"/>
        <v>806.74900000000002</v>
      </c>
      <c r="P99" s="47"/>
      <c r="Q99" s="47">
        <f t="shared" ca="1" si="195"/>
        <v>864.6720438599998</v>
      </c>
      <c r="R99" s="47">
        <f t="shared" ca="1" si="195"/>
        <v>806.74900000000002</v>
      </c>
      <c r="S99" s="47">
        <f t="shared" ca="1" si="195"/>
        <v>806.74900000000002</v>
      </c>
      <c r="U99" s="80">
        <f t="shared" ca="1" si="186"/>
        <v>-6.6988454491282434E-2</v>
      </c>
      <c r="V99" s="47">
        <f t="shared" ca="1" si="187"/>
        <v>-57.92304385999978</v>
      </c>
    </row>
    <row r="100" spans="1:22" x14ac:dyDescent="0.2">
      <c r="A100" s="55" t="s">
        <v>82</v>
      </c>
      <c r="B100" s="30" t="s">
        <v>42</v>
      </c>
      <c r="C100" s="47">
        <v>33.888549599999997</v>
      </c>
      <c r="D100" s="47">
        <v>87.978999999999999</v>
      </c>
      <c r="E100" s="47">
        <v>77.138421809999997</v>
      </c>
      <c r="F100" s="47">
        <v>57.333057589999996</v>
      </c>
      <c r="G100" s="47">
        <v>69.147000000000006</v>
      </c>
      <c r="H100" s="47">
        <v>8.8079999999999998</v>
      </c>
      <c r="I100" s="47">
        <v>14.39</v>
      </c>
      <c r="J100" s="47">
        <v>16.526</v>
      </c>
      <c r="K100" s="47"/>
      <c r="L100" s="47">
        <f t="shared" ca="1" si="196"/>
        <v>87.978999999999999</v>
      </c>
      <c r="M100" s="47">
        <f t="shared" ca="1" si="195"/>
        <v>57.333057589999996</v>
      </c>
      <c r="N100" s="47">
        <f t="shared" ca="1" si="195"/>
        <v>8.8079999999999998</v>
      </c>
      <c r="O100" s="47">
        <f t="shared" ca="1" si="195"/>
        <v>16.526</v>
      </c>
      <c r="P100" s="47"/>
      <c r="Q100" s="47">
        <f t="shared" ca="1" si="195"/>
        <v>57.333057589999996</v>
      </c>
      <c r="R100" s="47">
        <f t="shared" ca="1" si="195"/>
        <v>16.526</v>
      </c>
      <c r="S100" s="47">
        <f t="shared" ca="1" si="195"/>
        <v>16.526</v>
      </c>
      <c r="U100" s="80">
        <f t="shared" ca="1" si="186"/>
        <v>-0.71175442764311148</v>
      </c>
      <c r="V100" s="47">
        <f t="shared" ca="1" si="187"/>
        <v>-40.807057589999999</v>
      </c>
    </row>
    <row r="101" spans="1:22" x14ac:dyDescent="0.2">
      <c r="A101" s="55" t="s">
        <v>83</v>
      </c>
      <c r="B101" s="30" t="s">
        <v>43</v>
      </c>
      <c r="C101" s="47">
        <v>168.00939652999998</v>
      </c>
      <c r="D101" s="47">
        <v>149.99100000000001</v>
      </c>
      <c r="E101" s="47">
        <v>169.08242977</v>
      </c>
      <c r="F101" s="47">
        <v>182.38849764999998</v>
      </c>
      <c r="G101" s="47">
        <v>187.94200000000001</v>
      </c>
      <c r="H101" s="47">
        <v>206.255</v>
      </c>
      <c r="I101" s="47">
        <v>220.62200000000001</v>
      </c>
      <c r="J101" s="47">
        <v>234.65</v>
      </c>
      <c r="K101" s="47"/>
      <c r="L101" s="47">
        <f t="shared" ca="1" si="196"/>
        <v>149.99100000000001</v>
      </c>
      <c r="M101" s="47">
        <f t="shared" ca="1" si="195"/>
        <v>182.38849764999998</v>
      </c>
      <c r="N101" s="47">
        <f t="shared" ca="1" si="195"/>
        <v>206.255</v>
      </c>
      <c r="O101" s="47">
        <f t="shared" ca="1" si="195"/>
        <v>234.65</v>
      </c>
      <c r="P101" s="47"/>
      <c r="Q101" s="47">
        <f t="shared" ca="1" si="195"/>
        <v>182.38849764999998</v>
      </c>
      <c r="R101" s="47">
        <f t="shared" ca="1" si="195"/>
        <v>234.65</v>
      </c>
      <c r="S101" s="47">
        <f t="shared" ca="1" si="195"/>
        <v>234.65</v>
      </c>
      <c r="U101" s="80">
        <f t="shared" ca="1" si="186"/>
        <v>0.2865394639649308</v>
      </c>
      <c r="V101" s="47">
        <f t="shared" ca="1" si="187"/>
        <v>52.261502350000029</v>
      </c>
    </row>
    <row r="102" spans="1:22" x14ac:dyDescent="0.2">
      <c r="A102" s="55" t="s">
        <v>84</v>
      </c>
      <c r="B102" s="30" t="s">
        <v>44</v>
      </c>
      <c r="C102" s="47">
        <v>11.088941770000002</v>
      </c>
      <c r="D102" s="47">
        <v>14.244</v>
      </c>
      <c r="E102" s="47">
        <v>15.812006729999998</v>
      </c>
      <c r="F102" s="47">
        <v>15.41504138</v>
      </c>
      <c r="G102" s="47">
        <v>16.786999999999999</v>
      </c>
      <c r="H102" s="47">
        <v>18.094000000000001</v>
      </c>
      <c r="I102" s="47">
        <v>17.242000000000001</v>
      </c>
      <c r="J102" s="47">
        <v>16.699000000000002</v>
      </c>
      <c r="K102" s="47"/>
      <c r="L102" s="47">
        <f t="shared" ca="1" si="196"/>
        <v>14.244</v>
      </c>
      <c r="M102" s="47">
        <f t="shared" ca="1" si="195"/>
        <v>15.41504138</v>
      </c>
      <c r="N102" s="47">
        <f t="shared" ca="1" si="195"/>
        <v>18.094000000000001</v>
      </c>
      <c r="O102" s="47">
        <f t="shared" ca="1" si="195"/>
        <v>16.699000000000002</v>
      </c>
      <c r="P102" s="47"/>
      <c r="Q102" s="47">
        <f t="shared" ca="1" si="195"/>
        <v>15.41504138</v>
      </c>
      <c r="R102" s="47">
        <f t="shared" ca="1" si="195"/>
        <v>16.699000000000002</v>
      </c>
      <c r="S102" s="47">
        <f t="shared" ca="1" si="195"/>
        <v>16.699000000000002</v>
      </c>
      <c r="U102" s="80">
        <f t="shared" ca="1" si="186"/>
        <v>8.3292583415692567E-2</v>
      </c>
      <c r="V102" s="47">
        <f t="shared" ca="1" si="187"/>
        <v>1.2839586200000017</v>
      </c>
    </row>
    <row r="103" spans="1:22" x14ac:dyDescent="0.2">
      <c r="A103" s="55" t="s">
        <v>85</v>
      </c>
      <c r="B103" s="30" t="s">
        <v>45</v>
      </c>
      <c r="C103" s="47">
        <v>390.29136095139989</v>
      </c>
      <c r="D103" s="47">
        <v>408.50400000000002</v>
      </c>
      <c r="E103" s="47">
        <v>419.91470251462204</v>
      </c>
      <c r="F103" s="47">
        <v>454.82005573999999</v>
      </c>
      <c r="G103" s="47">
        <v>508.48</v>
      </c>
      <c r="H103" s="47">
        <v>592.22500000000002</v>
      </c>
      <c r="I103" s="47">
        <v>692.41899999999998</v>
      </c>
      <c r="J103" s="47">
        <v>740.07600000000002</v>
      </c>
      <c r="K103" s="47"/>
      <c r="L103" s="47">
        <f t="shared" ca="1" si="196"/>
        <v>408.50400000000002</v>
      </c>
      <c r="M103" s="47">
        <f t="shared" ca="1" si="195"/>
        <v>454.82005573999999</v>
      </c>
      <c r="N103" s="47">
        <f t="shared" ca="1" si="195"/>
        <v>592.22500000000002</v>
      </c>
      <c r="O103" s="47">
        <f t="shared" ca="1" si="195"/>
        <v>740.07600000000002</v>
      </c>
      <c r="P103" s="47"/>
      <c r="Q103" s="47">
        <f t="shared" ca="1" si="195"/>
        <v>454.82005573999999</v>
      </c>
      <c r="R103" s="47">
        <f t="shared" ca="1" si="195"/>
        <v>740.07600000000002</v>
      </c>
      <c r="S103" s="47">
        <f t="shared" ca="1" si="195"/>
        <v>740.07600000000002</v>
      </c>
      <c r="U103" s="80">
        <f t="shared" ca="1" si="186"/>
        <v>0.62718418121620378</v>
      </c>
      <c r="V103" s="47">
        <f t="shared" ca="1" si="187"/>
        <v>285.25594426000004</v>
      </c>
    </row>
    <row r="104" spans="1:22" x14ac:dyDescent="0.2">
      <c r="A104" s="55" t="s">
        <v>86</v>
      </c>
      <c r="B104" s="30" t="s">
        <v>46</v>
      </c>
      <c r="C104" s="47">
        <v>437.18620822999998</v>
      </c>
      <c r="D104" s="47">
        <v>225.881</v>
      </c>
      <c r="E104" s="47">
        <v>230.38672220999999</v>
      </c>
      <c r="F104" s="47">
        <v>246.72444310000003</v>
      </c>
      <c r="G104" s="47">
        <v>260.7</v>
      </c>
      <c r="H104" s="47">
        <v>386.11500000000001</v>
      </c>
      <c r="I104" s="47">
        <v>458.65899999999999</v>
      </c>
      <c r="J104" s="47">
        <v>464.42099999999999</v>
      </c>
      <c r="K104" s="47"/>
      <c r="L104" s="47">
        <f t="shared" ca="1" si="196"/>
        <v>225.881</v>
      </c>
      <c r="M104" s="47">
        <f t="shared" ca="1" si="195"/>
        <v>246.72444310000003</v>
      </c>
      <c r="N104" s="47">
        <f t="shared" ca="1" si="195"/>
        <v>386.11500000000001</v>
      </c>
      <c r="O104" s="47">
        <f t="shared" ca="1" si="195"/>
        <v>464.42099999999999</v>
      </c>
      <c r="P104" s="47"/>
      <c r="Q104" s="47">
        <f t="shared" ca="1" si="195"/>
        <v>246.72444310000003</v>
      </c>
      <c r="R104" s="47">
        <f t="shared" ca="1" si="195"/>
        <v>464.42099999999999</v>
      </c>
      <c r="S104" s="47">
        <f t="shared" ca="1" si="195"/>
        <v>464.42099999999999</v>
      </c>
      <c r="U104" s="80">
        <f t="shared" ca="1" si="186"/>
        <v>0.88234693800388975</v>
      </c>
      <c r="V104" s="47">
        <f t="shared" ca="1" si="187"/>
        <v>217.69655689999996</v>
      </c>
    </row>
    <row r="105" spans="1:22" x14ac:dyDescent="0.2">
      <c r="A105" s="55" t="s">
        <v>87</v>
      </c>
      <c r="B105" s="30" t="s">
        <v>47</v>
      </c>
      <c r="C105" s="47">
        <v>39.697699770000021</v>
      </c>
      <c r="D105" s="47">
        <v>28.614999999999998</v>
      </c>
      <c r="E105" s="47">
        <v>48.715073000000004</v>
      </c>
      <c r="F105" s="47">
        <v>63.634007930000024</v>
      </c>
      <c r="G105" s="47">
        <v>33.869999999999997</v>
      </c>
      <c r="H105" s="47">
        <v>60.34</v>
      </c>
      <c r="I105" s="47">
        <v>34.420999999999999</v>
      </c>
      <c r="J105" s="47">
        <v>48.665999999999997</v>
      </c>
      <c r="K105" s="47"/>
      <c r="L105" s="47">
        <f t="shared" ca="1" si="196"/>
        <v>28.614999999999998</v>
      </c>
      <c r="M105" s="47">
        <f t="shared" ca="1" si="195"/>
        <v>63.634007930000024</v>
      </c>
      <c r="N105" s="47">
        <f t="shared" ca="1" si="195"/>
        <v>60.34</v>
      </c>
      <c r="O105" s="47">
        <f t="shared" ca="1" si="195"/>
        <v>48.665999999999997</v>
      </c>
      <c r="P105" s="47"/>
      <c r="Q105" s="47">
        <f t="shared" ca="1" si="195"/>
        <v>63.634007930000024</v>
      </c>
      <c r="R105" s="47">
        <f t="shared" ca="1" si="195"/>
        <v>48.665999999999997</v>
      </c>
      <c r="S105" s="47">
        <f t="shared" ca="1" si="195"/>
        <v>48.665999999999997</v>
      </c>
      <c r="U105" s="80">
        <f t="shared" ca="1" si="186"/>
        <v>-0.23522026062644741</v>
      </c>
      <c r="V105" s="47">
        <f t="shared" ca="1" si="187"/>
        <v>-14.968007930000027</v>
      </c>
    </row>
    <row r="106" spans="1:22" x14ac:dyDescent="0.2">
      <c r="A106" s="55" t="s">
        <v>88</v>
      </c>
      <c r="B106" s="30" t="s">
        <v>48</v>
      </c>
      <c r="C106" s="47">
        <v>44.004815510000014</v>
      </c>
      <c r="D106" s="47">
        <v>52.082000000000001</v>
      </c>
      <c r="E106" s="47">
        <v>49.868482399999991</v>
      </c>
      <c r="F106" s="47">
        <v>61.486374560000009</v>
      </c>
      <c r="G106" s="47">
        <v>53.542000000000002</v>
      </c>
      <c r="H106" s="47">
        <v>52.192999999999998</v>
      </c>
      <c r="I106" s="47">
        <v>71.668000000000006</v>
      </c>
      <c r="J106" s="47">
        <v>62.241</v>
      </c>
      <c r="K106" s="47"/>
      <c r="L106" s="47">
        <f t="shared" ca="1" si="196"/>
        <v>52.082000000000001</v>
      </c>
      <c r="M106" s="47">
        <f t="shared" ca="1" si="195"/>
        <v>61.486374560000009</v>
      </c>
      <c r="N106" s="47">
        <f t="shared" ca="1" si="195"/>
        <v>52.192999999999998</v>
      </c>
      <c r="O106" s="47">
        <f t="shared" ca="1" si="195"/>
        <v>62.241</v>
      </c>
      <c r="P106" s="47"/>
      <c r="Q106" s="47">
        <f t="shared" ca="1" si="195"/>
        <v>61.486374560000009</v>
      </c>
      <c r="R106" s="47">
        <f t="shared" ca="1" si="195"/>
        <v>62.241</v>
      </c>
      <c r="S106" s="47">
        <f t="shared" ca="1" si="195"/>
        <v>62.241</v>
      </c>
      <c r="U106" s="80">
        <f t="shared" ca="1" si="186"/>
        <v>1.2273051475227392E-2</v>
      </c>
      <c r="V106" s="47">
        <f t="shared" ca="1" si="187"/>
        <v>0.75462543999999099</v>
      </c>
    </row>
    <row r="107" spans="1:22" x14ac:dyDescent="0.2">
      <c r="A107" s="55" t="s">
        <v>89</v>
      </c>
      <c r="B107" s="30" t="s">
        <v>49</v>
      </c>
      <c r="C107" s="47">
        <v>44.349366410000002</v>
      </c>
      <c r="D107" s="47">
        <v>38.789000000000001</v>
      </c>
      <c r="E107" s="47">
        <v>35.13727317</v>
      </c>
      <c r="F107" s="47">
        <v>32.124490690000002</v>
      </c>
      <c r="G107" s="47">
        <v>42.591999999999999</v>
      </c>
      <c r="H107" s="47">
        <v>38.284999999999997</v>
      </c>
      <c r="I107" s="47">
        <v>37.963000000000001</v>
      </c>
      <c r="J107" s="47">
        <v>47.66</v>
      </c>
      <c r="K107" s="47"/>
      <c r="L107" s="47">
        <f t="shared" ca="1" si="196"/>
        <v>38.789000000000001</v>
      </c>
      <c r="M107" s="47">
        <f t="shared" ca="1" si="195"/>
        <v>32.124490690000002</v>
      </c>
      <c r="N107" s="47">
        <f t="shared" ca="1" si="195"/>
        <v>38.284999999999997</v>
      </c>
      <c r="O107" s="47">
        <f t="shared" ca="1" si="195"/>
        <v>47.66</v>
      </c>
      <c r="P107" s="47"/>
      <c r="Q107" s="47">
        <f t="shared" ca="1" si="195"/>
        <v>32.124490690000002</v>
      </c>
      <c r="R107" s="47">
        <f t="shared" ca="1" si="195"/>
        <v>47.66</v>
      </c>
      <c r="S107" s="47">
        <f t="shared" ca="1" si="195"/>
        <v>47.66</v>
      </c>
      <c r="U107" s="80">
        <f t="shared" ca="1" si="186"/>
        <v>0.48360328759503179</v>
      </c>
      <c r="V107" s="47">
        <f t="shared" ca="1" si="187"/>
        <v>15.535509309999995</v>
      </c>
    </row>
    <row r="108" spans="1:22" x14ac:dyDescent="0.2">
      <c r="A108" s="55" t="s">
        <v>90</v>
      </c>
      <c r="B108" s="30" t="s">
        <v>50</v>
      </c>
      <c r="C108" s="47">
        <v>355.56056307511102</v>
      </c>
      <c r="D108" s="47">
        <v>382.00400000000002</v>
      </c>
      <c r="E108" s="47">
        <v>359.72770689208301</v>
      </c>
      <c r="F108" s="47">
        <v>326.35199335105904</v>
      </c>
      <c r="G108" s="47">
        <v>335.27499999999998</v>
      </c>
      <c r="H108" s="47">
        <v>347.23500000000001</v>
      </c>
      <c r="I108" s="47">
        <v>321.81900000000002</v>
      </c>
      <c r="J108" s="47">
        <v>224.62200000000001</v>
      </c>
      <c r="K108" s="47"/>
      <c r="L108" s="47">
        <f t="shared" ca="1" si="196"/>
        <v>382.00400000000002</v>
      </c>
      <c r="M108" s="47">
        <f t="shared" ca="1" si="195"/>
        <v>326.35199335105904</v>
      </c>
      <c r="N108" s="47">
        <f t="shared" ca="1" si="195"/>
        <v>347.23500000000001</v>
      </c>
      <c r="O108" s="47">
        <f t="shared" ca="1" si="195"/>
        <v>224.62200000000001</v>
      </c>
      <c r="P108" s="47"/>
      <c r="Q108" s="47">
        <f t="shared" ca="1" si="195"/>
        <v>326.35199335105904</v>
      </c>
      <c r="R108" s="47">
        <f t="shared" ca="1" si="195"/>
        <v>224.62200000000001</v>
      </c>
      <c r="S108" s="47">
        <f t="shared" ca="1" si="195"/>
        <v>224.62200000000001</v>
      </c>
      <c r="U108" s="80">
        <f t="shared" ca="1" si="186"/>
        <v>-0.31171862107067749</v>
      </c>
      <c r="V108" s="47">
        <f t="shared" ca="1" si="187"/>
        <v>-101.72999335105902</v>
      </c>
    </row>
    <row r="109" spans="1:22" ht="5.0999999999999996" customHeight="1" x14ac:dyDescent="0.2"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U109" s="80" t="str">
        <f t="shared" si="186"/>
        <v/>
      </c>
      <c r="V109" s="47">
        <f t="shared" si="187"/>
        <v>0</v>
      </c>
    </row>
    <row r="110" spans="1:22" s="10" customFormat="1" x14ac:dyDescent="0.2">
      <c r="A110" s="58"/>
      <c r="B110" s="31" t="s">
        <v>51</v>
      </c>
      <c r="C110" s="48">
        <f>SUM(C111:C127)</f>
        <v>2028.414354941197</v>
      </c>
      <c r="D110" s="48">
        <f t="shared" ref="D110:J110" si="197">SUM(D111:D127)</f>
        <v>2004.3529999999996</v>
      </c>
      <c r="E110" s="48">
        <f t="shared" si="197"/>
        <v>2366.619764236998</v>
      </c>
      <c r="F110" s="48">
        <f t="shared" si="197"/>
        <v>2480.1132545658907</v>
      </c>
      <c r="G110" s="48">
        <f t="shared" si="197"/>
        <v>2616.2479999999991</v>
      </c>
      <c r="H110" s="48">
        <f t="shared" si="197"/>
        <v>2884.5940000000005</v>
      </c>
      <c r="I110" s="48">
        <f t="shared" si="197"/>
        <v>3133.2090000000003</v>
      </c>
      <c r="J110" s="48">
        <f t="shared" si="197"/>
        <v>3316.4030000000002</v>
      </c>
      <c r="K110" s="46"/>
      <c r="L110" s="48">
        <f t="shared" ref="L110" ca="1" si="198">SUM(L111:L127)</f>
        <v>2004.3529999999996</v>
      </c>
      <c r="M110" s="48">
        <f t="shared" ref="M110" ca="1" si="199">SUM(M111:M127)</f>
        <v>2480.1132545658907</v>
      </c>
      <c r="N110" s="48">
        <f t="shared" ref="N110" ca="1" si="200">SUM(N111:N127)</f>
        <v>2884.5940000000005</v>
      </c>
      <c r="O110" s="48">
        <f t="shared" ref="O110" ca="1" si="201">SUM(O111:O127)</f>
        <v>3316.4030000000002</v>
      </c>
      <c r="P110" s="46"/>
      <c r="Q110" s="48">
        <f t="shared" ref="Q110" ca="1" si="202">SUM(Q111:Q127)</f>
        <v>2480.1132545658907</v>
      </c>
      <c r="R110" s="48">
        <f t="shared" ref="R110:S110" ca="1" si="203">SUM(R111:R127)</f>
        <v>3316.4030000000002</v>
      </c>
      <c r="S110" s="48">
        <f t="shared" ca="1" si="203"/>
        <v>3316.4030000000002</v>
      </c>
      <c r="U110" s="79">
        <f t="shared" ca="1" si="186"/>
        <v>0.33719820814412382</v>
      </c>
      <c r="V110" s="48">
        <f t="shared" ca="1" si="187"/>
        <v>836.28974543410959</v>
      </c>
    </row>
    <row r="111" spans="1:22" x14ac:dyDescent="0.2">
      <c r="A111" s="55" t="s">
        <v>91</v>
      </c>
      <c r="B111" s="30" t="s">
        <v>41</v>
      </c>
      <c r="C111" s="47">
        <v>56.281999999999996</v>
      </c>
      <c r="D111" s="47">
        <v>162.88200000000001</v>
      </c>
      <c r="E111" s="47">
        <v>462.73579394999996</v>
      </c>
      <c r="F111" s="47">
        <v>475.33300000000003</v>
      </c>
      <c r="G111" s="47">
        <v>456.54300000000001</v>
      </c>
      <c r="H111" s="47">
        <v>462.45</v>
      </c>
      <c r="I111" s="47">
        <v>454.714</v>
      </c>
      <c r="J111" s="47">
        <v>457.74700000000001</v>
      </c>
      <c r="K111" s="47"/>
      <c r="L111" s="47">
        <f t="shared" ref="L111:S126" ca="1" si="204">SUMIF($B$8:$K$8,L$8,$B111:$J111)</f>
        <v>162.88200000000001</v>
      </c>
      <c r="M111" s="47">
        <f t="shared" ca="1" si="204"/>
        <v>475.33300000000003</v>
      </c>
      <c r="N111" s="47">
        <f t="shared" ca="1" si="204"/>
        <v>462.45</v>
      </c>
      <c r="O111" s="47">
        <f t="shared" ca="1" si="204"/>
        <v>457.74700000000001</v>
      </c>
      <c r="P111" s="47"/>
      <c r="Q111" s="47">
        <f t="shared" ca="1" si="204"/>
        <v>475.33300000000003</v>
      </c>
      <c r="R111" s="47">
        <f t="shared" ca="1" si="204"/>
        <v>457.74700000000001</v>
      </c>
      <c r="S111" s="47">
        <f t="shared" ca="1" si="204"/>
        <v>457.74700000000001</v>
      </c>
      <c r="U111" s="80">
        <f t="shared" ca="1" si="186"/>
        <v>-3.6997220895666816E-2</v>
      </c>
      <c r="V111" s="47">
        <f t="shared" ca="1" si="187"/>
        <v>-17.586000000000013</v>
      </c>
    </row>
    <row r="112" spans="1:22" x14ac:dyDescent="0.2">
      <c r="A112" s="55" t="s">
        <v>92</v>
      </c>
      <c r="B112" s="30" t="s">
        <v>44</v>
      </c>
      <c r="C112" s="47">
        <v>72.858000000000004</v>
      </c>
      <c r="D112" s="47">
        <v>72.613</v>
      </c>
      <c r="E112" s="47">
        <v>68.287999999999997</v>
      </c>
      <c r="F112" s="47">
        <v>66.652000000000001</v>
      </c>
      <c r="G112" s="47">
        <v>66.569000000000003</v>
      </c>
      <c r="H112" s="47">
        <v>65.736999999999995</v>
      </c>
      <c r="I112" s="47">
        <v>65.742000000000004</v>
      </c>
      <c r="J112" s="47">
        <v>66.251999999999995</v>
      </c>
      <c r="K112" s="47"/>
      <c r="L112" s="47">
        <f t="shared" ca="1" si="204"/>
        <v>72.613</v>
      </c>
      <c r="M112" s="47">
        <f t="shared" ca="1" si="204"/>
        <v>66.652000000000001</v>
      </c>
      <c r="N112" s="47">
        <f t="shared" ca="1" si="204"/>
        <v>65.736999999999995</v>
      </c>
      <c r="O112" s="47">
        <f t="shared" ca="1" si="204"/>
        <v>66.251999999999995</v>
      </c>
      <c r="P112" s="47"/>
      <c r="Q112" s="47">
        <f t="shared" ca="1" si="204"/>
        <v>66.652000000000001</v>
      </c>
      <c r="R112" s="47">
        <f t="shared" ca="1" si="204"/>
        <v>66.251999999999995</v>
      </c>
      <c r="S112" s="47">
        <f t="shared" ca="1" si="204"/>
        <v>66.251999999999995</v>
      </c>
      <c r="U112" s="80">
        <f t="shared" ca="1" si="186"/>
        <v>-6.0013202904639629E-3</v>
      </c>
      <c r="V112" s="47">
        <f t="shared" ca="1" si="187"/>
        <v>-0.40000000000000568</v>
      </c>
    </row>
    <row r="113" spans="1:22" x14ac:dyDescent="0.2">
      <c r="A113" s="55" t="s">
        <v>93</v>
      </c>
      <c r="B113" s="30" t="s">
        <v>47</v>
      </c>
      <c r="C113" s="47">
        <v>83.438999999999993</v>
      </c>
      <c r="D113" s="47">
        <v>47.433</v>
      </c>
      <c r="E113" s="47">
        <v>57.456000000000003</v>
      </c>
      <c r="F113" s="47">
        <v>80.491</v>
      </c>
      <c r="G113" s="47">
        <v>106.447</v>
      </c>
      <c r="H113" s="47">
        <v>130.613</v>
      </c>
      <c r="I113" s="47">
        <v>169.91</v>
      </c>
      <c r="J113" s="47">
        <v>194.62700000000001</v>
      </c>
      <c r="K113" s="47"/>
      <c r="L113" s="47">
        <f t="shared" ca="1" si="204"/>
        <v>47.433</v>
      </c>
      <c r="M113" s="47">
        <f t="shared" ca="1" si="204"/>
        <v>80.491</v>
      </c>
      <c r="N113" s="47">
        <f t="shared" ca="1" si="204"/>
        <v>130.613</v>
      </c>
      <c r="O113" s="47">
        <f t="shared" ca="1" si="204"/>
        <v>194.62700000000001</v>
      </c>
      <c r="P113" s="47"/>
      <c r="Q113" s="47">
        <f t="shared" ca="1" si="204"/>
        <v>80.491</v>
      </c>
      <c r="R113" s="47">
        <f t="shared" ca="1" si="204"/>
        <v>194.62700000000001</v>
      </c>
      <c r="S113" s="47">
        <f t="shared" ca="1" si="204"/>
        <v>194.62700000000001</v>
      </c>
      <c r="U113" s="80">
        <f t="shared" ca="1" si="186"/>
        <v>1.4179970431476812</v>
      </c>
      <c r="V113" s="47">
        <f t="shared" ca="1" si="187"/>
        <v>114.13600000000001</v>
      </c>
    </row>
    <row r="114" spans="1:22" x14ac:dyDescent="0.2">
      <c r="A114" s="55" t="s">
        <v>94</v>
      </c>
      <c r="B114" s="30" t="s">
        <v>42</v>
      </c>
      <c r="C114" s="47">
        <v>40.613818290000005</v>
      </c>
      <c r="D114" s="47">
        <v>7.0000000000000001E-3</v>
      </c>
      <c r="E114" s="47">
        <v>0.54500356000000005</v>
      </c>
      <c r="F114" s="47">
        <v>0</v>
      </c>
      <c r="G114" s="47">
        <v>2.226</v>
      </c>
      <c r="H114" s="47">
        <v>1.915</v>
      </c>
      <c r="I114" s="47">
        <v>4.2329999999999997</v>
      </c>
      <c r="J114" s="47">
        <v>4.4450000000000003</v>
      </c>
      <c r="K114" s="47"/>
      <c r="L114" s="47">
        <f t="shared" ca="1" si="204"/>
        <v>7.0000000000000001E-3</v>
      </c>
      <c r="M114" s="47">
        <f t="shared" ca="1" si="204"/>
        <v>0</v>
      </c>
      <c r="N114" s="47">
        <f t="shared" ca="1" si="204"/>
        <v>1.915</v>
      </c>
      <c r="O114" s="47">
        <f t="shared" ca="1" si="204"/>
        <v>4.4450000000000003</v>
      </c>
      <c r="P114" s="47"/>
      <c r="Q114" s="47">
        <f t="shared" ca="1" si="204"/>
        <v>0</v>
      </c>
      <c r="R114" s="47">
        <f t="shared" ca="1" si="204"/>
        <v>4.4450000000000003</v>
      </c>
      <c r="S114" s="47">
        <f t="shared" ca="1" si="204"/>
        <v>4.4450000000000003</v>
      </c>
      <c r="U114" s="80" t="str">
        <f t="shared" ca="1" si="186"/>
        <v/>
      </c>
      <c r="V114" s="47">
        <f t="shared" ca="1" si="187"/>
        <v>4.4450000000000003</v>
      </c>
    </row>
    <row r="115" spans="1:22" x14ac:dyDescent="0.2">
      <c r="A115" s="55" t="s">
        <v>95</v>
      </c>
      <c r="B115" s="30" t="s">
        <v>52</v>
      </c>
      <c r="C115" s="47">
        <v>6.503870570000025</v>
      </c>
      <c r="D115" s="47">
        <v>11.824</v>
      </c>
      <c r="E115" s="47">
        <v>4.5335791699999728</v>
      </c>
      <c r="F115" s="47">
        <v>6.0102120399999981</v>
      </c>
      <c r="G115" s="47">
        <v>6.3230000000000004</v>
      </c>
      <c r="H115" s="47">
        <v>1.08</v>
      </c>
      <c r="I115" s="47">
        <v>0</v>
      </c>
      <c r="J115" s="47">
        <v>0.16700000000000001</v>
      </c>
      <c r="K115" s="47"/>
      <c r="L115" s="47">
        <f t="shared" ca="1" si="204"/>
        <v>11.824</v>
      </c>
      <c r="M115" s="47">
        <f t="shared" ca="1" si="204"/>
        <v>6.0102120399999981</v>
      </c>
      <c r="N115" s="47">
        <f t="shared" ca="1" si="204"/>
        <v>1.08</v>
      </c>
      <c r="O115" s="47">
        <f t="shared" ca="1" si="204"/>
        <v>0.16700000000000001</v>
      </c>
      <c r="P115" s="47"/>
      <c r="Q115" s="47">
        <f t="shared" ca="1" si="204"/>
        <v>6.0102120399999981</v>
      </c>
      <c r="R115" s="47">
        <f t="shared" ca="1" si="204"/>
        <v>0.16700000000000001</v>
      </c>
      <c r="S115" s="47">
        <f t="shared" ca="1" si="204"/>
        <v>0.16700000000000001</v>
      </c>
      <c r="U115" s="80">
        <f t="shared" ca="1" si="186"/>
        <v>-0.97221395869420935</v>
      </c>
      <c r="V115" s="47">
        <f t="shared" ca="1" si="187"/>
        <v>-5.8432120399999983</v>
      </c>
    </row>
    <row r="116" spans="1:22" x14ac:dyDescent="0.2">
      <c r="A116" s="55" t="s">
        <v>96</v>
      </c>
      <c r="B116" s="30" t="s">
        <v>45</v>
      </c>
      <c r="C116" s="47">
        <v>491.46444916859997</v>
      </c>
      <c r="D116" s="47">
        <v>513.42200000000003</v>
      </c>
      <c r="E116" s="47">
        <v>562.40618508537796</v>
      </c>
      <c r="F116" s="47">
        <v>685.37699999999995</v>
      </c>
      <c r="G116" s="47">
        <v>849.04899999999998</v>
      </c>
      <c r="H116" s="47">
        <v>1101.229</v>
      </c>
      <c r="I116" s="47">
        <v>1298.7539999999999</v>
      </c>
      <c r="J116" s="47">
        <v>1436.0360000000001</v>
      </c>
      <c r="K116" s="47"/>
      <c r="L116" s="47">
        <f t="shared" ca="1" si="204"/>
        <v>513.42200000000003</v>
      </c>
      <c r="M116" s="47">
        <f t="shared" ca="1" si="204"/>
        <v>685.37699999999995</v>
      </c>
      <c r="N116" s="47">
        <f t="shared" ca="1" si="204"/>
        <v>1101.229</v>
      </c>
      <c r="O116" s="47">
        <f t="shared" ca="1" si="204"/>
        <v>1436.0360000000001</v>
      </c>
      <c r="P116" s="47"/>
      <c r="Q116" s="47">
        <f t="shared" ca="1" si="204"/>
        <v>685.37699999999995</v>
      </c>
      <c r="R116" s="47">
        <f t="shared" ca="1" si="204"/>
        <v>1436.0360000000001</v>
      </c>
      <c r="S116" s="47">
        <f t="shared" ca="1" si="204"/>
        <v>1436.0360000000001</v>
      </c>
      <c r="U116" s="80">
        <f t="shared" ca="1" si="186"/>
        <v>1.0952497676461279</v>
      </c>
      <c r="V116" s="47">
        <f t="shared" ca="1" si="187"/>
        <v>750.65900000000011</v>
      </c>
    </row>
    <row r="117" spans="1:22" x14ac:dyDescent="0.2">
      <c r="A117" s="55" t="s">
        <v>97</v>
      </c>
      <c r="B117" s="30" t="s">
        <v>53</v>
      </c>
      <c r="C117" s="47">
        <v>30.453907820000008</v>
      </c>
      <c r="D117" s="47">
        <v>26.823</v>
      </c>
      <c r="E117" s="47">
        <v>40.307198209999989</v>
      </c>
      <c r="F117" s="47">
        <v>37.87315353999999</v>
      </c>
      <c r="G117" s="47">
        <v>38.945999999999998</v>
      </c>
      <c r="H117" s="47">
        <v>37.459000000000003</v>
      </c>
      <c r="I117" s="47">
        <v>45.082999999999998</v>
      </c>
      <c r="J117" s="47">
        <v>44.451999999999998</v>
      </c>
      <c r="K117" s="47"/>
      <c r="L117" s="47">
        <f t="shared" ca="1" si="204"/>
        <v>26.823</v>
      </c>
      <c r="M117" s="47">
        <f t="shared" ca="1" si="204"/>
        <v>37.87315353999999</v>
      </c>
      <c r="N117" s="47">
        <f t="shared" ca="1" si="204"/>
        <v>37.459000000000003</v>
      </c>
      <c r="O117" s="47">
        <f t="shared" ca="1" si="204"/>
        <v>44.451999999999998</v>
      </c>
      <c r="P117" s="47"/>
      <c r="Q117" s="47">
        <f t="shared" ca="1" si="204"/>
        <v>37.87315353999999</v>
      </c>
      <c r="R117" s="47">
        <f t="shared" ca="1" si="204"/>
        <v>44.451999999999998</v>
      </c>
      <c r="S117" s="47">
        <f t="shared" ca="1" si="204"/>
        <v>44.451999999999998</v>
      </c>
      <c r="U117" s="80">
        <f t="shared" ca="1" si="186"/>
        <v>0.17370738491717397</v>
      </c>
      <c r="V117" s="47">
        <f t="shared" ca="1" si="187"/>
        <v>6.5788464600000083</v>
      </c>
    </row>
    <row r="118" spans="1:22" x14ac:dyDescent="0.2">
      <c r="A118" s="55" t="s">
        <v>98</v>
      </c>
      <c r="B118" s="30" t="s">
        <v>48</v>
      </c>
      <c r="C118" s="47">
        <v>24.73979057</v>
      </c>
      <c r="D118" s="47">
        <v>23.559000000000001</v>
      </c>
      <c r="E118" s="47">
        <v>22.259863240000001</v>
      </c>
      <c r="F118" s="47">
        <v>26.687790570000001</v>
      </c>
      <c r="G118" s="47">
        <v>25.983000000000001</v>
      </c>
      <c r="H118" s="47">
        <v>29.044</v>
      </c>
      <c r="I118" s="47">
        <v>33.630000000000003</v>
      </c>
      <c r="J118" s="47">
        <v>31.251000000000001</v>
      </c>
      <c r="K118" s="47"/>
      <c r="L118" s="47">
        <f t="shared" ca="1" si="204"/>
        <v>23.559000000000001</v>
      </c>
      <c r="M118" s="47">
        <f t="shared" ca="1" si="204"/>
        <v>26.687790570000001</v>
      </c>
      <c r="N118" s="47">
        <f t="shared" ca="1" si="204"/>
        <v>29.044</v>
      </c>
      <c r="O118" s="47">
        <f t="shared" ca="1" si="204"/>
        <v>31.251000000000001</v>
      </c>
      <c r="P118" s="47"/>
      <c r="Q118" s="47">
        <f t="shared" ca="1" si="204"/>
        <v>26.687790570000001</v>
      </c>
      <c r="R118" s="47">
        <f t="shared" ca="1" si="204"/>
        <v>31.251000000000001</v>
      </c>
      <c r="S118" s="47">
        <f t="shared" ca="1" si="204"/>
        <v>31.251000000000001</v>
      </c>
      <c r="U118" s="80">
        <f t="shared" ca="1" si="186"/>
        <v>0.17098490854951276</v>
      </c>
      <c r="V118" s="47">
        <f t="shared" ca="1" si="187"/>
        <v>4.5632094300000006</v>
      </c>
    </row>
    <row r="119" spans="1:22" x14ac:dyDescent="0.2">
      <c r="A119" s="55" t="s">
        <v>99</v>
      </c>
      <c r="B119" s="30" t="s">
        <v>54</v>
      </c>
      <c r="C119" s="47">
        <v>101.10454487</v>
      </c>
      <c r="D119" s="47">
        <v>99.498000000000005</v>
      </c>
      <c r="E119" s="47">
        <v>83.976042430000007</v>
      </c>
      <c r="F119" s="47">
        <v>71.770535989999999</v>
      </c>
      <c r="G119" s="47">
        <v>71.930999999999997</v>
      </c>
      <c r="H119" s="47">
        <v>69.831000000000003</v>
      </c>
      <c r="I119" s="47">
        <v>71.037000000000006</v>
      </c>
      <c r="J119" s="47">
        <v>72.947999999999993</v>
      </c>
      <c r="K119" s="47"/>
      <c r="L119" s="47">
        <f t="shared" ca="1" si="204"/>
        <v>99.498000000000005</v>
      </c>
      <c r="M119" s="47">
        <f t="shared" ca="1" si="204"/>
        <v>71.770535989999999</v>
      </c>
      <c r="N119" s="47">
        <f t="shared" ca="1" si="204"/>
        <v>69.831000000000003</v>
      </c>
      <c r="O119" s="47">
        <f t="shared" ca="1" si="204"/>
        <v>72.947999999999993</v>
      </c>
      <c r="P119" s="47"/>
      <c r="Q119" s="47">
        <f t="shared" ca="1" si="204"/>
        <v>71.770535989999999</v>
      </c>
      <c r="R119" s="47">
        <f t="shared" ca="1" si="204"/>
        <v>72.947999999999993</v>
      </c>
      <c r="S119" s="47">
        <f t="shared" ca="1" si="204"/>
        <v>72.947999999999993</v>
      </c>
      <c r="U119" s="80">
        <f t="shared" ca="1" si="186"/>
        <v>1.6405952578702365E-2</v>
      </c>
      <c r="V119" s="47">
        <f t="shared" ca="1" si="187"/>
        <v>1.1774640099999942</v>
      </c>
    </row>
    <row r="120" spans="1:22" x14ac:dyDescent="0.2">
      <c r="A120" s="55" t="s">
        <v>100</v>
      </c>
      <c r="B120" s="30" t="s">
        <v>55</v>
      </c>
      <c r="C120" s="47">
        <v>95.137010078000003</v>
      </c>
      <c r="D120" s="47">
        <v>92.277000000000001</v>
      </c>
      <c r="E120" s="47">
        <v>97.508002950000005</v>
      </c>
      <c r="F120" s="47">
        <v>143.83284174126385</v>
      </c>
      <c r="G120" s="47">
        <v>147.14599999999999</v>
      </c>
      <c r="H120" s="47">
        <v>147.642</v>
      </c>
      <c r="I120" s="47">
        <v>142.876</v>
      </c>
      <c r="J120" s="47">
        <v>143.07</v>
      </c>
      <c r="K120" s="47"/>
      <c r="L120" s="47">
        <f t="shared" ca="1" si="204"/>
        <v>92.277000000000001</v>
      </c>
      <c r="M120" s="47">
        <f t="shared" ca="1" si="204"/>
        <v>143.83284174126385</v>
      </c>
      <c r="N120" s="47">
        <f t="shared" ca="1" si="204"/>
        <v>147.642</v>
      </c>
      <c r="O120" s="47">
        <f t="shared" ca="1" si="204"/>
        <v>143.07</v>
      </c>
      <c r="P120" s="47"/>
      <c r="Q120" s="47">
        <f t="shared" ca="1" si="204"/>
        <v>143.83284174126385</v>
      </c>
      <c r="R120" s="47">
        <f t="shared" ca="1" si="204"/>
        <v>143.07</v>
      </c>
      <c r="S120" s="47">
        <f t="shared" ca="1" si="204"/>
        <v>143.07</v>
      </c>
      <c r="U120" s="80">
        <f t="shared" ca="1" si="186"/>
        <v>-5.3036687033973795E-3</v>
      </c>
      <c r="V120" s="47">
        <f t="shared" ca="1" si="187"/>
        <v>-0.76284174126385551</v>
      </c>
    </row>
    <row r="121" spans="1:22" x14ac:dyDescent="0.2">
      <c r="A121" s="55" t="s">
        <v>101</v>
      </c>
      <c r="B121" s="30" t="s">
        <v>49</v>
      </c>
      <c r="C121" s="47">
        <v>76.327386609999991</v>
      </c>
      <c r="D121" s="47">
        <v>88.608000000000004</v>
      </c>
      <c r="E121" s="47">
        <v>91.96423059</v>
      </c>
      <c r="F121" s="47">
        <v>94.350052059999996</v>
      </c>
      <c r="G121" s="47">
        <v>87.533000000000001</v>
      </c>
      <c r="H121" s="47">
        <v>90.512</v>
      </c>
      <c r="I121" s="47">
        <v>93.936000000000007</v>
      </c>
      <c r="J121" s="47">
        <v>94.936999999999998</v>
      </c>
      <c r="K121" s="47"/>
      <c r="L121" s="47">
        <f t="shared" ca="1" si="204"/>
        <v>88.608000000000004</v>
      </c>
      <c r="M121" s="47">
        <f t="shared" ca="1" si="204"/>
        <v>94.350052059999996</v>
      </c>
      <c r="N121" s="47">
        <f t="shared" ca="1" si="204"/>
        <v>90.512</v>
      </c>
      <c r="O121" s="47">
        <f t="shared" ca="1" si="204"/>
        <v>94.936999999999998</v>
      </c>
      <c r="P121" s="47"/>
      <c r="Q121" s="47">
        <f t="shared" ca="1" si="204"/>
        <v>94.350052059999996</v>
      </c>
      <c r="R121" s="47">
        <f t="shared" ca="1" si="204"/>
        <v>94.936999999999998</v>
      </c>
      <c r="S121" s="47">
        <f t="shared" ca="1" si="204"/>
        <v>94.936999999999998</v>
      </c>
      <c r="U121" s="80">
        <f t="shared" ca="1" si="186"/>
        <v>6.2209604254033213E-3</v>
      </c>
      <c r="V121" s="47">
        <f t="shared" ca="1" si="187"/>
        <v>0.58694794000000172</v>
      </c>
    </row>
    <row r="122" spans="1:22" x14ac:dyDescent="0.2">
      <c r="A122" s="55" t="s">
        <v>102</v>
      </c>
      <c r="B122" s="30" t="s">
        <v>50</v>
      </c>
      <c r="C122" s="47">
        <v>270.87521027488867</v>
      </c>
      <c r="D122" s="47">
        <v>213.84100000000001</v>
      </c>
      <c r="E122" s="47">
        <v>264.31206329791667</v>
      </c>
      <c r="F122" s="47">
        <v>214.33248686304921</v>
      </c>
      <c r="G122" s="47">
        <v>215.10300000000001</v>
      </c>
      <c r="H122" s="47">
        <v>220.226</v>
      </c>
      <c r="I122" s="47">
        <v>232.136</v>
      </c>
      <c r="J122" s="47">
        <v>286.959</v>
      </c>
      <c r="K122" s="47"/>
      <c r="L122" s="47">
        <f t="shared" ca="1" si="204"/>
        <v>213.84100000000001</v>
      </c>
      <c r="M122" s="47">
        <f t="shared" ca="1" si="204"/>
        <v>214.33248686304921</v>
      </c>
      <c r="N122" s="47">
        <f t="shared" ca="1" si="204"/>
        <v>220.226</v>
      </c>
      <c r="O122" s="47">
        <f t="shared" ca="1" si="204"/>
        <v>286.959</v>
      </c>
      <c r="P122" s="47"/>
      <c r="Q122" s="47">
        <f t="shared" ca="1" si="204"/>
        <v>214.33248686304921</v>
      </c>
      <c r="R122" s="47">
        <f t="shared" ca="1" si="204"/>
        <v>286.959</v>
      </c>
      <c r="S122" s="47">
        <f t="shared" ca="1" si="204"/>
        <v>286.959</v>
      </c>
      <c r="U122" s="80">
        <f t="shared" ca="1" si="186"/>
        <v>0.3388497665468535</v>
      </c>
      <c r="V122" s="47">
        <f t="shared" ca="1" si="187"/>
        <v>72.626513136950791</v>
      </c>
    </row>
    <row r="123" spans="1:22" x14ac:dyDescent="0.2">
      <c r="A123" s="55" t="s">
        <v>104</v>
      </c>
      <c r="B123" s="30" t="s">
        <v>103</v>
      </c>
      <c r="C123" s="47">
        <v>55.833502709708405</v>
      </c>
      <c r="D123" s="47">
        <v>58.195999999999998</v>
      </c>
      <c r="E123" s="47">
        <v>56.632694833703439</v>
      </c>
      <c r="F123" s="47">
        <v>53.214108541578177</v>
      </c>
      <c r="G123" s="47">
        <v>49.847999999999999</v>
      </c>
      <c r="H123" s="47">
        <v>53.561999999999998</v>
      </c>
      <c r="I123" s="47">
        <v>57.685000000000002</v>
      </c>
      <c r="J123" s="47">
        <v>35.210999999999999</v>
      </c>
      <c r="K123" s="47"/>
      <c r="L123" s="47">
        <f t="shared" ca="1" si="204"/>
        <v>58.195999999999998</v>
      </c>
      <c r="M123" s="47">
        <f t="shared" ca="1" si="204"/>
        <v>53.214108541578177</v>
      </c>
      <c r="N123" s="47">
        <f t="shared" ca="1" si="204"/>
        <v>53.561999999999998</v>
      </c>
      <c r="O123" s="47">
        <f t="shared" ca="1" si="204"/>
        <v>35.210999999999999</v>
      </c>
      <c r="P123" s="47"/>
      <c r="Q123" s="47">
        <f t="shared" ca="1" si="204"/>
        <v>53.214108541578177</v>
      </c>
      <c r="R123" s="47">
        <f t="shared" ca="1" si="204"/>
        <v>35.210999999999999</v>
      </c>
      <c r="S123" s="47">
        <f t="shared" ca="1" si="204"/>
        <v>35.210999999999999</v>
      </c>
      <c r="U123" s="80">
        <f t="shared" ca="1" si="186"/>
        <v>-0.33831457549479904</v>
      </c>
      <c r="V123" s="47">
        <f t="shared" ca="1" si="187"/>
        <v>-18.003108541578179</v>
      </c>
    </row>
    <row r="124" spans="1:22" x14ac:dyDescent="0.2">
      <c r="A124" s="55" t="s">
        <v>105</v>
      </c>
      <c r="B124" s="30" t="s">
        <v>56</v>
      </c>
      <c r="C124" s="47">
        <v>85.529425340000031</v>
      </c>
      <c r="D124" s="47">
        <v>85.400999999999996</v>
      </c>
      <c r="E124" s="47">
        <v>72.976605799999987</v>
      </c>
      <c r="F124" s="47">
        <v>75.071691229999999</v>
      </c>
      <c r="G124" s="47">
        <v>76.230999999999995</v>
      </c>
      <c r="H124" s="47">
        <v>76.655000000000001</v>
      </c>
      <c r="I124" s="47">
        <v>78.244</v>
      </c>
      <c r="J124" s="47">
        <v>81.936000000000007</v>
      </c>
      <c r="K124" s="47"/>
      <c r="L124" s="47">
        <f t="shared" ca="1" si="204"/>
        <v>85.400999999999996</v>
      </c>
      <c r="M124" s="47">
        <f t="shared" ca="1" si="204"/>
        <v>75.071691229999999</v>
      </c>
      <c r="N124" s="47">
        <f t="shared" ca="1" si="204"/>
        <v>76.655000000000001</v>
      </c>
      <c r="O124" s="47">
        <f t="shared" ca="1" si="204"/>
        <v>81.936000000000007</v>
      </c>
      <c r="P124" s="47"/>
      <c r="Q124" s="47">
        <f t="shared" ca="1" si="204"/>
        <v>75.071691229999999</v>
      </c>
      <c r="R124" s="47">
        <f t="shared" ca="1" si="204"/>
        <v>81.936000000000007</v>
      </c>
      <c r="S124" s="47">
        <f t="shared" ca="1" si="204"/>
        <v>81.936000000000007</v>
      </c>
      <c r="U124" s="80">
        <f t="shared" ca="1" si="186"/>
        <v>9.1436714126628127E-2</v>
      </c>
      <c r="V124" s="47">
        <f t="shared" ca="1" si="187"/>
        <v>6.8643087700000081</v>
      </c>
    </row>
    <row r="125" spans="1:22" x14ac:dyDescent="0.2">
      <c r="A125" s="55" t="s">
        <v>106</v>
      </c>
      <c r="B125" s="30" t="s">
        <v>57</v>
      </c>
      <c r="C125" s="47">
        <v>0</v>
      </c>
      <c r="D125" s="47">
        <v>327.57799999999997</v>
      </c>
      <c r="E125" s="47">
        <v>310.35000000000002</v>
      </c>
      <c r="F125" s="47">
        <v>292.16381802999996</v>
      </c>
      <c r="G125" s="47">
        <v>258.69099999999997</v>
      </c>
      <c r="H125" s="47">
        <v>244.75299999999999</v>
      </c>
      <c r="I125" s="47">
        <v>231.67400000000001</v>
      </c>
      <c r="J125" s="47">
        <v>215.58699999999999</v>
      </c>
      <c r="K125" s="47"/>
      <c r="L125" s="47">
        <f t="shared" ca="1" si="204"/>
        <v>327.57799999999997</v>
      </c>
      <c r="M125" s="47">
        <f t="shared" ca="1" si="204"/>
        <v>292.16381802999996</v>
      </c>
      <c r="N125" s="47">
        <f t="shared" ca="1" si="204"/>
        <v>244.75299999999999</v>
      </c>
      <c r="O125" s="47">
        <f t="shared" ca="1" si="204"/>
        <v>215.58699999999999</v>
      </c>
      <c r="P125" s="47"/>
      <c r="Q125" s="47">
        <f t="shared" ca="1" si="204"/>
        <v>292.16381802999996</v>
      </c>
      <c r="R125" s="47">
        <f t="shared" ca="1" si="204"/>
        <v>215.58699999999999</v>
      </c>
      <c r="S125" s="47">
        <f t="shared" ca="1" si="204"/>
        <v>215.58699999999999</v>
      </c>
      <c r="U125" s="80">
        <f t="shared" ca="1" si="186"/>
        <v>-0.26210233199422694</v>
      </c>
      <c r="V125" s="47">
        <f t="shared" ca="1" si="187"/>
        <v>-76.57681802999997</v>
      </c>
    </row>
    <row r="126" spans="1:22" x14ac:dyDescent="0.2">
      <c r="A126" s="55" t="s">
        <v>107</v>
      </c>
      <c r="B126" s="30" t="s">
        <v>58</v>
      </c>
      <c r="C126" s="47">
        <v>430.51400000000001</v>
      </c>
      <c r="D126" s="47">
        <v>78.081000000000003</v>
      </c>
      <c r="E126" s="47">
        <v>71.641361499999945</v>
      </c>
      <c r="F126" s="47">
        <v>66.610101920000005</v>
      </c>
      <c r="G126" s="47">
        <v>67.739999999999995</v>
      </c>
      <c r="H126" s="47">
        <v>67.915000000000006</v>
      </c>
      <c r="I126" s="47">
        <v>67.637</v>
      </c>
      <c r="J126" s="47">
        <v>69.972999999999999</v>
      </c>
      <c r="K126" s="47"/>
      <c r="L126" s="47">
        <f t="shared" ca="1" si="204"/>
        <v>78.081000000000003</v>
      </c>
      <c r="M126" s="47">
        <f t="shared" ca="1" si="204"/>
        <v>66.610101920000005</v>
      </c>
      <c r="N126" s="47">
        <f t="shared" ca="1" si="204"/>
        <v>67.915000000000006</v>
      </c>
      <c r="O126" s="47">
        <f t="shared" ca="1" si="204"/>
        <v>69.972999999999999</v>
      </c>
      <c r="P126" s="47"/>
      <c r="Q126" s="47">
        <f t="shared" ca="1" si="204"/>
        <v>66.610101920000005</v>
      </c>
      <c r="R126" s="47">
        <f t="shared" ca="1" si="204"/>
        <v>69.972999999999999</v>
      </c>
      <c r="S126" s="47">
        <f t="shared" ca="1" si="204"/>
        <v>69.972999999999999</v>
      </c>
      <c r="U126" s="80">
        <f t="shared" ca="1" si="186"/>
        <v>5.0486307377804351E-2</v>
      </c>
      <c r="V126" s="47">
        <f t="shared" ca="1" si="187"/>
        <v>3.3628980799999937</v>
      </c>
    </row>
    <row r="127" spans="1:22" x14ac:dyDescent="0.2">
      <c r="A127" s="55" t="s">
        <v>108</v>
      </c>
      <c r="B127" s="30" t="s">
        <v>59</v>
      </c>
      <c r="C127" s="47">
        <v>106.73843864000001</v>
      </c>
      <c r="D127" s="47">
        <v>102.31</v>
      </c>
      <c r="E127" s="47">
        <v>98.727139619999988</v>
      </c>
      <c r="F127" s="47">
        <v>90.34346204000002</v>
      </c>
      <c r="G127" s="47">
        <v>89.938999999999993</v>
      </c>
      <c r="H127" s="47">
        <v>83.971000000000004</v>
      </c>
      <c r="I127" s="47">
        <v>85.918000000000006</v>
      </c>
      <c r="J127" s="47">
        <v>80.805000000000007</v>
      </c>
      <c r="K127" s="47"/>
      <c r="L127" s="47">
        <f t="shared" ref="L127:S127" ca="1" si="205">SUMIF($B$8:$K$8,L$8,$B127:$J127)</f>
        <v>102.31</v>
      </c>
      <c r="M127" s="47">
        <f t="shared" ca="1" si="205"/>
        <v>90.34346204000002</v>
      </c>
      <c r="N127" s="47">
        <f t="shared" ca="1" si="205"/>
        <v>83.971000000000004</v>
      </c>
      <c r="O127" s="47">
        <f t="shared" ca="1" si="205"/>
        <v>80.805000000000007</v>
      </c>
      <c r="P127" s="47"/>
      <c r="Q127" s="47">
        <f t="shared" ca="1" si="205"/>
        <v>90.34346204000002</v>
      </c>
      <c r="R127" s="47">
        <f t="shared" ca="1" si="205"/>
        <v>80.805000000000007</v>
      </c>
      <c r="S127" s="47">
        <f t="shared" ca="1" si="205"/>
        <v>80.805000000000007</v>
      </c>
      <c r="U127" s="80">
        <f t="shared" ca="1" si="186"/>
        <v>-0.10557999244900329</v>
      </c>
      <c r="V127" s="47">
        <f t="shared" ca="1" si="187"/>
        <v>-9.5384620400000131</v>
      </c>
    </row>
    <row r="128" spans="1:22" ht="9.9499999999999993" customHeight="1" x14ac:dyDescent="0.2"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U128" s="80" t="str">
        <f t="shared" ref="U128:U163" si="206">IFERROR(SUMIF($C$4:$T$4,$U$2,$C128:$T128)/SUMIF($C$4:$T$4,$V$2,$C128:$T128)-1,"")</f>
        <v/>
      </c>
      <c r="V128" s="47">
        <f t="shared" ref="V128:V163" si="207">SUMIF($C$4:$T$4,$U$2,$C128:$T128)-SUMIF($C$4:$T$4,$V$2,$C128:$T128)</f>
        <v>0</v>
      </c>
    </row>
    <row r="129" spans="1:22" s="34" customFormat="1" x14ac:dyDescent="0.2">
      <c r="A129" s="60"/>
      <c r="B129" s="33" t="s">
        <v>60</v>
      </c>
      <c r="C129" s="51">
        <f>SUM(C130,C158)</f>
        <v>4289.1076032527271</v>
      </c>
      <c r="D129" s="51">
        <f t="shared" ref="D129:L129" si="208">SUM(D130,D158)</f>
        <v>4633.9539999999997</v>
      </c>
      <c r="E129" s="51">
        <f t="shared" si="208"/>
        <v>4803.426279063704</v>
      </c>
      <c r="F129" s="51">
        <f t="shared" si="208"/>
        <v>5110.148627442486</v>
      </c>
      <c r="G129" s="51">
        <f t="shared" si="208"/>
        <v>5200.6479999999992</v>
      </c>
      <c r="H129" s="51">
        <f t="shared" si="208"/>
        <v>5521.8409999999994</v>
      </c>
      <c r="I129" s="51">
        <f t="shared" si="208"/>
        <v>6051.8089999999993</v>
      </c>
      <c r="J129" s="51">
        <f t="shared" si="208"/>
        <v>6226.7269999999999</v>
      </c>
      <c r="K129" s="52"/>
      <c r="L129" s="51">
        <f t="shared" ca="1" si="208"/>
        <v>4633.9539999999997</v>
      </c>
      <c r="M129" s="51">
        <f t="shared" ref="M129" ca="1" si="209">SUM(M130,M158)</f>
        <v>5110.148627442486</v>
      </c>
      <c r="N129" s="51">
        <f t="shared" ref="N129" ca="1" si="210">SUM(N130,N158)</f>
        <v>5521.8409999999994</v>
      </c>
      <c r="O129" s="51">
        <f t="shared" ref="O129:Q129" ca="1" si="211">SUM(O130,O158)</f>
        <v>6226.7269999999999</v>
      </c>
      <c r="P129" s="52"/>
      <c r="Q129" s="51">
        <f t="shared" ca="1" si="211"/>
        <v>5110.148627442486</v>
      </c>
      <c r="R129" s="51">
        <f t="shared" ref="R129:S129" ca="1" si="212">SUM(R130,R158)</f>
        <v>6226.7269999999999</v>
      </c>
      <c r="S129" s="51">
        <f t="shared" ca="1" si="212"/>
        <v>6226.7269999999999</v>
      </c>
      <c r="U129" s="81">
        <f t="shared" ca="1" si="206"/>
        <v>0.21850213251357742</v>
      </c>
      <c r="V129" s="45">
        <f t="shared" ca="1" si="207"/>
        <v>1116.5783725575138</v>
      </c>
    </row>
    <row r="130" spans="1:22" s="34" customFormat="1" x14ac:dyDescent="0.2">
      <c r="A130" s="60"/>
      <c r="B130" s="33" t="s">
        <v>61</v>
      </c>
      <c r="C130" s="51">
        <f>SUM(C131,C146)</f>
        <v>3513.8601179358247</v>
      </c>
      <c r="D130" s="51">
        <f t="shared" ref="D130:L130" si="213">SUM(D131,D146)</f>
        <v>3831.6949999999997</v>
      </c>
      <c r="E130" s="51">
        <f t="shared" si="213"/>
        <v>4034.0577855769207</v>
      </c>
      <c r="F130" s="51">
        <f t="shared" si="213"/>
        <v>4318.1403361144603</v>
      </c>
      <c r="G130" s="51">
        <f t="shared" si="213"/>
        <v>4313.3419999999996</v>
      </c>
      <c r="H130" s="51">
        <f t="shared" si="213"/>
        <v>4520.6719999999996</v>
      </c>
      <c r="I130" s="51">
        <f t="shared" si="213"/>
        <v>5321.8439999999991</v>
      </c>
      <c r="J130" s="51">
        <f t="shared" si="213"/>
        <v>5504.3519999999999</v>
      </c>
      <c r="K130" s="52"/>
      <c r="L130" s="51">
        <f t="shared" ca="1" si="213"/>
        <v>3831.6949999999997</v>
      </c>
      <c r="M130" s="51">
        <f t="shared" ref="M130" ca="1" si="214">SUM(M131,M146)</f>
        <v>4318.1403361144603</v>
      </c>
      <c r="N130" s="51">
        <f t="shared" ref="N130" ca="1" si="215">SUM(N131,N146)</f>
        <v>4520.6719999999996</v>
      </c>
      <c r="O130" s="51">
        <f t="shared" ref="O130:Q130" ca="1" si="216">SUM(O131,O146)</f>
        <v>5504.3519999999999</v>
      </c>
      <c r="P130" s="52"/>
      <c r="Q130" s="51">
        <f t="shared" ca="1" si="216"/>
        <v>4318.1403361144603</v>
      </c>
      <c r="R130" s="51">
        <f t="shared" ref="R130:S130" ca="1" si="217">SUM(R131,R146)</f>
        <v>5504.3519999999999</v>
      </c>
      <c r="S130" s="51">
        <f t="shared" ca="1" si="217"/>
        <v>5504.3519999999999</v>
      </c>
      <c r="U130" s="81">
        <f t="shared" ca="1" si="206"/>
        <v>0.27470428739074149</v>
      </c>
      <c r="V130" s="45">
        <f t="shared" ca="1" si="207"/>
        <v>1186.2116638855396</v>
      </c>
    </row>
    <row r="131" spans="1:22" s="10" customFormat="1" x14ac:dyDescent="0.2">
      <c r="A131" s="58"/>
      <c r="B131" s="31" t="s">
        <v>39</v>
      </c>
      <c r="C131" s="48">
        <f>SUM(C132:C144)</f>
        <v>2381.7083978233113</v>
      </c>
      <c r="D131" s="48">
        <f t="shared" ref="D131:L131" si="218">SUM(D132:D144)</f>
        <v>2902.8229999999999</v>
      </c>
      <c r="E131" s="48">
        <f t="shared" si="218"/>
        <v>2847.3682514264215</v>
      </c>
      <c r="F131" s="48">
        <f t="shared" si="218"/>
        <v>3202.4265431122353</v>
      </c>
      <c r="G131" s="48">
        <f t="shared" si="218"/>
        <v>2845.5589999999997</v>
      </c>
      <c r="H131" s="48">
        <f t="shared" si="218"/>
        <v>2887.1229999999996</v>
      </c>
      <c r="I131" s="48">
        <f t="shared" si="218"/>
        <v>3501.837</v>
      </c>
      <c r="J131" s="48">
        <f t="shared" si="218"/>
        <v>2758.5889999999999</v>
      </c>
      <c r="K131" s="46"/>
      <c r="L131" s="48">
        <f t="shared" ca="1" si="218"/>
        <v>2902.8229999999999</v>
      </c>
      <c r="M131" s="48">
        <f t="shared" ref="M131" ca="1" si="219">SUM(M132:M144)</f>
        <v>3202.4265431122353</v>
      </c>
      <c r="N131" s="48">
        <f t="shared" ref="N131" ca="1" si="220">SUM(N132:N144)</f>
        <v>2887.1229999999996</v>
      </c>
      <c r="O131" s="48">
        <f t="shared" ref="O131:Q131" ca="1" si="221">SUM(O132:O144)</f>
        <v>2758.5889999999999</v>
      </c>
      <c r="P131" s="46"/>
      <c r="Q131" s="48">
        <f t="shared" ca="1" si="221"/>
        <v>3202.4265431122353</v>
      </c>
      <c r="R131" s="48">
        <f t="shared" ref="R131:S131" ca="1" si="222">SUM(R132:R144)</f>
        <v>2758.5889999999999</v>
      </c>
      <c r="S131" s="48">
        <f t="shared" ca="1" si="222"/>
        <v>2758.5889999999999</v>
      </c>
      <c r="U131" s="79">
        <f t="shared" ca="1" si="206"/>
        <v>-0.13859413701989176</v>
      </c>
      <c r="V131" s="48">
        <f t="shared" ca="1" si="207"/>
        <v>-443.83754311223538</v>
      </c>
    </row>
    <row r="132" spans="1:22" x14ac:dyDescent="0.2">
      <c r="A132" s="55" t="s">
        <v>109</v>
      </c>
      <c r="B132" s="30" t="s">
        <v>62</v>
      </c>
      <c r="C132" s="47">
        <v>198.68356438999999</v>
      </c>
      <c r="D132" s="47">
        <v>129.488</v>
      </c>
      <c r="E132" s="47">
        <v>187.13625074999999</v>
      </c>
      <c r="F132" s="47">
        <v>254.74113388999999</v>
      </c>
      <c r="G132" s="47">
        <v>189.215</v>
      </c>
      <c r="H132" s="47">
        <v>238.70599999999999</v>
      </c>
      <c r="I132" s="47">
        <v>271.48099999999999</v>
      </c>
      <c r="J132" s="47">
        <v>221.31100000000001</v>
      </c>
      <c r="K132" s="47"/>
      <c r="L132" s="47">
        <f t="shared" ref="L132:S144" ca="1" si="223">SUMIF($B$8:$K$8,L$8,$B132:$J132)</f>
        <v>129.488</v>
      </c>
      <c r="M132" s="47">
        <f t="shared" ca="1" si="223"/>
        <v>254.74113388999999</v>
      </c>
      <c r="N132" s="47">
        <f t="shared" ca="1" si="223"/>
        <v>238.70599999999999</v>
      </c>
      <c r="O132" s="47">
        <f t="shared" ca="1" si="223"/>
        <v>221.31100000000001</v>
      </c>
      <c r="P132" s="47"/>
      <c r="Q132" s="47">
        <f t="shared" ca="1" si="223"/>
        <v>254.74113388999999</v>
      </c>
      <c r="R132" s="47">
        <f t="shared" ca="1" si="223"/>
        <v>221.31100000000001</v>
      </c>
      <c r="S132" s="47">
        <f t="shared" ca="1" si="223"/>
        <v>221.31100000000001</v>
      </c>
      <c r="U132" s="80">
        <f t="shared" ca="1" si="206"/>
        <v>-0.13123178569361116</v>
      </c>
      <c r="V132" s="47">
        <f t="shared" ca="1" si="207"/>
        <v>-33.430133889999979</v>
      </c>
    </row>
    <row r="133" spans="1:22" x14ac:dyDescent="0.2">
      <c r="A133" s="55" t="s">
        <v>110</v>
      </c>
      <c r="B133" s="30" t="s">
        <v>63</v>
      </c>
      <c r="C133" s="47">
        <v>202.19629810999999</v>
      </c>
      <c r="D133" s="47">
        <v>414.51799999999997</v>
      </c>
      <c r="E133" s="47">
        <v>323.73057175000002</v>
      </c>
      <c r="F133" s="47">
        <v>300.14170960999996</v>
      </c>
      <c r="G133" s="47">
        <v>362.26499999999999</v>
      </c>
      <c r="H133" s="47">
        <v>184.93799999999999</v>
      </c>
      <c r="I133" s="47">
        <v>199.524</v>
      </c>
      <c r="J133" s="47">
        <v>220.56200000000001</v>
      </c>
      <c r="K133" s="47"/>
      <c r="L133" s="47">
        <f t="shared" ca="1" si="223"/>
        <v>414.51799999999997</v>
      </c>
      <c r="M133" s="47">
        <f t="shared" ca="1" si="223"/>
        <v>300.14170960999996</v>
      </c>
      <c r="N133" s="47">
        <f t="shared" ca="1" si="223"/>
        <v>184.93799999999999</v>
      </c>
      <c r="O133" s="47">
        <f t="shared" ca="1" si="223"/>
        <v>220.56200000000001</v>
      </c>
      <c r="P133" s="47"/>
      <c r="Q133" s="47">
        <f t="shared" ca="1" si="223"/>
        <v>300.14170960999996</v>
      </c>
      <c r="R133" s="47">
        <f t="shared" ca="1" si="223"/>
        <v>220.56200000000001</v>
      </c>
      <c r="S133" s="47">
        <f t="shared" ca="1" si="223"/>
        <v>220.56200000000001</v>
      </c>
      <c r="U133" s="80">
        <f t="shared" ca="1" si="206"/>
        <v>-0.26514045553150456</v>
      </c>
      <c r="V133" s="47">
        <f t="shared" ca="1" si="207"/>
        <v>-79.579709609999952</v>
      </c>
    </row>
    <row r="134" spans="1:22" x14ac:dyDescent="0.2">
      <c r="A134" s="55" t="s">
        <v>111</v>
      </c>
      <c r="B134" s="30" t="s">
        <v>42</v>
      </c>
      <c r="C134" s="47">
        <v>19.559551147704273</v>
      </c>
      <c r="D134" s="47">
        <v>20.158000000000001</v>
      </c>
      <c r="E134" s="47">
        <v>17.126677999999998</v>
      </c>
      <c r="F134" s="47">
        <v>15.11817374</v>
      </c>
      <c r="G134" s="47">
        <v>8.3330000000000002</v>
      </c>
      <c r="H134" s="47">
        <v>4.9710000000000001</v>
      </c>
      <c r="I134" s="47">
        <v>4.4790000000000001</v>
      </c>
      <c r="J134" s="47">
        <v>4.2960000000000003</v>
      </c>
      <c r="K134" s="47"/>
      <c r="L134" s="47">
        <f t="shared" ca="1" si="223"/>
        <v>20.158000000000001</v>
      </c>
      <c r="M134" s="47">
        <f t="shared" ca="1" si="223"/>
        <v>15.11817374</v>
      </c>
      <c r="N134" s="47">
        <f t="shared" ca="1" si="223"/>
        <v>4.9710000000000001</v>
      </c>
      <c r="O134" s="47">
        <f t="shared" ca="1" si="223"/>
        <v>4.2960000000000003</v>
      </c>
      <c r="P134" s="47"/>
      <c r="Q134" s="47">
        <f t="shared" ca="1" si="223"/>
        <v>15.11817374</v>
      </c>
      <c r="R134" s="47">
        <f t="shared" ca="1" si="223"/>
        <v>4.2960000000000003</v>
      </c>
      <c r="S134" s="47">
        <f t="shared" ca="1" si="223"/>
        <v>4.2960000000000003</v>
      </c>
      <c r="U134" s="80">
        <f t="shared" ca="1" si="206"/>
        <v>-0.71583869362252739</v>
      </c>
      <c r="V134" s="47">
        <f t="shared" ca="1" si="207"/>
        <v>-10.82217374</v>
      </c>
    </row>
    <row r="135" spans="1:22" x14ac:dyDescent="0.2">
      <c r="A135" s="55" t="s">
        <v>112</v>
      </c>
      <c r="B135" s="30" t="s">
        <v>64</v>
      </c>
      <c r="C135" s="47">
        <v>256.76280512000017</v>
      </c>
      <c r="D135" s="47">
        <v>147.08000000000001</v>
      </c>
      <c r="E135" s="47">
        <v>230.76725020999996</v>
      </c>
      <c r="F135" s="47">
        <v>151.82499999999999</v>
      </c>
      <c r="G135" s="47">
        <v>21.585000000000001</v>
      </c>
      <c r="H135" s="47">
        <v>32.978999999999999</v>
      </c>
      <c r="I135" s="47">
        <v>383.33800000000002</v>
      </c>
      <c r="J135" s="47">
        <v>452.71</v>
      </c>
      <c r="K135" s="47"/>
      <c r="L135" s="47">
        <f t="shared" ca="1" si="223"/>
        <v>147.08000000000001</v>
      </c>
      <c r="M135" s="47">
        <f t="shared" ca="1" si="223"/>
        <v>151.82499999999999</v>
      </c>
      <c r="N135" s="47">
        <f t="shared" ca="1" si="223"/>
        <v>32.978999999999999</v>
      </c>
      <c r="O135" s="47">
        <f t="shared" ca="1" si="223"/>
        <v>452.71</v>
      </c>
      <c r="P135" s="47"/>
      <c r="Q135" s="47">
        <f t="shared" ca="1" si="223"/>
        <v>151.82499999999999</v>
      </c>
      <c r="R135" s="47">
        <f t="shared" ca="1" si="223"/>
        <v>452.71</v>
      </c>
      <c r="S135" s="47">
        <f t="shared" ca="1" si="223"/>
        <v>452.71</v>
      </c>
      <c r="U135" s="80">
        <f t="shared" ca="1" si="206"/>
        <v>1.9817882430429772</v>
      </c>
      <c r="V135" s="47">
        <f t="shared" ca="1" si="207"/>
        <v>300.88499999999999</v>
      </c>
    </row>
    <row r="136" spans="1:22" x14ac:dyDescent="0.2">
      <c r="A136" s="55" t="s">
        <v>113</v>
      </c>
      <c r="B136" s="30" t="s">
        <v>65</v>
      </c>
      <c r="C136" s="47">
        <v>320.09995761000005</v>
      </c>
      <c r="D136" s="47">
        <v>731.74800000000005</v>
      </c>
      <c r="E136" s="47">
        <v>663.10902855999984</v>
      </c>
      <c r="F136" s="47">
        <v>873.75699999999995</v>
      </c>
      <c r="G136" s="47">
        <v>746.97199999999998</v>
      </c>
      <c r="H136" s="47">
        <v>782.31</v>
      </c>
      <c r="I136" s="47">
        <v>635.30399999999997</v>
      </c>
      <c r="J136" s="47">
        <v>213.52600000000001</v>
      </c>
      <c r="K136" s="47"/>
      <c r="L136" s="47">
        <f t="shared" ca="1" si="223"/>
        <v>731.74800000000005</v>
      </c>
      <c r="M136" s="47">
        <f t="shared" ca="1" si="223"/>
        <v>873.75699999999995</v>
      </c>
      <c r="N136" s="47">
        <f t="shared" ca="1" si="223"/>
        <v>782.31</v>
      </c>
      <c r="O136" s="47">
        <f t="shared" ca="1" si="223"/>
        <v>213.52600000000001</v>
      </c>
      <c r="P136" s="47"/>
      <c r="Q136" s="47">
        <f t="shared" ca="1" si="223"/>
        <v>873.75699999999995</v>
      </c>
      <c r="R136" s="47">
        <f t="shared" ca="1" si="223"/>
        <v>213.52600000000001</v>
      </c>
      <c r="S136" s="47">
        <f t="shared" ca="1" si="223"/>
        <v>213.52600000000001</v>
      </c>
      <c r="U136" s="80">
        <f t="shared" ca="1" si="206"/>
        <v>-0.75562313091626154</v>
      </c>
      <c r="V136" s="47">
        <f t="shared" ca="1" si="207"/>
        <v>-660.23099999999999</v>
      </c>
    </row>
    <row r="137" spans="1:22" x14ac:dyDescent="0.2">
      <c r="A137" s="55" t="s">
        <v>114</v>
      </c>
      <c r="B137" s="30" t="s">
        <v>66</v>
      </c>
      <c r="C137" s="47">
        <v>57.464539360000082</v>
      </c>
      <c r="D137" s="47">
        <v>60.5</v>
      </c>
      <c r="E137" s="47">
        <v>62.714768550000002</v>
      </c>
      <c r="F137" s="47">
        <v>65.491</v>
      </c>
      <c r="G137" s="47">
        <v>75.116</v>
      </c>
      <c r="H137" s="47">
        <v>86.081000000000003</v>
      </c>
      <c r="I137" s="47">
        <v>91.533000000000001</v>
      </c>
      <c r="J137" s="47">
        <v>98.162999999999997</v>
      </c>
      <c r="K137" s="47"/>
      <c r="L137" s="47">
        <f t="shared" ca="1" si="223"/>
        <v>60.5</v>
      </c>
      <c r="M137" s="47">
        <f t="shared" ca="1" si="223"/>
        <v>65.491</v>
      </c>
      <c r="N137" s="47">
        <f t="shared" ca="1" si="223"/>
        <v>86.081000000000003</v>
      </c>
      <c r="O137" s="47">
        <f t="shared" ca="1" si="223"/>
        <v>98.162999999999997</v>
      </c>
      <c r="P137" s="47"/>
      <c r="Q137" s="47">
        <f t="shared" ca="1" si="223"/>
        <v>65.491</v>
      </c>
      <c r="R137" s="47">
        <f t="shared" ca="1" si="223"/>
        <v>98.162999999999997</v>
      </c>
      <c r="S137" s="47">
        <f t="shared" ca="1" si="223"/>
        <v>98.162999999999997</v>
      </c>
      <c r="U137" s="80">
        <f t="shared" ca="1" si="206"/>
        <v>0.49887770838741208</v>
      </c>
      <c r="V137" s="47">
        <f t="shared" ca="1" si="207"/>
        <v>32.671999999999997</v>
      </c>
    </row>
    <row r="138" spans="1:22" x14ac:dyDescent="0.2">
      <c r="A138" s="55" t="s">
        <v>115</v>
      </c>
      <c r="B138" s="30" t="s">
        <v>67</v>
      </c>
      <c r="C138" s="47">
        <v>51.217583120000008</v>
      </c>
      <c r="D138" s="47">
        <v>63.677</v>
      </c>
      <c r="E138" s="47">
        <v>68.319958239999991</v>
      </c>
      <c r="F138" s="47">
        <v>78.399291079999998</v>
      </c>
      <c r="G138" s="47">
        <v>60.508000000000003</v>
      </c>
      <c r="H138" s="47">
        <v>91.936000000000007</v>
      </c>
      <c r="I138" s="47">
        <v>103.42700000000001</v>
      </c>
      <c r="J138" s="47">
        <v>117.63500000000001</v>
      </c>
      <c r="K138" s="47"/>
      <c r="L138" s="47">
        <f t="shared" ca="1" si="223"/>
        <v>63.677</v>
      </c>
      <c r="M138" s="47">
        <f t="shared" ca="1" si="223"/>
        <v>78.399291079999998</v>
      </c>
      <c r="N138" s="47">
        <f t="shared" ca="1" si="223"/>
        <v>91.936000000000007</v>
      </c>
      <c r="O138" s="47">
        <f t="shared" ca="1" si="223"/>
        <v>117.63500000000001</v>
      </c>
      <c r="P138" s="47"/>
      <c r="Q138" s="47">
        <f t="shared" ca="1" si="223"/>
        <v>78.399291079999998</v>
      </c>
      <c r="R138" s="47">
        <f t="shared" ca="1" si="223"/>
        <v>117.63500000000001</v>
      </c>
      <c r="S138" s="47">
        <f t="shared" ca="1" si="223"/>
        <v>117.63500000000001</v>
      </c>
      <c r="U138" s="80">
        <f t="shared" ca="1" si="206"/>
        <v>0.50045999625128257</v>
      </c>
      <c r="V138" s="47">
        <f t="shared" ca="1" si="207"/>
        <v>39.235708920000008</v>
      </c>
    </row>
    <row r="139" spans="1:22" x14ac:dyDescent="0.2">
      <c r="A139" s="55" t="s">
        <v>116</v>
      </c>
      <c r="B139" s="30" t="s">
        <v>68</v>
      </c>
      <c r="C139" s="47">
        <v>18.08635842000001</v>
      </c>
      <c r="D139" s="47">
        <v>29.259</v>
      </c>
      <c r="E139" s="47">
        <v>30.00110138999997</v>
      </c>
      <c r="F139" s="47">
        <v>29.951005009999992</v>
      </c>
      <c r="G139" s="47">
        <v>34.137999999999998</v>
      </c>
      <c r="H139" s="47">
        <v>42.081000000000003</v>
      </c>
      <c r="I139" s="47">
        <v>38.671999999999997</v>
      </c>
      <c r="J139" s="47">
        <v>41.298999999999999</v>
      </c>
      <c r="K139" s="47"/>
      <c r="L139" s="47">
        <f t="shared" ca="1" si="223"/>
        <v>29.259</v>
      </c>
      <c r="M139" s="47">
        <f t="shared" ca="1" si="223"/>
        <v>29.951005009999992</v>
      </c>
      <c r="N139" s="47">
        <f t="shared" ca="1" si="223"/>
        <v>42.081000000000003</v>
      </c>
      <c r="O139" s="47">
        <f t="shared" ca="1" si="223"/>
        <v>41.298999999999999</v>
      </c>
      <c r="P139" s="47"/>
      <c r="Q139" s="47">
        <f t="shared" ca="1" si="223"/>
        <v>29.951005009999992</v>
      </c>
      <c r="R139" s="47">
        <f t="shared" ca="1" si="223"/>
        <v>41.298999999999999</v>
      </c>
      <c r="S139" s="47">
        <f t="shared" ca="1" si="223"/>
        <v>41.298999999999999</v>
      </c>
      <c r="U139" s="80">
        <f t="shared" ca="1" si="206"/>
        <v>0.37888528235400298</v>
      </c>
      <c r="V139" s="47">
        <f t="shared" ca="1" si="207"/>
        <v>11.347994990000007</v>
      </c>
    </row>
    <row r="140" spans="1:22" x14ac:dyDescent="0.2">
      <c r="A140" s="55" t="s">
        <v>117</v>
      </c>
      <c r="B140" s="30" t="s">
        <v>69</v>
      </c>
      <c r="C140" s="47">
        <v>100.45416588000001</v>
      </c>
      <c r="D140" s="47">
        <v>94.54</v>
      </c>
      <c r="E140" s="47">
        <v>112.97305998</v>
      </c>
      <c r="F140" s="47">
        <v>172.50676900000002</v>
      </c>
      <c r="G140" s="47">
        <v>118.955</v>
      </c>
      <c r="H140" s="47">
        <v>186.494</v>
      </c>
      <c r="I140" s="47">
        <v>179.845</v>
      </c>
      <c r="J140" s="47">
        <v>173.58699999999999</v>
      </c>
      <c r="K140" s="47"/>
      <c r="L140" s="47">
        <f t="shared" ca="1" si="223"/>
        <v>94.54</v>
      </c>
      <c r="M140" s="47">
        <f t="shared" ca="1" si="223"/>
        <v>172.50676900000002</v>
      </c>
      <c r="N140" s="47">
        <f t="shared" ca="1" si="223"/>
        <v>186.494</v>
      </c>
      <c r="O140" s="47">
        <f t="shared" ca="1" si="223"/>
        <v>173.58699999999999</v>
      </c>
      <c r="P140" s="47"/>
      <c r="Q140" s="47">
        <f t="shared" ca="1" si="223"/>
        <v>172.50676900000002</v>
      </c>
      <c r="R140" s="47">
        <f t="shared" ca="1" si="223"/>
        <v>173.58699999999999</v>
      </c>
      <c r="S140" s="47">
        <f t="shared" ca="1" si="223"/>
        <v>173.58699999999999</v>
      </c>
      <c r="U140" s="80">
        <f t="shared" ca="1" si="206"/>
        <v>6.2619629725948478E-3</v>
      </c>
      <c r="V140" s="47">
        <f t="shared" ca="1" si="207"/>
        <v>1.0802309999999693</v>
      </c>
    </row>
    <row r="141" spans="1:22" x14ac:dyDescent="0.2">
      <c r="A141" s="55" t="s">
        <v>118</v>
      </c>
      <c r="B141" s="30" t="s">
        <v>70</v>
      </c>
      <c r="C141" s="47">
        <v>128.85349520560726</v>
      </c>
      <c r="D141" s="47">
        <v>175.965</v>
      </c>
      <c r="E141" s="47">
        <v>132.99829226642183</v>
      </c>
      <c r="F141" s="47">
        <v>202.50489408223592</v>
      </c>
      <c r="G141" s="47">
        <v>211.797</v>
      </c>
      <c r="H141" s="47">
        <v>217.018</v>
      </c>
      <c r="I141" s="47">
        <v>200.76300000000001</v>
      </c>
      <c r="J141" s="47">
        <v>148.33699999999999</v>
      </c>
      <c r="K141" s="47"/>
      <c r="L141" s="47">
        <f t="shared" ca="1" si="223"/>
        <v>175.965</v>
      </c>
      <c r="M141" s="47">
        <f t="shared" ca="1" si="223"/>
        <v>202.50489408223592</v>
      </c>
      <c r="N141" s="47">
        <f t="shared" ca="1" si="223"/>
        <v>217.018</v>
      </c>
      <c r="O141" s="47">
        <f t="shared" ca="1" si="223"/>
        <v>148.33699999999999</v>
      </c>
      <c r="P141" s="47"/>
      <c r="Q141" s="47">
        <f t="shared" ca="1" si="223"/>
        <v>202.50489408223592</v>
      </c>
      <c r="R141" s="47">
        <f t="shared" ca="1" si="223"/>
        <v>148.33699999999999</v>
      </c>
      <c r="S141" s="47">
        <f t="shared" ca="1" si="223"/>
        <v>148.33699999999999</v>
      </c>
      <c r="U141" s="80">
        <f t="shared" ca="1" si="206"/>
        <v>-0.26748930848179253</v>
      </c>
      <c r="V141" s="47">
        <f t="shared" ca="1" si="207"/>
        <v>-54.167894082235932</v>
      </c>
    </row>
    <row r="142" spans="1:22" x14ac:dyDescent="0.2">
      <c r="A142" s="55" t="s">
        <v>119</v>
      </c>
      <c r="B142" s="30" t="s">
        <v>52</v>
      </c>
      <c r="C142" s="47">
        <v>1008.4606168</v>
      </c>
      <c r="D142" s="47">
        <v>1013.802</v>
      </c>
      <c r="E142" s="47">
        <v>996.36890477999998</v>
      </c>
      <c r="F142" s="47">
        <v>1034.9744728999999</v>
      </c>
      <c r="G142" s="47">
        <v>994.20600000000002</v>
      </c>
      <c r="H142" s="47">
        <v>993.36300000000006</v>
      </c>
      <c r="I142" s="47">
        <v>1370.087</v>
      </c>
      <c r="J142" s="47">
        <v>1037.537</v>
      </c>
      <c r="K142" s="47"/>
      <c r="L142" s="47">
        <f t="shared" ca="1" si="223"/>
        <v>1013.802</v>
      </c>
      <c r="M142" s="47">
        <f t="shared" ca="1" si="223"/>
        <v>1034.9744728999999</v>
      </c>
      <c r="N142" s="47">
        <f t="shared" ca="1" si="223"/>
        <v>993.36300000000006</v>
      </c>
      <c r="O142" s="47">
        <f t="shared" ca="1" si="223"/>
        <v>1037.537</v>
      </c>
      <c r="P142" s="47"/>
      <c r="Q142" s="47">
        <f t="shared" ca="1" si="223"/>
        <v>1034.9744728999999</v>
      </c>
      <c r="R142" s="47">
        <f t="shared" ca="1" si="223"/>
        <v>1037.537</v>
      </c>
      <c r="S142" s="47">
        <f t="shared" ca="1" si="223"/>
        <v>1037.537</v>
      </c>
      <c r="U142" s="80">
        <f t="shared" ca="1" si="206"/>
        <v>2.4759326602712406E-3</v>
      </c>
      <c r="V142" s="47">
        <f t="shared" ca="1" si="207"/>
        <v>2.5625271000001248</v>
      </c>
    </row>
    <row r="143" spans="1:22" x14ac:dyDescent="0.2">
      <c r="A143" s="55" t="s">
        <v>120</v>
      </c>
      <c r="B143" s="30" t="s">
        <v>71</v>
      </c>
      <c r="C143" s="47">
        <v>18.575775469999996</v>
      </c>
      <c r="D143" s="47">
        <v>20.902999999999999</v>
      </c>
      <c r="E143" s="47">
        <v>20.13322488</v>
      </c>
      <c r="F143" s="47">
        <v>18.581314079999999</v>
      </c>
      <c r="G143" s="47">
        <v>19.638999999999999</v>
      </c>
      <c r="H143" s="47">
        <v>19.274000000000001</v>
      </c>
      <c r="I143" s="47">
        <v>20.187999999999999</v>
      </c>
      <c r="J143" s="47">
        <v>20.92</v>
      </c>
      <c r="K143" s="47"/>
      <c r="L143" s="47">
        <f t="shared" ca="1" si="223"/>
        <v>20.902999999999999</v>
      </c>
      <c r="M143" s="47">
        <f t="shared" ca="1" si="223"/>
        <v>18.581314079999999</v>
      </c>
      <c r="N143" s="47">
        <f t="shared" ca="1" si="223"/>
        <v>19.274000000000001</v>
      </c>
      <c r="O143" s="47">
        <f t="shared" ca="1" si="223"/>
        <v>20.92</v>
      </c>
      <c r="P143" s="47"/>
      <c r="Q143" s="47">
        <f t="shared" ca="1" si="223"/>
        <v>18.581314079999999</v>
      </c>
      <c r="R143" s="47">
        <f t="shared" ca="1" si="223"/>
        <v>20.92</v>
      </c>
      <c r="S143" s="47">
        <f t="shared" ca="1" si="223"/>
        <v>20.92</v>
      </c>
      <c r="U143" s="80">
        <f t="shared" ca="1" si="206"/>
        <v>0.12586224579871064</v>
      </c>
      <c r="V143" s="47">
        <f t="shared" ca="1" si="207"/>
        <v>2.3386859200000032</v>
      </c>
    </row>
    <row r="144" spans="1:22" x14ac:dyDescent="0.2">
      <c r="A144" s="55" t="s">
        <v>121</v>
      </c>
      <c r="B144" s="30" t="s">
        <v>72</v>
      </c>
      <c r="C144" s="47">
        <v>1.2936871899999998</v>
      </c>
      <c r="D144" s="47">
        <v>1.1850000000000001</v>
      </c>
      <c r="E144" s="47">
        <v>1.9891620699999999</v>
      </c>
      <c r="F144" s="47">
        <v>4.4347797200000025</v>
      </c>
      <c r="G144" s="47">
        <v>2.83</v>
      </c>
      <c r="H144" s="47">
        <v>6.9720000000000004</v>
      </c>
      <c r="I144" s="47">
        <v>3.1960000000000002</v>
      </c>
      <c r="J144" s="47">
        <v>8.7059999999999995</v>
      </c>
      <c r="K144" s="47"/>
      <c r="L144" s="47">
        <f t="shared" ca="1" si="223"/>
        <v>1.1850000000000001</v>
      </c>
      <c r="M144" s="47">
        <f t="shared" ca="1" si="223"/>
        <v>4.4347797200000025</v>
      </c>
      <c r="N144" s="47">
        <f t="shared" ca="1" si="223"/>
        <v>6.9720000000000004</v>
      </c>
      <c r="O144" s="47">
        <f t="shared" ca="1" si="223"/>
        <v>8.7059999999999995</v>
      </c>
      <c r="P144" s="47"/>
      <c r="Q144" s="47">
        <f t="shared" ca="1" si="223"/>
        <v>4.4347797200000025</v>
      </c>
      <c r="R144" s="47">
        <f t="shared" ca="1" si="223"/>
        <v>8.7059999999999995</v>
      </c>
      <c r="S144" s="47">
        <f t="shared" ca="1" si="223"/>
        <v>8.7059999999999995</v>
      </c>
      <c r="U144" s="80">
        <f t="shared" ca="1" si="206"/>
        <v>0.96311892578060099</v>
      </c>
      <c r="V144" s="47">
        <f t="shared" ca="1" si="207"/>
        <v>4.271220279999997</v>
      </c>
    </row>
    <row r="145" spans="1:22" ht="5.0999999999999996" customHeight="1" x14ac:dyDescent="0.2"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U145" s="80" t="str">
        <f t="shared" si="206"/>
        <v/>
      </c>
      <c r="V145" s="47">
        <f t="shared" si="207"/>
        <v>0</v>
      </c>
    </row>
    <row r="146" spans="1:22" s="10" customFormat="1" x14ac:dyDescent="0.2">
      <c r="A146" s="58"/>
      <c r="B146" s="31" t="s">
        <v>51</v>
      </c>
      <c r="C146" s="48">
        <f>SUM(C147:C156)</f>
        <v>1132.1517201125132</v>
      </c>
      <c r="D146" s="48">
        <f t="shared" ref="D146:J146" si="224">SUM(D147:D156)</f>
        <v>928.87199999999996</v>
      </c>
      <c r="E146" s="48">
        <f t="shared" si="224"/>
        <v>1186.689534150499</v>
      </c>
      <c r="F146" s="48">
        <f t="shared" si="224"/>
        <v>1115.7137930022245</v>
      </c>
      <c r="G146" s="48">
        <f t="shared" si="224"/>
        <v>1467.7829999999999</v>
      </c>
      <c r="H146" s="48">
        <f t="shared" si="224"/>
        <v>1633.549</v>
      </c>
      <c r="I146" s="48">
        <f t="shared" si="224"/>
        <v>1820.0069999999996</v>
      </c>
      <c r="J146" s="48">
        <f t="shared" si="224"/>
        <v>2745.7629999999999</v>
      </c>
      <c r="K146" s="46"/>
      <c r="L146" s="48">
        <f t="shared" ref="L146" ca="1" si="225">SUM(L147:L156)</f>
        <v>928.87199999999996</v>
      </c>
      <c r="M146" s="48">
        <f t="shared" ref="M146" ca="1" si="226">SUM(M147:M156)</f>
        <v>1115.7137930022245</v>
      </c>
      <c r="N146" s="48">
        <f t="shared" ref="N146" ca="1" si="227">SUM(N147:N156)</f>
        <v>1633.549</v>
      </c>
      <c r="O146" s="48">
        <f t="shared" ref="O146" ca="1" si="228">SUM(O147:O156)</f>
        <v>2745.7629999999999</v>
      </c>
      <c r="P146" s="46"/>
      <c r="Q146" s="48">
        <f t="shared" ref="Q146" ca="1" si="229">SUM(Q147:Q156)</f>
        <v>1115.7137930022245</v>
      </c>
      <c r="R146" s="48">
        <f t="shared" ref="R146:S146" ca="1" si="230">SUM(R147:R156)</f>
        <v>2745.7629999999999</v>
      </c>
      <c r="S146" s="48">
        <f t="shared" ca="1" si="230"/>
        <v>2745.7629999999999</v>
      </c>
      <c r="U146" s="79">
        <f t="shared" ca="1" si="206"/>
        <v>1.4609922519748983</v>
      </c>
      <c r="V146" s="48">
        <f t="shared" ca="1" si="207"/>
        <v>1630.0492069977754</v>
      </c>
    </row>
    <row r="147" spans="1:22" x14ac:dyDescent="0.2">
      <c r="A147" s="55" t="s">
        <v>122</v>
      </c>
      <c r="B147" s="30" t="s">
        <v>63</v>
      </c>
      <c r="C147" s="47">
        <v>203.91285869999999</v>
      </c>
      <c r="D147" s="47">
        <v>70.856999999999999</v>
      </c>
      <c r="E147" s="47">
        <v>71.628433329999993</v>
      </c>
      <c r="F147" s="47">
        <v>69.21672615</v>
      </c>
      <c r="G147" s="47">
        <v>1.9530000000000001</v>
      </c>
      <c r="H147" s="47">
        <v>0</v>
      </c>
      <c r="I147" s="47">
        <v>0</v>
      </c>
      <c r="J147" s="47">
        <v>99.423000000000002</v>
      </c>
      <c r="K147" s="47"/>
      <c r="L147" s="47">
        <f t="shared" ref="L147:S156" ca="1" si="231">SUMIF($B$8:$K$8,L$8,$B147:$J147)</f>
        <v>70.856999999999999</v>
      </c>
      <c r="M147" s="47">
        <f t="shared" ca="1" si="231"/>
        <v>69.21672615</v>
      </c>
      <c r="N147" s="47">
        <f t="shared" ca="1" si="231"/>
        <v>0</v>
      </c>
      <c r="O147" s="47">
        <f t="shared" ca="1" si="231"/>
        <v>99.423000000000002</v>
      </c>
      <c r="P147" s="47"/>
      <c r="Q147" s="47">
        <f t="shared" ca="1" si="231"/>
        <v>69.21672615</v>
      </c>
      <c r="R147" s="47">
        <f t="shared" ca="1" si="231"/>
        <v>99.423000000000002</v>
      </c>
      <c r="S147" s="47">
        <f t="shared" ca="1" si="231"/>
        <v>99.423000000000002</v>
      </c>
      <c r="U147" s="80">
        <f t="shared" ca="1" si="206"/>
        <v>0.43640136611690927</v>
      </c>
      <c r="V147" s="47">
        <f t="shared" ca="1" si="207"/>
        <v>30.206273850000002</v>
      </c>
    </row>
    <row r="148" spans="1:22" x14ac:dyDescent="0.2">
      <c r="A148" s="55" t="s">
        <v>123</v>
      </c>
      <c r="B148" s="30" t="s">
        <v>42</v>
      </c>
      <c r="C148" s="47">
        <v>12.865319682295729</v>
      </c>
      <c r="D148" s="47">
        <v>15.677</v>
      </c>
      <c r="E148" s="47">
        <v>14.887476980000001</v>
      </c>
      <c r="F148" s="47">
        <v>18.731000000000002</v>
      </c>
      <c r="G148" s="47">
        <v>17.664999999999999</v>
      </c>
      <c r="H148" s="47">
        <v>20.044</v>
      </c>
      <c r="I148" s="47">
        <v>17.155000000000001</v>
      </c>
      <c r="J148" s="47">
        <v>18.137</v>
      </c>
      <c r="K148" s="47"/>
      <c r="L148" s="47">
        <f t="shared" ca="1" si="231"/>
        <v>15.677</v>
      </c>
      <c r="M148" s="47">
        <f t="shared" ca="1" si="231"/>
        <v>18.731000000000002</v>
      </c>
      <c r="N148" s="47">
        <f t="shared" ca="1" si="231"/>
        <v>20.044</v>
      </c>
      <c r="O148" s="47">
        <f t="shared" ca="1" si="231"/>
        <v>18.137</v>
      </c>
      <c r="P148" s="47"/>
      <c r="Q148" s="47">
        <f t="shared" ca="1" si="231"/>
        <v>18.731000000000002</v>
      </c>
      <c r="R148" s="47">
        <f t="shared" ca="1" si="231"/>
        <v>18.137</v>
      </c>
      <c r="S148" s="47">
        <f t="shared" ca="1" si="231"/>
        <v>18.137</v>
      </c>
      <c r="U148" s="80">
        <f t="shared" ca="1" si="206"/>
        <v>-3.1712134963429617E-2</v>
      </c>
      <c r="V148" s="47">
        <f t="shared" ca="1" si="207"/>
        <v>-0.59400000000000119</v>
      </c>
    </row>
    <row r="149" spans="1:22" x14ac:dyDescent="0.2">
      <c r="A149" s="55" t="s">
        <v>124</v>
      </c>
      <c r="B149" s="30" t="s">
        <v>64</v>
      </c>
      <c r="C149" s="47">
        <v>74.72390037999989</v>
      </c>
      <c r="D149" s="47">
        <v>91.790999999999997</v>
      </c>
      <c r="E149" s="47">
        <v>365.74376567000002</v>
      </c>
      <c r="F149" s="47">
        <v>379.447</v>
      </c>
      <c r="G149" s="47">
        <v>452.726</v>
      </c>
      <c r="H149" s="47">
        <v>653.37300000000005</v>
      </c>
      <c r="I149" s="47">
        <v>785.40499999999997</v>
      </c>
      <c r="J149" s="47">
        <v>1287.5899999999999</v>
      </c>
      <c r="K149" s="47"/>
      <c r="L149" s="47">
        <f t="shared" ca="1" si="231"/>
        <v>91.790999999999997</v>
      </c>
      <c r="M149" s="47">
        <f t="shared" ca="1" si="231"/>
        <v>379.447</v>
      </c>
      <c r="N149" s="47">
        <f t="shared" ca="1" si="231"/>
        <v>653.37300000000005</v>
      </c>
      <c r="O149" s="47">
        <f t="shared" ca="1" si="231"/>
        <v>1287.5899999999999</v>
      </c>
      <c r="P149" s="47"/>
      <c r="Q149" s="47">
        <f t="shared" ca="1" si="231"/>
        <v>379.447</v>
      </c>
      <c r="R149" s="47">
        <f t="shared" ca="1" si="231"/>
        <v>1287.5899999999999</v>
      </c>
      <c r="S149" s="47">
        <f t="shared" ca="1" si="231"/>
        <v>1287.5899999999999</v>
      </c>
      <c r="U149" s="80">
        <f t="shared" ca="1" si="206"/>
        <v>2.393332929236494</v>
      </c>
      <c r="V149" s="47">
        <f t="shared" ca="1" si="207"/>
        <v>908.14299999999992</v>
      </c>
    </row>
    <row r="150" spans="1:22" x14ac:dyDescent="0.2">
      <c r="A150" s="55" t="s">
        <v>125</v>
      </c>
      <c r="B150" s="30" t="s">
        <v>65</v>
      </c>
      <c r="C150" s="47">
        <v>305.02170081999992</v>
      </c>
      <c r="D150" s="47">
        <v>258.548</v>
      </c>
      <c r="E150" s="47">
        <v>180.54346343</v>
      </c>
      <c r="F150" s="47">
        <v>141.67400000000001</v>
      </c>
      <c r="G150" s="47">
        <v>435.88</v>
      </c>
      <c r="H150" s="47">
        <v>380.33</v>
      </c>
      <c r="I150" s="47">
        <v>427.88200000000001</v>
      </c>
      <c r="J150" s="47">
        <v>733.19299999999998</v>
      </c>
      <c r="K150" s="47"/>
      <c r="L150" s="47">
        <f t="shared" ca="1" si="231"/>
        <v>258.548</v>
      </c>
      <c r="M150" s="47">
        <f t="shared" ca="1" si="231"/>
        <v>141.67400000000001</v>
      </c>
      <c r="N150" s="47">
        <f t="shared" ca="1" si="231"/>
        <v>380.33</v>
      </c>
      <c r="O150" s="47">
        <f t="shared" ca="1" si="231"/>
        <v>733.19299999999998</v>
      </c>
      <c r="P150" s="47"/>
      <c r="Q150" s="47">
        <f t="shared" ca="1" si="231"/>
        <v>141.67400000000001</v>
      </c>
      <c r="R150" s="47">
        <f t="shared" ca="1" si="231"/>
        <v>733.19299999999998</v>
      </c>
      <c r="S150" s="47">
        <f t="shared" ca="1" si="231"/>
        <v>733.19299999999998</v>
      </c>
      <c r="U150" s="80">
        <f t="shared" ca="1" si="206"/>
        <v>4.175212106667419</v>
      </c>
      <c r="V150" s="47">
        <f t="shared" ca="1" si="207"/>
        <v>591.51900000000001</v>
      </c>
    </row>
    <row r="151" spans="1:22" x14ac:dyDescent="0.2">
      <c r="A151" s="55" t="s">
        <v>126</v>
      </c>
      <c r="B151" s="30" t="s">
        <v>66</v>
      </c>
      <c r="C151" s="47">
        <v>83.587815729999917</v>
      </c>
      <c r="D151" s="47">
        <v>100.76</v>
      </c>
      <c r="E151" s="47">
        <v>118.12834845</v>
      </c>
      <c r="F151" s="47">
        <v>135.68299999999999</v>
      </c>
      <c r="G151" s="47">
        <v>183.50700000000001</v>
      </c>
      <c r="H151" s="47">
        <v>208.995</v>
      </c>
      <c r="I151" s="47">
        <v>214.14599999999999</v>
      </c>
      <c r="J151" s="47">
        <v>231.369</v>
      </c>
      <c r="K151" s="47"/>
      <c r="L151" s="47">
        <f t="shared" ca="1" si="231"/>
        <v>100.76</v>
      </c>
      <c r="M151" s="47">
        <f t="shared" ca="1" si="231"/>
        <v>135.68299999999999</v>
      </c>
      <c r="N151" s="47">
        <f t="shared" ca="1" si="231"/>
        <v>208.995</v>
      </c>
      <c r="O151" s="47">
        <f t="shared" ca="1" si="231"/>
        <v>231.369</v>
      </c>
      <c r="P151" s="47"/>
      <c r="Q151" s="47">
        <f t="shared" ca="1" si="231"/>
        <v>135.68299999999999</v>
      </c>
      <c r="R151" s="47">
        <f t="shared" ca="1" si="231"/>
        <v>231.369</v>
      </c>
      <c r="S151" s="47">
        <f t="shared" ca="1" si="231"/>
        <v>231.369</v>
      </c>
      <c r="U151" s="80">
        <f t="shared" ca="1" si="206"/>
        <v>0.70521730798994731</v>
      </c>
      <c r="V151" s="47">
        <f t="shared" ca="1" si="207"/>
        <v>95.686000000000007</v>
      </c>
    </row>
    <row r="152" spans="1:22" x14ac:dyDescent="0.2">
      <c r="A152" s="55" t="s">
        <v>127</v>
      </c>
      <c r="B152" s="30" t="s">
        <v>73</v>
      </c>
      <c r="C152" s="47">
        <v>28.285510549999994</v>
      </c>
      <c r="D152" s="47">
        <v>28.981000000000002</v>
      </c>
      <c r="E152" s="47">
        <v>32.435756580000003</v>
      </c>
      <c r="F152" s="47">
        <v>31.945974329999999</v>
      </c>
      <c r="G152" s="47">
        <v>33.994999999999997</v>
      </c>
      <c r="H152" s="47">
        <v>31.010999999999999</v>
      </c>
      <c r="I152" s="47">
        <v>31.975000000000001</v>
      </c>
      <c r="J152" s="47">
        <v>32.924999999999997</v>
      </c>
      <c r="K152" s="47"/>
      <c r="L152" s="47">
        <f t="shared" ca="1" si="231"/>
        <v>28.981000000000002</v>
      </c>
      <c r="M152" s="47">
        <f t="shared" ca="1" si="231"/>
        <v>31.945974329999999</v>
      </c>
      <c r="N152" s="47">
        <f t="shared" ca="1" si="231"/>
        <v>31.010999999999999</v>
      </c>
      <c r="O152" s="47">
        <f t="shared" ca="1" si="231"/>
        <v>32.924999999999997</v>
      </c>
      <c r="P152" s="47"/>
      <c r="Q152" s="47">
        <f t="shared" ca="1" si="231"/>
        <v>31.945974329999999</v>
      </c>
      <c r="R152" s="47">
        <f t="shared" ca="1" si="231"/>
        <v>32.924999999999997</v>
      </c>
      <c r="S152" s="47">
        <f t="shared" ca="1" si="231"/>
        <v>32.924999999999997</v>
      </c>
      <c r="U152" s="80">
        <f t="shared" ca="1" si="206"/>
        <v>3.0646292389980623E-2</v>
      </c>
      <c r="V152" s="47">
        <f t="shared" ca="1" si="207"/>
        <v>0.97902566999999863</v>
      </c>
    </row>
    <row r="153" spans="1:22" x14ac:dyDescent="0.2">
      <c r="A153" s="55" t="s">
        <v>128</v>
      </c>
      <c r="B153" s="30" t="s">
        <v>70</v>
      </c>
      <c r="C153" s="47">
        <v>282.28379395439276</v>
      </c>
      <c r="D153" s="47">
        <v>222.541</v>
      </c>
      <c r="E153" s="47">
        <v>272.05977726357816</v>
      </c>
      <c r="F153" s="47">
        <v>225.73314738096377</v>
      </c>
      <c r="G153" s="47">
        <v>228.05500000000001</v>
      </c>
      <c r="H153" s="47">
        <v>235.858</v>
      </c>
      <c r="I153" s="47">
        <v>241</v>
      </c>
      <c r="J153" s="47">
        <v>246.898</v>
      </c>
      <c r="K153" s="47"/>
      <c r="L153" s="47">
        <f t="shared" ca="1" si="231"/>
        <v>222.541</v>
      </c>
      <c r="M153" s="47">
        <f t="shared" ca="1" si="231"/>
        <v>225.73314738096377</v>
      </c>
      <c r="N153" s="47">
        <f t="shared" ca="1" si="231"/>
        <v>235.858</v>
      </c>
      <c r="O153" s="47">
        <f t="shared" ca="1" si="231"/>
        <v>246.898</v>
      </c>
      <c r="P153" s="47"/>
      <c r="Q153" s="47">
        <f t="shared" ca="1" si="231"/>
        <v>225.73314738096377</v>
      </c>
      <c r="R153" s="47">
        <f t="shared" ca="1" si="231"/>
        <v>246.898</v>
      </c>
      <c r="S153" s="47">
        <f t="shared" ca="1" si="231"/>
        <v>246.898</v>
      </c>
      <c r="U153" s="80">
        <f t="shared" ca="1" si="206"/>
        <v>9.3760499353322091E-2</v>
      </c>
      <c r="V153" s="47">
        <f t="shared" ca="1" si="207"/>
        <v>21.164852619036225</v>
      </c>
    </row>
    <row r="154" spans="1:22" x14ac:dyDescent="0.2">
      <c r="A154" s="55" t="s">
        <v>129</v>
      </c>
      <c r="B154" s="30" t="s">
        <v>55</v>
      </c>
      <c r="C154" s="47">
        <v>22.534603630000014</v>
      </c>
      <c r="D154" s="47">
        <v>26.593</v>
      </c>
      <c r="E154" s="47">
        <v>20.166298399999992</v>
      </c>
      <c r="F154" s="47">
        <v>12.743201969999994</v>
      </c>
      <c r="G154" s="47">
        <v>14.194000000000001</v>
      </c>
      <c r="H154" s="47">
        <v>9.8170000000000002</v>
      </c>
      <c r="I154" s="47">
        <v>9.1489999999999991</v>
      </c>
      <c r="J154" s="47">
        <v>8.9420000000000002</v>
      </c>
      <c r="K154" s="47"/>
      <c r="L154" s="47">
        <f t="shared" ca="1" si="231"/>
        <v>26.593</v>
      </c>
      <c r="M154" s="47">
        <f t="shared" ca="1" si="231"/>
        <v>12.743201969999994</v>
      </c>
      <c r="N154" s="47">
        <f t="shared" ca="1" si="231"/>
        <v>9.8170000000000002</v>
      </c>
      <c r="O154" s="47">
        <f t="shared" ca="1" si="231"/>
        <v>8.9420000000000002</v>
      </c>
      <c r="P154" s="47"/>
      <c r="Q154" s="47">
        <f t="shared" ca="1" si="231"/>
        <v>12.743201969999994</v>
      </c>
      <c r="R154" s="47">
        <f t="shared" ca="1" si="231"/>
        <v>8.9420000000000002</v>
      </c>
      <c r="S154" s="47">
        <f t="shared" ca="1" si="231"/>
        <v>8.9420000000000002</v>
      </c>
      <c r="U154" s="80">
        <f t="shared" ca="1" si="206"/>
        <v>-0.2982925311039385</v>
      </c>
      <c r="V154" s="47">
        <f t="shared" ca="1" si="207"/>
        <v>-3.8012019699999939</v>
      </c>
    </row>
    <row r="155" spans="1:22" x14ac:dyDescent="0.2">
      <c r="A155" s="55" t="s">
        <v>130</v>
      </c>
      <c r="B155" s="30" t="s">
        <v>71</v>
      </c>
      <c r="C155" s="47">
        <v>93.377455909999981</v>
      </c>
      <c r="D155" s="47">
        <v>87.498000000000005</v>
      </c>
      <c r="E155" s="47">
        <v>85.439063460000014</v>
      </c>
      <c r="F155" s="47">
        <v>78.814126970000018</v>
      </c>
      <c r="G155" s="47">
        <v>77.861000000000004</v>
      </c>
      <c r="H155" s="47">
        <v>72.472999999999999</v>
      </c>
      <c r="I155" s="47">
        <v>73.820999999999998</v>
      </c>
      <c r="J155" s="47">
        <v>68.394000000000005</v>
      </c>
      <c r="K155" s="47"/>
      <c r="L155" s="47">
        <f t="shared" ca="1" si="231"/>
        <v>87.498000000000005</v>
      </c>
      <c r="M155" s="47">
        <f t="shared" ca="1" si="231"/>
        <v>78.814126970000018</v>
      </c>
      <c r="N155" s="47">
        <f t="shared" ca="1" si="231"/>
        <v>72.472999999999999</v>
      </c>
      <c r="O155" s="47">
        <f t="shared" ca="1" si="231"/>
        <v>68.394000000000005</v>
      </c>
      <c r="P155" s="47"/>
      <c r="Q155" s="47">
        <f t="shared" ca="1" si="231"/>
        <v>78.814126970000018</v>
      </c>
      <c r="R155" s="47">
        <f t="shared" ca="1" si="231"/>
        <v>68.394000000000005</v>
      </c>
      <c r="S155" s="47">
        <f t="shared" ca="1" si="231"/>
        <v>68.394000000000005</v>
      </c>
      <c r="U155" s="80">
        <f t="shared" ca="1" si="206"/>
        <v>-0.13221141146391624</v>
      </c>
      <c r="V155" s="47">
        <f t="shared" ca="1" si="207"/>
        <v>-10.420126970000013</v>
      </c>
    </row>
    <row r="156" spans="1:22" x14ac:dyDescent="0.2">
      <c r="A156" s="55" t="s">
        <v>131</v>
      </c>
      <c r="B156" s="30" t="s">
        <v>72</v>
      </c>
      <c r="C156" s="47">
        <v>25.558760755825265</v>
      </c>
      <c r="D156" s="47">
        <v>25.626000000000001</v>
      </c>
      <c r="E156" s="47">
        <v>25.65715058692102</v>
      </c>
      <c r="F156" s="47">
        <v>21.725616201261005</v>
      </c>
      <c r="G156" s="47">
        <v>21.946999999999999</v>
      </c>
      <c r="H156" s="47">
        <v>21.648</v>
      </c>
      <c r="I156" s="47">
        <v>19.474</v>
      </c>
      <c r="J156" s="47">
        <v>18.891999999999999</v>
      </c>
      <c r="K156" s="47"/>
      <c r="L156" s="47">
        <f t="shared" ca="1" si="231"/>
        <v>25.626000000000001</v>
      </c>
      <c r="M156" s="47">
        <f t="shared" ca="1" si="231"/>
        <v>21.725616201261005</v>
      </c>
      <c r="N156" s="47">
        <f t="shared" ca="1" si="231"/>
        <v>21.648</v>
      </c>
      <c r="O156" s="47">
        <f t="shared" ca="1" si="231"/>
        <v>18.891999999999999</v>
      </c>
      <c r="P156" s="47"/>
      <c r="Q156" s="47">
        <f t="shared" ca="1" si="231"/>
        <v>21.725616201261005</v>
      </c>
      <c r="R156" s="47">
        <f t="shared" ca="1" si="231"/>
        <v>18.891999999999999</v>
      </c>
      <c r="S156" s="47">
        <f t="shared" ca="1" si="231"/>
        <v>18.891999999999999</v>
      </c>
      <c r="U156" s="80">
        <f t="shared" ca="1" si="206"/>
        <v>-0.13042742608591862</v>
      </c>
      <c r="V156" s="47">
        <f t="shared" ca="1" si="207"/>
        <v>-2.8336162012610053</v>
      </c>
    </row>
    <row r="157" spans="1:22" ht="5.0999999999999996" customHeight="1" x14ac:dyDescent="0.2"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U157" s="80" t="str">
        <f t="shared" si="206"/>
        <v/>
      </c>
      <c r="V157" s="47">
        <f t="shared" si="207"/>
        <v>0</v>
      </c>
    </row>
    <row r="158" spans="1:22" s="10" customFormat="1" x14ac:dyDescent="0.2">
      <c r="A158" s="58"/>
      <c r="B158" s="31" t="s">
        <v>74</v>
      </c>
      <c r="C158" s="48">
        <f t="shared" ref="C158:J158" si="232">SUM(C159:C163)</f>
        <v>775.24748531690227</v>
      </c>
      <c r="D158" s="48">
        <f t="shared" si="232"/>
        <v>802.25900000000001</v>
      </c>
      <c r="E158" s="48">
        <f t="shared" si="232"/>
        <v>769.36849348678379</v>
      </c>
      <c r="F158" s="48">
        <f t="shared" si="232"/>
        <v>792.00829132802573</v>
      </c>
      <c r="G158" s="48">
        <f t="shared" si="232"/>
        <v>887.30600000000004</v>
      </c>
      <c r="H158" s="48">
        <f t="shared" si="232"/>
        <v>1001.169</v>
      </c>
      <c r="I158" s="48">
        <f t="shared" si="232"/>
        <v>729.96500000000003</v>
      </c>
      <c r="J158" s="48">
        <f t="shared" si="232"/>
        <v>722.375</v>
      </c>
      <c r="K158" s="46"/>
      <c r="L158" s="48">
        <f ca="1">SUM(L159:L163)</f>
        <v>802.25900000000001</v>
      </c>
      <c r="M158" s="48">
        <f ca="1">SUM(M159:M163)</f>
        <v>792.00829132802573</v>
      </c>
      <c r="N158" s="48">
        <f ca="1">SUM(N159:N163)</f>
        <v>1001.169</v>
      </c>
      <c r="O158" s="48">
        <f ca="1">SUM(O159:O163)</f>
        <v>722.375</v>
      </c>
      <c r="P158" s="46"/>
      <c r="Q158" s="48">
        <f ca="1">SUM(Q159:Q163)</f>
        <v>792.00829132802573</v>
      </c>
      <c r="R158" s="48">
        <f ca="1">SUM(R159:R163)</f>
        <v>722.375</v>
      </c>
      <c r="S158" s="48">
        <f ca="1">SUM(S159:S163)</f>
        <v>722.375</v>
      </c>
      <c r="U158" s="79">
        <f t="shared" ca="1" si="206"/>
        <v>-8.7919901963735558E-2</v>
      </c>
      <c r="V158" s="48">
        <f t="shared" ca="1" si="207"/>
        <v>-69.633291328025734</v>
      </c>
    </row>
    <row r="159" spans="1:22" x14ac:dyDescent="0.2">
      <c r="A159" s="55" t="s">
        <v>132</v>
      </c>
      <c r="B159" s="30" t="s">
        <v>75</v>
      </c>
      <c r="C159" s="47">
        <v>566.76189658679971</v>
      </c>
      <c r="D159" s="47">
        <v>537.745</v>
      </c>
      <c r="E159" s="47">
        <v>524.37957615999994</v>
      </c>
      <c r="F159" s="47">
        <v>524.37957615999994</v>
      </c>
      <c r="G159" s="47">
        <v>540.45600000000002</v>
      </c>
      <c r="H159" s="47">
        <v>540.45600000000002</v>
      </c>
      <c r="I159" s="47">
        <v>540.45600000000002</v>
      </c>
      <c r="J159" s="47">
        <v>540.45600000000002</v>
      </c>
      <c r="K159" s="47"/>
      <c r="L159" s="47">
        <f t="shared" ref="L159:S163" ca="1" si="233">SUMIF($B$8:$K$8,L$8,$B159:$J159)</f>
        <v>537.745</v>
      </c>
      <c r="M159" s="47">
        <f t="shared" ca="1" si="233"/>
        <v>524.37957615999994</v>
      </c>
      <c r="N159" s="47">
        <f t="shared" ca="1" si="233"/>
        <v>540.45600000000002</v>
      </c>
      <c r="O159" s="47">
        <f t="shared" ca="1" si="233"/>
        <v>540.45600000000002</v>
      </c>
      <c r="P159" s="47"/>
      <c r="Q159" s="47">
        <f t="shared" ca="1" si="233"/>
        <v>524.37957615999994</v>
      </c>
      <c r="R159" s="47">
        <f t="shared" ca="1" si="233"/>
        <v>540.45600000000002</v>
      </c>
      <c r="S159" s="47">
        <f t="shared" ca="1" si="233"/>
        <v>540.45600000000002</v>
      </c>
      <c r="U159" s="80">
        <f t="shared" ca="1" si="206"/>
        <v>3.0657990072242569E-2</v>
      </c>
      <c r="V159" s="47">
        <f t="shared" ca="1" si="207"/>
        <v>16.076423840000075</v>
      </c>
    </row>
    <row r="160" spans="1:22" x14ac:dyDescent="0.2">
      <c r="A160" s="55" t="s">
        <v>133</v>
      </c>
      <c r="B160" s="30" t="s">
        <v>76</v>
      </c>
      <c r="C160" s="47">
        <v>-2.1728485347000004E-2</v>
      </c>
      <c r="D160" s="47">
        <v>0.38300000000000001</v>
      </c>
      <c r="E160" s="47">
        <v>121.69</v>
      </c>
      <c r="F160" s="47">
        <v>-0.41547915000000002</v>
      </c>
      <c r="G160" s="47">
        <v>-12.686999999999999</v>
      </c>
      <c r="H160" s="47">
        <v>-12.67</v>
      </c>
      <c r="I160" s="47">
        <v>-19.861999999999998</v>
      </c>
      <c r="J160" s="47">
        <v>-21.766999999999999</v>
      </c>
      <c r="K160" s="47"/>
      <c r="L160" s="47">
        <f t="shared" ca="1" si="233"/>
        <v>0.38300000000000001</v>
      </c>
      <c r="M160" s="47">
        <f t="shared" ca="1" si="233"/>
        <v>-0.41547915000000002</v>
      </c>
      <c r="N160" s="47">
        <f t="shared" ca="1" si="233"/>
        <v>-12.67</v>
      </c>
      <c r="O160" s="47">
        <f t="shared" ca="1" si="233"/>
        <v>-21.766999999999999</v>
      </c>
      <c r="P160" s="47"/>
      <c r="Q160" s="47">
        <f t="shared" ca="1" si="233"/>
        <v>-0.41547915000000002</v>
      </c>
      <c r="R160" s="47">
        <f t="shared" ca="1" si="233"/>
        <v>-21.766999999999999</v>
      </c>
      <c r="S160" s="47">
        <f t="shared" ca="1" si="233"/>
        <v>-21.766999999999999</v>
      </c>
      <c r="U160" s="80">
        <f t="shared" ca="1" si="206"/>
        <v>51.390113920277344</v>
      </c>
      <c r="V160" s="47">
        <f t="shared" ca="1" si="207"/>
        <v>-21.35152085</v>
      </c>
    </row>
    <row r="161" spans="1:22" x14ac:dyDescent="0.2">
      <c r="A161" s="55" t="s">
        <v>134</v>
      </c>
      <c r="B161" s="30" t="s">
        <v>77</v>
      </c>
      <c r="C161" s="47">
        <v>-0.76300000000000001</v>
      </c>
      <c r="D161" s="47">
        <v>-0.76300000000000001</v>
      </c>
      <c r="E161" s="47">
        <v>-4.4560870900000005</v>
      </c>
      <c r="F161" s="47">
        <v>-0.76300000000000001</v>
      </c>
      <c r="G161" s="47">
        <v>-0.76300000000000001</v>
      </c>
      <c r="H161" s="47">
        <v>-0.76300000000000001</v>
      </c>
      <c r="I161" s="47">
        <v>-0.76300000000000001</v>
      </c>
      <c r="J161" s="47">
        <v>-0.76300000000000001</v>
      </c>
      <c r="K161" s="47"/>
      <c r="L161" s="47">
        <f t="shared" ca="1" si="233"/>
        <v>-0.76300000000000001</v>
      </c>
      <c r="M161" s="47">
        <f t="shared" ca="1" si="233"/>
        <v>-0.76300000000000001</v>
      </c>
      <c r="N161" s="47">
        <f t="shared" ca="1" si="233"/>
        <v>-0.76300000000000001</v>
      </c>
      <c r="O161" s="47">
        <f t="shared" ca="1" si="233"/>
        <v>-0.76300000000000001</v>
      </c>
      <c r="P161" s="47"/>
      <c r="Q161" s="47">
        <f t="shared" ca="1" si="233"/>
        <v>-0.76300000000000001</v>
      </c>
      <c r="R161" s="47">
        <f t="shared" ca="1" si="233"/>
        <v>-0.76300000000000001</v>
      </c>
      <c r="S161" s="47">
        <f t="shared" ca="1" si="233"/>
        <v>-0.76300000000000001</v>
      </c>
      <c r="U161" s="80">
        <f t="shared" ca="1" si="206"/>
        <v>0</v>
      </c>
      <c r="V161" s="47">
        <f t="shared" ca="1" si="207"/>
        <v>0</v>
      </c>
    </row>
    <row r="162" spans="1:22" x14ac:dyDescent="0.2">
      <c r="A162" s="55" t="s">
        <v>135</v>
      </c>
      <c r="B162" s="30" t="s">
        <v>78</v>
      </c>
      <c r="C162" s="47">
        <v>122.42944949999999</v>
      </c>
      <c r="D162" s="47">
        <v>174.648</v>
      </c>
      <c r="E162" s="47">
        <v>33.256999999999998</v>
      </c>
      <c r="F162" s="47">
        <v>196.06100000000001</v>
      </c>
      <c r="G162" s="47">
        <v>282.14400000000001</v>
      </c>
      <c r="H162" s="47">
        <v>393.30799999999999</v>
      </c>
      <c r="I162" s="47">
        <v>122.727</v>
      </c>
      <c r="J162" s="47">
        <v>125.499</v>
      </c>
      <c r="K162" s="47"/>
      <c r="L162" s="47">
        <f t="shared" ca="1" si="233"/>
        <v>174.648</v>
      </c>
      <c r="M162" s="47">
        <f t="shared" ca="1" si="233"/>
        <v>196.06100000000001</v>
      </c>
      <c r="N162" s="47">
        <f t="shared" ca="1" si="233"/>
        <v>393.30799999999999</v>
      </c>
      <c r="O162" s="47">
        <f t="shared" ca="1" si="233"/>
        <v>125.499</v>
      </c>
      <c r="P162" s="47"/>
      <c r="Q162" s="47">
        <f t="shared" ca="1" si="233"/>
        <v>196.06100000000001</v>
      </c>
      <c r="R162" s="47">
        <f t="shared" ca="1" si="233"/>
        <v>125.499</v>
      </c>
      <c r="S162" s="47">
        <f t="shared" ca="1" si="233"/>
        <v>125.499</v>
      </c>
      <c r="U162" s="80">
        <f t="shared" ca="1" si="206"/>
        <v>-0.35989819494953101</v>
      </c>
      <c r="V162" s="47">
        <f t="shared" ca="1" si="207"/>
        <v>-70.562000000000012</v>
      </c>
    </row>
    <row r="163" spans="1:22" x14ac:dyDescent="0.2">
      <c r="A163" s="55" t="s">
        <v>136</v>
      </c>
      <c r="B163" s="30" t="s">
        <v>79</v>
      </c>
      <c r="C163" s="47">
        <v>86.840867715449548</v>
      </c>
      <c r="D163" s="47">
        <v>90.245999999999995</v>
      </c>
      <c r="E163" s="47">
        <v>94.4980044167838</v>
      </c>
      <c r="F163" s="47">
        <v>72.746194318025815</v>
      </c>
      <c r="G163" s="47">
        <v>78.156000000000006</v>
      </c>
      <c r="H163" s="47">
        <v>80.837999999999994</v>
      </c>
      <c r="I163" s="47">
        <v>87.406999999999996</v>
      </c>
      <c r="J163" s="47">
        <v>78.95</v>
      </c>
      <c r="K163" s="47"/>
      <c r="L163" s="47">
        <f t="shared" ca="1" si="233"/>
        <v>90.245999999999995</v>
      </c>
      <c r="M163" s="47">
        <f t="shared" ca="1" si="233"/>
        <v>72.746194318025815</v>
      </c>
      <c r="N163" s="47">
        <f t="shared" ca="1" si="233"/>
        <v>80.837999999999994</v>
      </c>
      <c r="O163" s="47">
        <f t="shared" ca="1" si="233"/>
        <v>78.95</v>
      </c>
      <c r="P163" s="47"/>
      <c r="Q163" s="47">
        <f t="shared" ca="1" si="233"/>
        <v>72.746194318025815</v>
      </c>
      <c r="R163" s="47">
        <f t="shared" ca="1" si="233"/>
        <v>78.95</v>
      </c>
      <c r="S163" s="47">
        <f t="shared" ca="1" si="233"/>
        <v>78.95</v>
      </c>
      <c r="U163" s="80">
        <f t="shared" ca="1" si="206"/>
        <v>8.5280140633239299E-2</v>
      </c>
      <c r="V163" s="47">
        <f t="shared" ca="1" si="207"/>
        <v>6.2038056819741882</v>
      </c>
    </row>
    <row r="165" spans="1:22" s="18" customFormat="1" ht="15" x14ac:dyDescent="0.2">
      <c r="A165" s="56"/>
      <c r="B165" s="19" t="s">
        <v>137</v>
      </c>
      <c r="C165" s="20"/>
      <c r="D165" s="20"/>
      <c r="E165" s="20"/>
      <c r="F165" s="20"/>
      <c r="G165" s="20"/>
      <c r="H165" s="20"/>
      <c r="I165" s="20"/>
      <c r="J165" s="20"/>
      <c r="K165" s="17"/>
      <c r="L165" s="20"/>
      <c r="M165" s="20"/>
      <c r="N165" s="20"/>
      <c r="O165" s="20"/>
      <c r="P165" s="17"/>
      <c r="Q165" s="21"/>
      <c r="R165" s="21"/>
      <c r="S165" s="21"/>
      <c r="U165" s="21"/>
      <c r="V165" s="21"/>
    </row>
    <row r="167" spans="1:22" s="10" customFormat="1" x14ac:dyDescent="0.2">
      <c r="A167" s="58"/>
      <c r="B167" s="40" t="s">
        <v>138</v>
      </c>
      <c r="C167" s="42"/>
      <c r="D167" s="42"/>
      <c r="E167" s="42"/>
      <c r="F167" s="42"/>
      <c r="G167" s="42"/>
      <c r="H167" s="42"/>
      <c r="I167" s="42"/>
      <c r="J167" s="42"/>
      <c r="K167" s="9"/>
      <c r="L167" s="9"/>
      <c r="M167" s="9"/>
      <c r="N167" s="9"/>
      <c r="O167" s="9"/>
      <c r="P167" s="9"/>
      <c r="Q167" s="9"/>
      <c r="R167" s="9"/>
      <c r="S167" s="9"/>
      <c r="U167" s="9"/>
      <c r="V167" s="9"/>
    </row>
    <row r="168" spans="1:22" x14ac:dyDescent="0.2">
      <c r="B168" s="41"/>
      <c r="C168" s="35"/>
      <c r="D168" s="35"/>
      <c r="E168" s="35"/>
      <c r="F168" s="35"/>
      <c r="G168" s="35"/>
      <c r="H168" s="35"/>
      <c r="I168" s="35"/>
      <c r="J168" s="35"/>
    </row>
    <row r="169" spans="1:22" s="34" customFormat="1" x14ac:dyDescent="0.2">
      <c r="A169" s="60"/>
      <c r="B169" s="33" t="s">
        <v>32</v>
      </c>
      <c r="C169" s="51">
        <v>87.785538118858184</v>
      </c>
      <c r="D169" s="51">
        <v>76.799461881141823</v>
      </c>
      <c r="E169" s="51">
        <v>119.113</v>
      </c>
      <c r="F169" s="51">
        <v>70.863</v>
      </c>
      <c r="G169" s="51">
        <v>136.27000000000001</v>
      </c>
      <c r="H169" s="51">
        <v>168.29599999999999</v>
      </c>
      <c r="I169" s="51">
        <v>183.024</v>
      </c>
      <c r="J169" s="51">
        <v>156.74600000000001</v>
      </c>
      <c r="K169" s="52"/>
      <c r="L169" s="51">
        <f ca="1">SUMIF($B$7:$K$7,L$4,$B169:$J169)</f>
        <v>164.58500000000001</v>
      </c>
      <c r="M169" s="51">
        <f t="shared" ref="M169:O184" ca="1" si="234">SUMIF($B$7:$K$7,M$4,$B169:$J169)</f>
        <v>189.976</v>
      </c>
      <c r="N169" s="51">
        <f t="shared" ca="1" si="234"/>
        <v>304.56600000000003</v>
      </c>
      <c r="O169" s="51">
        <f t="shared" ca="1" si="234"/>
        <v>339.77</v>
      </c>
      <c r="P169" s="52"/>
      <c r="Q169" s="51">
        <f ca="1">SUMIF($B$6:$K$6,Q$4,$B169:$J169)</f>
        <v>354.56099999999998</v>
      </c>
      <c r="R169" s="51">
        <f t="shared" ref="R169:R233" ca="1" si="235">SUMIF($B$6:$K$6,R$4,$B169:$J169)</f>
        <v>644.33600000000001</v>
      </c>
      <c r="S169" s="51">
        <f t="shared" ref="S169:S217" si="236">SUMIFS($B169:$K169,$B$8:$K$8,"&gt;="&amp;$S$7,$B$8:$K$8,"&lt;="&amp;$S$8)</f>
        <v>644.33600000000001</v>
      </c>
      <c r="U169" s="81">
        <f t="shared" ref="U169:U200" ca="1" si="237">IFERROR(SUMIF($C$4:$T$4,$U$2,$C169:$T169)/SUMIF($C$4:$T$4,$V$2,$C169:$T169)-1,"")</f>
        <v>0.81727826805542647</v>
      </c>
      <c r="V169" s="45">
        <f t="shared" ref="V169:V200" ca="1" si="238">SUMIF($C$4:$T$4,$U$2,$C169:$T169)-SUMIF($C$4:$T$4,$V$2,$C169:$T169)</f>
        <v>289.77500000000003</v>
      </c>
    </row>
    <row r="170" spans="1:22" x14ac:dyDescent="0.2">
      <c r="B170" s="41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U170" s="80" t="str">
        <f t="shared" si="237"/>
        <v/>
      </c>
      <c r="V170" s="47">
        <f t="shared" si="238"/>
        <v>0</v>
      </c>
    </row>
    <row r="171" spans="1:22" s="10" customFormat="1" x14ac:dyDescent="0.2">
      <c r="A171" s="58"/>
      <c r="B171" s="43" t="s">
        <v>139</v>
      </c>
      <c r="C171" s="48">
        <f>SUM(C172:C187)</f>
        <v>5.7485104011415444</v>
      </c>
      <c r="D171" s="48">
        <f t="shared" ref="D171:J171" si="239">SUM(D172:D187)</f>
        <v>10.273898638858512</v>
      </c>
      <c r="E171" s="48">
        <f t="shared" si="239"/>
        <v>-0.46233725000000925</v>
      </c>
      <c r="F171" s="48">
        <f t="shared" si="239"/>
        <v>107.63956618999994</v>
      </c>
      <c r="G171" s="48">
        <f t="shared" si="239"/>
        <v>16.159905269999999</v>
      </c>
      <c r="H171" s="48">
        <f t="shared" si="239"/>
        <v>-55.151072860000006</v>
      </c>
      <c r="I171" s="48">
        <f t="shared" si="239"/>
        <v>22.27901134</v>
      </c>
      <c r="J171" s="48">
        <f t="shared" si="239"/>
        <v>43.66815625000001</v>
      </c>
      <c r="K171" s="46"/>
      <c r="L171" s="48">
        <f t="shared" ref="L171:L180" ca="1" si="240">SUMIF($B$7:$K$7,L$4,$B171:$J171)</f>
        <v>16.022409040000056</v>
      </c>
      <c r="M171" s="48">
        <f t="shared" ca="1" si="234"/>
        <v>107.17722893999994</v>
      </c>
      <c r="N171" s="48">
        <f t="shared" ca="1" si="234"/>
        <v>-38.991167590000003</v>
      </c>
      <c r="O171" s="48">
        <f t="shared" ca="1" si="234"/>
        <v>65.947167590000006</v>
      </c>
      <c r="P171" s="46"/>
      <c r="Q171" s="48">
        <f t="shared" ref="Q171:Q180" ca="1" si="241">SUMIF($B$6:$K$6,Q$4,$B171:$J171)</f>
        <v>123.19963797999999</v>
      </c>
      <c r="R171" s="48">
        <f t="shared" ca="1" si="235"/>
        <v>26.956000000000007</v>
      </c>
      <c r="S171" s="48">
        <f t="shared" si="236"/>
        <v>26.956000000000007</v>
      </c>
      <c r="U171" s="79">
        <f t="shared" ca="1" si="237"/>
        <v>-0.78120065576510866</v>
      </c>
      <c r="V171" s="48">
        <f t="shared" ca="1" si="238"/>
        <v>-96.243637979999988</v>
      </c>
    </row>
    <row r="172" spans="1:22" x14ac:dyDescent="0.2">
      <c r="B172" s="14" t="s">
        <v>27</v>
      </c>
      <c r="C172" s="47">
        <v>23.209569680000001</v>
      </c>
      <c r="D172" s="47">
        <v>20.900430319999998</v>
      </c>
      <c r="E172" s="47">
        <v>30.366</v>
      </c>
      <c r="F172" s="47">
        <v>20.213000000000001</v>
      </c>
      <c r="G172" s="47">
        <v>18.222999999999999</v>
      </c>
      <c r="H172" s="47">
        <v>17.469000000000001</v>
      </c>
      <c r="I172" s="47">
        <v>17.498999999999999</v>
      </c>
      <c r="J172" s="47">
        <v>16.512</v>
      </c>
      <c r="K172" s="47"/>
      <c r="L172" s="47">
        <f t="shared" ca="1" si="240"/>
        <v>44.11</v>
      </c>
      <c r="M172" s="47">
        <f t="shared" ca="1" si="234"/>
        <v>50.579000000000001</v>
      </c>
      <c r="N172" s="47">
        <f t="shared" ca="1" si="234"/>
        <v>35.692</v>
      </c>
      <c r="O172" s="47">
        <f t="shared" ca="1" si="234"/>
        <v>34.010999999999996</v>
      </c>
      <c r="P172" s="47"/>
      <c r="Q172" s="47">
        <f t="shared" ca="1" si="241"/>
        <v>94.688999999999993</v>
      </c>
      <c r="R172" s="47">
        <f t="shared" ca="1" si="235"/>
        <v>69.703000000000003</v>
      </c>
      <c r="S172" s="47">
        <f t="shared" si="236"/>
        <v>69.703000000000003</v>
      </c>
      <c r="U172" s="80">
        <f t="shared" ca="1" si="237"/>
        <v>-0.26387436766678274</v>
      </c>
      <c r="V172" s="47">
        <f t="shared" ca="1" si="238"/>
        <v>-24.98599999999999</v>
      </c>
    </row>
    <row r="173" spans="1:22" x14ac:dyDescent="0.2">
      <c r="B173" s="14" t="s">
        <v>140</v>
      </c>
      <c r="C173" s="47">
        <v>5.4169999999999998</v>
      </c>
      <c r="D173" s="47">
        <v>4.49</v>
      </c>
      <c r="E173" s="47">
        <v>6.0190000000000001</v>
      </c>
      <c r="F173" s="47">
        <v>8.8680000000000003</v>
      </c>
      <c r="G173" s="47">
        <v>5.2750000000000004</v>
      </c>
      <c r="H173" s="47">
        <v>5.0030000000000001</v>
      </c>
      <c r="I173" s="47">
        <v>8.9459999999999997</v>
      </c>
      <c r="J173" s="47">
        <v>2.2919999999999998</v>
      </c>
      <c r="K173" s="47"/>
      <c r="L173" s="47">
        <f t="shared" ca="1" si="240"/>
        <v>9.907</v>
      </c>
      <c r="M173" s="47">
        <f t="shared" ca="1" si="234"/>
        <v>14.887</v>
      </c>
      <c r="N173" s="47">
        <f t="shared" ca="1" si="234"/>
        <v>10.278</v>
      </c>
      <c r="O173" s="47">
        <f t="shared" ca="1" si="234"/>
        <v>11.238</v>
      </c>
      <c r="P173" s="47"/>
      <c r="Q173" s="47">
        <f t="shared" ca="1" si="241"/>
        <v>24.794</v>
      </c>
      <c r="R173" s="47">
        <f t="shared" ca="1" si="235"/>
        <v>21.515999999999998</v>
      </c>
      <c r="S173" s="47">
        <f t="shared" si="236"/>
        <v>21.515999999999998</v>
      </c>
      <c r="U173" s="80">
        <f t="shared" ca="1" si="237"/>
        <v>-0.13220940550133109</v>
      </c>
      <c r="V173" s="47">
        <f t="shared" ca="1" si="238"/>
        <v>-3.2780000000000022</v>
      </c>
    </row>
    <row r="174" spans="1:22" x14ac:dyDescent="0.2">
      <c r="B174" s="14" t="s">
        <v>184</v>
      </c>
      <c r="C174" s="47">
        <v>0.86440822000000117</v>
      </c>
      <c r="D174" s="47">
        <v>2.4595917799999989</v>
      </c>
      <c r="E174" s="47">
        <v>6.0830000000000002</v>
      </c>
      <c r="F174" s="47">
        <v>-4.194</v>
      </c>
      <c r="G174" s="47">
        <v>1.38</v>
      </c>
      <c r="H174" s="47">
        <v>-35.447000000000003</v>
      </c>
      <c r="I174" s="47">
        <v>1.6879999999999999</v>
      </c>
      <c r="J174" s="47">
        <v>8.9629999999999992</v>
      </c>
      <c r="K174" s="47"/>
      <c r="L174" s="47">
        <f t="shared" ca="1" si="240"/>
        <v>3.3239999999999998</v>
      </c>
      <c r="M174" s="47">
        <f t="shared" ca="1" si="234"/>
        <v>1.8890000000000002</v>
      </c>
      <c r="N174" s="47">
        <f t="shared" ca="1" si="234"/>
        <v>-34.067</v>
      </c>
      <c r="O174" s="47">
        <f t="shared" ca="1" si="234"/>
        <v>10.651</v>
      </c>
      <c r="P174" s="47"/>
      <c r="Q174" s="47">
        <f t="shared" ca="1" si="241"/>
        <v>5.2130000000000001</v>
      </c>
      <c r="R174" s="47">
        <f t="shared" ca="1" si="235"/>
        <v>-23.415999999999997</v>
      </c>
      <c r="S174" s="47">
        <f t="shared" si="236"/>
        <v>-23.415999999999997</v>
      </c>
      <c r="U174" s="80">
        <f t="shared" ca="1" si="237"/>
        <v>-5.4918473048148853</v>
      </c>
      <c r="V174" s="47">
        <f t="shared" ca="1" si="238"/>
        <v>-28.628999999999998</v>
      </c>
    </row>
    <row r="175" spans="1:22" x14ac:dyDescent="0.2">
      <c r="B175" s="14" t="s">
        <v>29</v>
      </c>
      <c r="C175" s="47">
        <v>-3.0530037388585143</v>
      </c>
      <c r="D175" s="47">
        <v>-3.0609962611414856</v>
      </c>
      <c r="E175" s="47">
        <v>-3.2010000000000001</v>
      </c>
      <c r="F175" s="47">
        <v>-2.1280000000000001</v>
      </c>
      <c r="G175" s="47">
        <v>-3.548</v>
      </c>
      <c r="H175" s="47">
        <v>-3.7040000000000002</v>
      </c>
      <c r="I175" s="47">
        <v>-4.125</v>
      </c>
      <c r="J175" s="47">
        <v>-3.6219999999999999</v>
      </c>
      <c r="K175" s="47"/>
      <c r="L175" s="47">
        <f t="shared" ca="1" si="240"/>
        <v>-6.1139999999999999</v>
      </c>
      <c r="M175" s="47">
        <f t="shared" ca="1" si="234"/>
        <v>-5.3290000000000006</v>
      </c>
      <c r="N175" s="47">
        <f t="shared" ca="1" si="234"/>
        <v>-7.2520000000000007</v>
      </c>
      <c r="O175" s="47">
        <f t="shared" ca="1" si="234"/>
        <v>-7.7469999999999999</v>
      </c>
      <c r="P175" s="47"/>
      <c r="Q175" s="47">
        <f t="shared" ca="1" si="241"/>
        <v>-11.443</v>
      </c>
      <c r="R175" s="47">
        <f t="shared" ca="1" si="235"/>
        <v>-14.999000000000001</v>
      </c>
      <c r="S175" s="47">
        <f t="shared" si="236"/>
        <v>-14.999000000000001</v>
      </c>
      <c r="U175" s="80">
        <f t="shared" ca="1" si="237"/>
        <v>0.31075766844358998</v>
      </c>
      <c r="V175" s="47">
        <f t="shared" ca="1" si="238"/>
        <v>-3.5560000000000009</v>
      </c>
    </row>
    <row r="176" spans="1:22" x14ac:dyDescent="0.2">
      <c r="B176" s="14" t="s">
        <v>185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1.387</v>
      </c>
      <c r="I176" s="47">
        <v>2.6429999999999998</v>
      </c>
      <c r="J176" s="47">
        <v>5.6920000000000002</v>
      </c>
      <c r="K176" s="47"/>
      <c r="L176" s="47">
        <f t="shared" ca="1" si="240"/>
        <v>0</v>
      </c>
      <c r="M176" s="47">
        <f t="shared" ca="1" si="234"/>
        <v>0</v>
      </c>
      <c r="N176" s="47">
        <f t="shared" ca="1" si="234"/>
        <v>1.387</v>
      </c>
      <c r="O176" s="47">
        <f t="shared" ca="1" si="234"/>
        <v>8.3350000000000009</v>
      </c>
      <c r="P176" s="47"/>
      <c r="Q176" s="47">
        <f t="shared" ca="1" si="241"/>
        <v>0</v>
      </c>
      <c r="R176" s="47">
        <f t="shared" ca="1" si="235"/>
        <v>9.7219999999999995</v>
      </c>
      <c r="S176" s="47">
        <f t="shared" si="236"/>
        <v>9.7219999999999995</v>
      </c>
      <c r="U176" s="80" t="str">
        <f t="shared" ca="1" si="237"/>
        <v/>
      </c>
      <c r="V176" s="47">
        <f t="shared" ca="1" si="238"/>
        <v>9.7219999999999995</v>
      </c>
    </row>
    <row r="177" spans="1:22" x14ac:dyDescent="0.2">
      <c r="B177" s="14" t="s">
        <v>141</v>
      </c>
      <c r="C177" s="47">
        <v>0.89588891000000881</v>
      </c>
      <c r="D177" s="47">
        <v>1.0991110899999912</v>
      </c>
      <c r="E177" s="47">
        <v>-0.621</v>
      </c>
      <c r="F177" s="47">
        <v>6.06</v>
      </c>
      <c r="G177" s="47">
        <v>0.65</v>
      </c>
      <c r="H177" s="47">
        <v>0.59299999999999997</v>
      </c>
      <c r="I177" s="47">
        <v>1.099</v>
      </c>
      <c r="J177" s="47">
        <v>0.94599999999999995</v>
      </c>
      <c r="K177" s="47"/>
      <c r="L177" s="47">
        <f t="shared" ca="1" si="240"/>
        <v>1.9950000000000001</v>
      </c>
      <c r="M177" s="47">
        <f t="shared" ca="1" si="234"/>
        <v>5.4390000000000001</v>
      </c>
      <c r="N177" s="47">
        <f t="shared" ca="1" si="234"/>
        <v>1.2429999999999999</v>
      </c>
      <c r="O177" s="47">
        <f t="shared" ca="1" si="234"/>
        <v>2.0449999999999999</v>
      </c>
      <c r="P177" s="47"/>
      <c r="Q177" s="47">
        <f t="shared" ca="1" si="241"/>
        <v>7.4339999999999993</v>
      </c>
      <c r="R177" s="47">
        <f t="shared" ca="1" si="235"/>
        <v>3.2879999999999994</v>
      </c>
      <c r="S177" s="47">
        <f t="shared" si="236"/>
        <v>3.2879999999999994</v>
      </c>
      <c r="U177" s="80">
        <f t="shared" ca="1" si="237"/>
        <v>-0.55770782889426962</v>
      </c>
      <c r="V177" s="47">
        <f t="shared" ca="1" si="238"/>
        <v>-4.1459999999999999</v>
      </c>
    </row>
    <row r="178" spans="1:22" x14ac:dyDescent="0.2">
      <c r="B178" s="14" t="s">
        <v>142</v>
      </c>
      <c r="C178" s="47">
        <v>-0.03</v>
      </c>
      <c r="D178" s="47">
        <v>7.6999999999999999E-2</v>
      </c>
      <c r="E178" s="47">
        <v>1.518</v>
      </c>
      <c r="F178" s="47">
        <v>-1.647</v>
      </c>
      <c r="G178" s="47">
        <v>4.7E-2</v>
      </c>
      <c r="H178" s="47">
        <v>0</v>
      </c>
      <c r="I178" s="47">
        <v>-7.1999999999999995E-2</v>
      </c>
      <c r="J178" s="47">
        <v>-7.0000000000000001E-3</v>
      </c>
      <c r="K178" s="47"/>
      <c r="L178" s="47">
        <f t="shared" ca="1" si="240"/>
        <v>4.7E-2</v>
      </c>
      <c r="M178" s="47">
        <f t="shared" ca="1" si="234"/>
        <v>-0.129</v>
      </c>
      <c r="N178" s="47">
        <f t="shared" ca="1" si="234"/>
        <v>4.7E-2</v>
      </c>
      <c r="O178" s="47">
        <f t="shared" ca="1" si="234"/>
        <v>-7.9000000000000001E-2</v>
      </c>
      <c r="P178" s="47"/>
      <c r="Q178" s="47">
        <f t="shared" ca="1" si="241"/>
        <v>-8.2000000000000073E-2</v>
      </c>
      <c r="R178" s="47">
        <f t="shared" ca="1" si="235"/>
        <v>-3.1999999999999994E-2</v>
      </c>
      <c r="S178" s="47">
        <f t="shared" si="236"/>
        <v>-3.1999999999999994E-2</v>
      </c>
      <c r="U178" s="80">
        <f t="shared" ca="1" si="237"/>
        <v>-0.60975609756097604</v>
      </c>
      <c r="V178" s="47">
        <f t="shared" ca="1" si="238"/>
        <v>5.0000000000000079E-2</v>
      </c>
    </row>
    <row r="179" spans="1:22" x14ac:dyDescent="0.2">
      <c r="B179" s="14" t="s">
        <v>143</v>
      </c>
      <c r="C179" s="47">
        <v>3.9327201299999999</v>
      </c>
      <c r="D179" s="47">
        <v>10.726279870000001</v>
      </c>
      <c r="E179" s="47">
        <v>6.8010000000000002</v>
      </c>
      <c r="F179" s="47">
        <v>21.169</v>
      </c>
      <c r="G179" s="47">
        <v>9.7249999999999996</v>
      </c>
      <c r="H179" s="47">
        <v>11.076000000000001</v>
      </c>
      <c r="I179" s="47">
        <v>8.4079999999999995</v>
      </c>
      <c r="J179" s="47">
        <v>7.7489999999999997</v>
      </c>
      <c r="K179" s="47"/>
      <c r="L179" s="47">
        <f t="shared" ca="1" si="240"/>
        <v>14.659000000000001</v>
      </c>
      <c r="M179" s="47">
        <f t="shared" ca="1" si="234"/>
        <v>27.97</v>
      </c>
      <c r="N179" s="47">
        <f t="shared" ca="1" si="234"/>
        <v>20.801000000000002</v>
      </c>
      <c r="O179" s="47">
        <f t="shared" ca="1" si="234"/>
        <v>16.157</v>
      </c>
      <c r="P179" s="47"/>
      <c r="Q179" s="47">
        <f t="shared" ca="1" si="241"/>
        <v>42.629000000000005</v>
      </c>
      <c r="R179" s="47">
        <f t="shared" ca="1" si="235"/>
        <v>36.958000000000006</v>
      </c>
      <c r="S179" s="47">
        <f t="shared" si="236"/>
        <v>36.958000000000006</v>
      </c>
      <c r="U179" s="80">
        <f t="shared" ca="1" si="237"/>
        <v>-0.13303150437495603</v>
      </c>
      <c r="V179" s="47">
        <f t="shared" ca="1" si="238"/>
        <v>-5.6709999999999994</v>
      </c>
    </row>
    <row r="180" spans="1:22" x14ac:dyDescent="0.2">
      <c r="B180" s="14" t="s">
        <v>144</v>
      </c>
      <c r="C180" s="47">
        <v>0.25056808000000003</v>
      </c>
      <c r="D180" s="47">
        <v>-0.55856808000000002</v>
      </c>
      <c r="E180" s="47">
        <v>0.36699999999999999</v>
      </c>
      <c r="F180" s="47">
        <v>0.308</v>
      </c>
      <c r="G180" s="47">
        <v>-0.28999999999999998</v>
      </c>
      <c r="H180" s="47">
        <v>4.3999999999999997E-2</v>
      </c>
      <c r="I180" s="47">
        <v>0.67100000000000004</v>
      </c>
      <c r="J180" s="47">
        <v>0.13900000000000001</v>
      </c>
      <c r="K180" s="47"/>
      <c r="L180" s="47">
        <f t="shared" ca="1" si="240"/>
        <v>-0.308</v>
      </c>
      <c r="M180" s="47">
        <f t="shared" ca="1" si="234"/>
        <v>0.67500000000000004</v>
      </c>
      <c r="N180" s="47">
        <f t="shared" ca="1" si="234"/>
        <v>-0.246</v>
      </c>
      <c r="O180" s="47">
        <f t="shared" ca="1" si="234"/>
        <v>0.81</v>
      </c>
      <c r="P180" s="47"/>
      <c r="Q180" s="47">
        <f t="shared" ca="1" si="241"/>
        <v>0.36699999999999999</v>
      </c>
      <c r="R180" s="47">
        <f t="shared" ca="1" si="235"/>
        <v>0.56400000000000006</v>
      </c>
      <c r="S180" s="47">
        <f t="shared" si="236"/>
        <v>0.56400000000000006</v>
      </c>
      <c r="U180" s="80">
        <f t="shared" ca="1" si="237"/>
        <v>0.53678474114441443</v>
      </c>
      <c r="V180" s="47">
        <f t="shared" ca="1" si="238"/>
        <v>0.19700000000000006</v>
      </c>
    </row>
    <row r="181" spans="1:22" x14ac:dyDescent="0.2">
      <c r="B181" s="14" t="s">
        <v>145</v>
      </c>
      <c r="C181" s="47">
        <v>36.687033220000011</v>
      </c>
      <c r="D181" s="47">
        <v>-41.958033220000011</v>
      </c>
      <c r="E181" s="47">
        <v>-20.536000000000001</v>
      </c>
      <c r="F181" s="47">
        <v>-1.64737183</v>
      </c>
      <c r="G181" s="47">
        <v>6.5049999999999999</v>
      </c>
      <c r="H181" s="47">
        <v>-97.022000000000006</v>
      </c>
      <c r="I181" s="47">
        <v>-12.757</v>
      </c>
      <c r="J181" s="47">
        <v>-20.434000000000001</v>
      </c>
      <c r="K181" s="47"/>
      <c r="L181" s="47">
        <f t="shared" ref="L181:O211" ca="1" si="242">SUMIF($B$7:$K$7,L$4,$B181:$J181)</f>
        <v>-5.2710000000000008</v>
      </c>
      <c r="M181" s="47">
        <f t="shared" ca="1" si="234"/>
        <v>-22.183371830000002</v>
      </c>
      <c r="N181" s="47">
        <f t="shared" ca="1" si="234"/>
        <v>-90.51700000000001</v>
      </c>
      <c r="O181" s="47">
        <f t="shared" ca="1" si="234"/>
        <v>-33.191000000000003</v>
      </c>
      <c r="P181" s="47"/>
      <c r="Q181" s="47">
        <f t="shared" ref="Q181:R234" ca="1" si="243">SUMIF($B$6:$K$6,Q$4,$B181:$J181)</f>
        <v>-27.454371830000003</v>
      </c>
      <c r="R181" s="47">
        <f t="shared" ca="1" si="235"/>
        <v>-123.70800000000001</v>
      </c>
      <c r="S181" s="47">
        <f t="shared" si="236"/>
        <v>-123.70800000000001</v>
      </c>
      <c r="U181" s="80">
        <f t="shared" ca="1" si="237"/>
        <v>3.5059490257512111</v>
      </c>
      <c r="V181" s="47">
        <f t="shared" ca="1" si="238"/>
        <v>-96.253628170000013</v>
      </c>
    </row>
    <row r="182" spans="1:22" x14ac:dyDescent="0.2">
      <c r="B182" s="14" t="s">
        <v>146</v>
      </c>
      <c r="C182" s="47">
        <v>2.5129999999999999</v>
      </c>
      <c r="D182" s="47">
        <v>-1.835</v>
      </c>
      <c r="E182" s="47">
        <v>6.702</v>
      </c>
      <c r="F182" s="47">
        <v>2.1970000000000001</v>
      </c>
      <c r="G182" s="47">
        <v>2.7330000000000001</v>
      </c>
      <c r="H182" s="47">
        <v>1.2829999999999999</v>
      </c>
      <c r="I182" s="47">
        <v>-1.137</v>
      </c>
      <c r="J182" s="47">
        <v>5.2779999999999996</v>
      </c>
      <c r="K182" s="47"/>
      <c r="L182" s="47">
        <f t="shared" ca="1" si="242"/>
        <v>0.67799999999999994</v>
      </c>
      <c r="M182" s="47">
        <f t="shared" ca="1" si="234"/>
        <v>8.8990000000000009</v>
      </c>
      <c r="N182" s="47">
        <f t="shared" ca="1" si="234"/>
        <v>4.016</v>
      </c>
      <c r="O182" s="47">
        <f t="shared" ca="1" si="234"/>
        <v>4.141</v>
      </c>
      <c r="P182" s="47"/>
      <c r="Q182" s="47">
        <f t="shared" ca="1" si="243"/>
        <v>9.577</v>
      </c>
      <c r="R182" s="47">
        <f t="shared" ca="1" si="235"/>
        <v>8.157</v>
      </c>
      <c r="S182" s="47">
        <f t="shared" si="236"/>
        <v>8.157</v>
      </c>
      <c r="U182" s="80">
        <f t="shared" ca="1" si="237"/>
        <v>-0.14827190143051061</v>
      </c>
      <c r="V182" s="47">
        <f t="shared" ca="1" si="238"/>
        <v>-1.42</v>
      </c>
    </row>
    <row r="183" spans="1:22" x14ac:dyDescent="0.2">
      <c r="B183" s="14" t="s">
        <v>147</v>
      </c>
      <c r="C183" s="47">
        <v>2.6789543900000026</v>
      </c>
      <c r="D183" s="47">
        <v>1.1900456099999974</v>
      </c>
      <c r="E183" s="47">
        <v>-4.2999999999999997E-2</v>
      </c>
      <c r="F183" s="47">
        <v>-0.34</v>
      </c>
      <c r="G183" s="47">
        <v>2.319</v>
      </c>
      <c r="H183" s="47">
        <v>-3.254</v>
      </c>
      <c r="I183" s="47">
        <v>0.96399999999999997</v>
      </c>
      <c r="J183" s="47">
        <v>0.95</v>
      </c>
      <c r="K183" s="47"/>
      <c r="L183" s="47">
        <f t="shared" ca="1" si="242"/>
        <v>3.8689999999999998</v>
      </c>
      <c r="M183" s="47">
        <f t="shared" ca="1" si="234"/>
        <v>-0.38300000000000001</v>
      </c>
      <c r="N183" s="47">
        <f t="shared" ca="1" si="234"/>
        <v>-0.93500000000000005</v>
      </c>
      <c r="O183" s="47">
        <f t="shared" ca="1" si="234"/>
        <v>1.9139999999999999</v>
      </c>
      <c r="P183" s="47"/>
      <c r="Q183" s="47">
        <f t="shared" ca="1" si="243"/>
        <v>3.4859999999999998</v>
      </c>
      <c r="R183" s="47">
        <f t="shared" ca="1" si="235"/>
        <v>0.97899999999999987</v>
      </c>
      <c r="S183" s="47">
        <f t="shared" si="236"/>
        <v>0.97899999999999987</v>
      </c>
      <c r="U183" s="80">
        <f t="shared" ca="1" si="237"/>
        <v>-0.71916236374067699</v>
      </c>
      <c r="V183" s="47">
        <f t="shared" ca="1" si="238"/>
        <v>-2.5069999999999997</v>
      </c>
    </row>
    <row r="184" spans="1:22" x14ac:dyDescent="0.2">
      <c r="B184" s="14" t="s">
        <v>148</v>
      </c>
      <c r="C184" s="47">
        <v>5.8537960299999998</v>
      </c>
      <c r="D184" s="47">
        <v>1.9712039700000006</v>
      </c>
      <c r="E184" s="47">
        <v>2.7959999999999998</v>
      </c>
      <c r="F184" s="47">
        <v>3.327</v>
      </c>
      <c r="G184" s="47">
        <v>6.3010000000000002</v>
      </c>
      <c r="H184" s="47">
        <v>5.5780000000000003</v>
      </c>
      <c r="I184" s="47">
        <v>4.218</v>
      </c>
      <c r="J184" s="47">
        <v>3.3050000000000002</v>
      </c>
      <c r="K184" s="47"/>
      <c r="L184" s="47">
        <f t="shared" ca="1" si="242"/>
        <v>7.8250000000000002</v>
      </c>
      <c r="M184" s="47">
        <f t="shared" ca="1" si="234"/>
        <v>6.1229999999999993</v>
      </c>
      <c r="N184" s="47">
        <f t="shared" ca="1" si="234"/>
        <v>11.879000000000001</v>
      </c>
      <c r="O184" s="47">
        <f t="shared" ca="1" si="234"/>
        <v>7.5229999999999997</v>
      </c>
      <c r="P184" s="47"/>
      <c r="Q184" s="47">
        <f t="shared" ca="1" si="243"/>
        <v>13.948</v>
      </c>
      <c r="R184" s="47">
        <f t="shared" ca="1" si="235"/>
        <v>19.402000000000001</v>
      </c>
      <c r="S184" s="47">
        <f t="shared" si="236"/>
        <v>19.402000000000001</v>
      </c>
      <c r="U184" s="80">
        <f t="shared" ca="1" si="237"/>
        <v>0.39102380269572712</v>
      </c>
      <c r="V184" s="47">
        <f t="shared" ca="1" si="238"/>
        <v>5.4540000000000006</v>
      </c>
    </row>
    <row r="185" spans="1:22" x14ac:dyDescent="0.2">
      <c r="B185" s="14" t="s">
        <v>186</v>
      </c>
      <c r="C185" s="47">
        <v>-4.3168768299999902</v>
      </c>
      <c r="D185" s="47">
        <v>-3.1787141299999702</v>
      </c>
      <c r="E185" s="47">
        <v>5.5666627500000008</v>
      </c>
      <c r="F185" s="47">
        <v>25.01392820999996</v>
      </c>
      <c r="G185" s="47">
        <v>-13.23209473</v>
      </c>
      <c r="H185" s="47">
        <v>10.10592714</v>
      </c>
      <c r="I185" s="47">
        <v>2.6580113400000007</v>
      </c>
      <c r="J185" s="47">
        <v>16.62515625</v>
      </c>
      <c r="K185" s="47"/>
      <c r="L185" s="47">
        <f t="shared" ca="1" si="242"/>
        <v>-7.4955909599999604</v>
      </c>
      <c r="M185" s="47">
        <f t="shared" ca="1" si="242"/>
        <v>30.580590959999959</v>
      </c>
      <c r="N185" s="47">
        <f t="shared" ca="1" si="242"/>
        <v>-3.1261675899999997</v>
      </c>
      <c r="O185" s="47">
        <f t="shared" ca="1" si="242"/>
        <v>19.283167590000001</v>
      </c>
      <c r="P185" s="47"/>
      <c r="Q185" s="47">
        <f t="shared" ca="1" si="243"/>
        <v>23.085000000000001</v>
      </c>
      <c r="R185" s="47">
        <f t="shared" ca="1" si="235"/>
        <v>16.157</v>
      </c>
      <c r="S185" s="47">
        <f t="shared" si="236"/>
        <v>16.157</v>
      </c>
      <c r="U185" s="80">
        <f t="shared" ca="1" si="237"/>
        <v>-0.30010829542993289</v>
      </c>
      <c r="V185" s="47">
        <f t="shared" ca="1" si="238"/>
        <v>-6.9280000000000008</v>
      </c>
    </row>
    <row r="186" spans="1:22" x14ac:dyDescent="0.2">
      <c r="B186" s="14" t="s">
        <v>149</v>
      </c>
      <c r="C186" s="47">
        <v>-69.154547689999987</v>
      </c>
      <c r="D186" s="47">
        <v>17.896547689999991</v>
      </c>
      <c r="E186" s="47">
        <v>-42.655999999999999</v>
      </c>
      <c r="F186" s="47">
        <v>30.140009809999988</v>
      </c>
      <c r="G186" s="47">
        <v>-20.061</v>
      </c>
      <c r="H186" s="47">
        <v>31.722999999999999</v>
      </c>
      <c r="I186" s="47">
        <v>-7.84</v>
      </c>
      <c r="J186" s="47">
        <v>-0.86299999999999999</v>
      </c>
      <c r="K186" s="47"/>
      <c r="L186" s="47">
        <f t="shared" ca="1" si="242"/>
        <v>-51.257999999999996</v>
      </c>
      <c r="M186" s="47">
        <f t="shared" ca="1" si="242"/>
        <v>-12.515990190000011</v>
      </c>
      <c r="N186" s="47">
        <f t="shared" ca="1" si="242"/>
        <v>11.661999999999999</v>
      </c>
      <c r="O186" s="47">
        <f t="shared" ca="1" si="242"/>
        <v>-8.7029999999999994</v>
      </c>
      <c r="P186" s="47"/>
      <c r="Q186" s="47">
        <f t="shared" ca="1" si="243"/>
        <v>-63.773990189999999</v>
      </c>
      <c r="R186" s="47">
        <f t="shared" ca="1" si="235"/>
        <v>2.9589999999999992</v>
      </c>
      <c r="S186" s="47">
        <f t="shared" si="236"/>
        <v>2.9589999999999992</v>
      </c>
      <c r="U186" s="80">
        <f t="shared" ca="1" si="237"/>
        <v>-1.0463982258470002</v>
      </c>
      <c r="V186" s="47">
        <f t="shared" ca="1" si="238"/>
        <v>66.732990189999995</v>
      </c>
    </row>
    <row r="187" spans="1:22" x14ac:dyDescent="0.2">
      <c r="B187" s="14" t="s">
        <v>150</v>
      </c>
      <c r="C187" s="47">
        <v>0</v>
      </c>
      <c r="D187" s="47">
        <v>5.5E-2</v>
      </c>
      <c r="E187" s="47">
        <v>0.376</v>
      </c>
      <c r="F187" s="47">
        <v>0.3</v>
      </c>
      <c r="G187" s="47">
        <v>0.13300000000000001</v>
      </c>
      <c r="H187" s="47">
        <v>1.4E-2</v>
      </c>
      <c r="I187" s="47">
        <v>-0.58399999999999996</v>
      </c>
      <c r="J187" s="47">
        <v>0.14299999999999999</v>
      </c>
      <c r="K187" s="47"/>
      <c r="L187" s="47">
        <f t="shared" ca="1" si="242"/>
        <v>5.5E-2</v>
      </c>
      <c r="M187" s="47">
        <f t="shared" ca="1" si="242"/>
        <v>0.67599999999999993</v>
      </c>
      <c r="N187" s="47">
        <f t="shared" ca="1" si="242"/>
        <v>0.14700000000000002</v>
      </c>
      <c r="O187" s="47">
        <f t="shared" ca="1" si="242"/>
        <v>-0.44099999999999995</v>
      </c>
      <c r="P187" s="47"/>
      <c r="Q187" s="47">
        <f t="shared" ca="1" si="243"/>
        <v>0.73099999999999998</v>
      </c>
      <c r="R187" s="47">
        <f t="shared" ca="1" si="235"/>
        <v>-0.29399999999999993</v>
      </c>
      <c r="S187" s="47">
        <f t="shared" si="236"/>
        <v>-0.29399999999999993</v>
      </c>
      <c r="U187" s="80">
        <f t="shared" ca="1" si="237"/>
        <v>-1.4021887824897399</v>
      </c>
      <c r="V187" s="47">
        <f t="shared" ca="1" si="238"/>
        <v>-1.0249999999999999</v>
      </c>
    </row>
    <row r="188" spans="1:22" x14ac:dyDescent="0.2">
      <c r="B188" s="41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U188" s="80" t="str">
        <f t="shared" si="237"/>
        <v/>
      </c>
      <c r="V188" s="47">
        <f t="shared" si="238"/>
        <v>0</v>
      </c>
    </row>
    <row r="189" spans="1:22" s="10" customFormat="1" x14ac:dyDescent="0.2">
      <c r="A189" s="58"/>
      <c r="B189" s="43" t="s">
        <v>151</v>
      </c>
      <c r="C189" s="48">
        <f t="shared" ref="C189:J189" si="244">SUM(C190:C199)</f>
        <v>-121.6605852868088</v>
      </c>
      <c r="D189" s="48">
        <f t="shared" si="244"/>
        <v>-128.42241471319119</v>
      </c>
      <c r="E189" s="48">
        <f t="shared" si="244"/>
        <v>-677.33899999999983</v>
      </c>
      <c r="F189" s="48">
        <f t="shared" si="244"/>
        <v>64.644398329082506</v>
      </c>
      <c r="G189" s="48">
        <f t="shared" si="244"/>
        <v>-175.82300000000001</v>
      </c>
      <c r="H189" s="48">
        <f t="shared" si="244"/>
        <v>-442.70399999999989</v>
      </c>
      <c r="I189" s="48">
        <f t="shared" si="244"/>
        <v>-430.24499999999995</v>
      </c>
      <c r="J189" s="48">
        <f t="shared" si="244"/>
        <v>-190.40700000000001</v>
      </c>
      <c r="K189" s="46"/>
      <c r="L189" s="48">
        <f t="shared" ca="1" si="242"/>
        <v>-250.08299999999997</v>
      </c>
      <c r="M189" s="48">
        <f t="shared" ca="1" si="242"/>
        <v>-612.69460167091734</v>
      </c>
      <c r="N189" s="48">
        <f t="shared" ca="1" si="242"/>
        <v>-618.52699999999993</v>
      </c>
      <c r="O189" s="48">
        <f t="shared" ca="1" si="242"/>
        <v>-620.65199999999993</v>
      </c>
      <c r="P189" s="46"/>
      <c r="Q189" s="48">
        <f t="shared" ca="1" si="243"/>
        <v>-862.77760167091731</v>
      </c>
      <c r="R189" s="48">
        <f t="shared" ca="1" si="235"/>
        <v>-1239.1789999999999</v>
      </c>
      <c r="S189" s="48">
        <f t="shared" si="236"/>
        <v>-1239.1789999999999</v>
      </c>
      <c r="U189" s="79">
        <f t="shared" ca="1" si="237"/>
        <v>0.43626700275959474</v>
      </c>
      <c r="V189" s="48">
        <f t="shared" ca="1" si="238"/>
        <v>-376.40139832908255</v>
      </c>
    </row>
    <row r="190" spans="1:22" x14ac:dyDescent="0.2">
      <c r="B190" s="14" t="s">
        <v>152</v>
      </c>
      <c r="C190" s="47">
        <v>-1.0292405999999674</v>
      </c>
      <c r="D190" s="47">
        <v>18.57024059999997</v>
      </c>
      <c r="E190" s="47">
        <v>-20.335999999999999</v>
      </c>
      <c r="F190" s="47">
        <v>-18.530267719999962</v>
      </c>
      <c r="G190" s="47">
        <v>-6.22</v>
      </c>
      <c r="H190" s="47">
        <v>-18.89</v>
      </c>
      <c r="I190" s="47">
        <v>-15.465999999999999</v>
      </c>
      <c r="J190" s="47">
        <v>-12.917</v>
      </c>
      <c r="K190" s="47"/>
      <c r="L190" s="47">
        <f t="shared" ca="1" si="242"/>
        <v>17.541000000000004</v>
      </c>
      <c r="M190" s="47">
        <f t="shared" ca="1" si="242"/>
        <v>-38.866267719999961</v>
      </c>
      <c r="N190" s="47">
        <f t="shared" ca="1" si="242"/>
        <v>-25.11</v>
      </c>
      <c r="O190" s="47">
        <f t="shared" ca="1" si="242"/>
        <v>-28.382999999999999</v>
      </c>
      <c r="P190" s="47"/>
      <c r="Q190" s="47">
        <f t="shared" ca="1" si="243"/>
        <v>-21.325267719999957</v>
      </c>
      <c r="R190" s="47">
        <f t="shared" ca="1" si="235"/>
        <v>-53.493000000000002</v>
      </c>
      <c r="S190" s="47">
        <f t="shared" si="236"/>
        <v>-53.493000000000002</v>
      </c>
      <c r="U190" s="80">
        <f t="shared" ca="1" si="237"/>
        <v>1.5084327522805943</v>
      </c>
      <c r="V190" s="47">
        <f t="shared" ca="1" si="238"/>
        <v>-32.167732280000045</v>
      </c>
    </row>
    <row r="191" spans="1:22" x14ac:dyDescent="0.2">
      <c r="B191" s="14" t="s">
        <v>45</v>
      </c>
      <c r="C191" s="47">
        <v>-53.752683749999882</v>
      </c>
      <c r="D191" s="47">
        <v>-50.896316250000119</v>
      </c>
      <c r="E191" s="47">
        <v>-67.195999999999998</v>
      </c>
      <c r="F191" s="47">
        <v>-179.04520923999999</v>
      </c>
      <c r="G191" s="47">
        <v>-227.05699999999999</v>
      </c>
      <c r="H191" s="47">
        <v>-347.00099999999998</v>
      </c>
      <c r="I191" s="47">
        <v>-306.12700000000001</v>
      </c>
      <c r="J191" s="47">
        <v>-192.68799999999999</v>
      </c>
      <c r="K191" s="47"/>
      <c r="L191" s="47">
        <f t="shared" ca="1" si="242"/>
        <v>-104.649</v>
      </c>
      <c r="M191" s="47">
        <f t="shared" ca="1" si="242"/>
        <v>-246.24120923999999</v>
      </c>
      <c r="N191" s="47">
        <f t="shared" ca="1" si="242"/>
        <v>-574.05799999999999</v>
      </c>
      <c r="O191" s="47">
        <f t="shared" ca="1" si="242"/>
        <v>-498.815</v>
      </c>
      <c r="P191" s="47"/>
      <c r="Q191" s="47">
        <f t="shared" ca="1" si="243"/>
        <v>-350.89020923999999</v>
      </c>
      <c r="R191" s="47">
        <f t="shared" ca="1" si="235"/>
        <v>-1072.873</v>
      </c>
      <c r="S191" s="47">
        <f t="shared" si="236"/>
        <v>-1072.873</v>
      </c>
      <c r="U191" s="80">
        <f t="shared" ca="1" si="237"/>
        <v>2.0575746251904743</v>
      </c>
      <c r="V191" s="47">
        <f t="shared" ca="1" si="238"/>
        <v>-721.98279076000006</v>
      </c>
    </row>
    <row r="192" spans="1:22" x14ac:dyDescent="0.2">
      <c r="B192" s="14" t="s">
        <v>46</v>
      </c>
      <c r="C192" s="47">
        <v>31.145320589999958</v>
      </c>
      <c r="D192" s="47">
        <v>213.96167941000004</v>
      </c>
      <c r="E192" s="47">
        <v>-1.9970000000000001</v>
      </c>
      <c r="F192" s="47">
        <v>-14.555914280000085</v>
      </c>
      <c r="G192" s="47">
        <v>1.385</v>
      </c>
      <c r="H192" s="47">
        <v>-126.967</v>
      </c>
      <c r="I192" s="47">
        <v>-75.186000000000007</v>
      </c>
      <c r="J192" s="47">
        <v>-7.3760000000000003</v>
      </c>
      <c r="K192" s="47"/>
      <c r="L192" s="47">
        <f t="shared" ca="1" si="242"/>
        <v>245.107</v>
      </c>
      <c r="M192" s="47">
        <f t="shared" ca="1" si="242"/>
        <v>-16.552914280000085</v>
      </c>
      <c r="N192" s="47">
        <f t="shared" ca="1" si="242"/>
        <v>-125.58199999999999</v>
      </c>
      <c r="O192" s="47">
        <f t="shared" ca="1" si="242"/>
        <v>-82.562000000000012</v>
      </c>
      <c r="P192" s="47"/>
      <c r="Q192" s="47">
        <f t="shared" ca="1" si="243"/>
        <v>228.5540857199999</v>
      </c>
      <c r="R192" s="47">
        <f t="shared" ca="1" si="235"/>
        <v>-208.14400000000001</v>
      </c>
      <c r="S192" s="47">
        <f t="shared" si="236"/>
        <v>-208.14400000000001</v>
      </c>
      <c r="U192" s="80">
        <f t="shared" ca="1" si="237"/>
        <v>-1.9106990992713901</v>
      </c>
      <c r="V192" s="47">
        <f t="shared" ca="1" si="238"/>
        <v>-436.69808571999988</v>
      </c>
    </row>
    <row r="193" spans="1:22" x14ac:dyDescent="0.2">
      <c r="B193" s="14" t="s">
        <v>153</v>
      </c>
      <c r="C193" s="47">
        <v>6.2377478199999459</v>
      </c>
      <c r="D193" s="47">
        <v>47.011252180000056</v>
      </c>
      <c r="E193" s="47">
        <v>-31.640999999999998</v>
      </c>
      <c r="F193" s="47">
        <v>-36.306560340000054</v>
      </c>
      <c r="G193" s="47">
        <v>3.7610000000000001</v>
      </c>
      <c r="H193" s="47">
        <v>-50.636000000000003</v>
      </c>
      <c r="I193" s="47">
        <v>-13.305999999999999</v>
      </c>
      <c r="J193" s="47">
        <v>-38.954999999999998</v>
      </c>
      <c r="K193" s="47"/>
      <c r="L193" s="47">
        <f t="shared" ca="1" si="242"/>
        <v>53.249000000000002</v>
      </c>
      <c r="M193" s="47">
        <f t="shared" ca="1" si="242"/>
        <v>-67.947560340000052</v>
      </c>
      <c r="N193" s="47">
        <f t="shared" ca="1" si="242"/>
        <v>-46.875</v>
      </c>
      <c r="O193" s="47">
        <f t="shared" ca="1" si="242"/>
        <v>-52.260999999999996</v>
      </c>
      <c r="P193" s="47"/>
      <c r="Q193" s="47">
        <f t="shared" ca="1" si="243"/>
        <v>-14.69856034000005</v>
      </c>
      <c r="R193" s="47">
        <f t="shared" ca="1" si="235"/>
        <v>-99.135999999999996</v>
      </c>
      <c r="S193" s="47">
        <f t="shared" si="236"/>
        <v>-99.135999999999996</v>
      </c>
      <c r="U193" s="80">
        <f t="shared" ca="1" si="237"/>
        <v>5.7446061183431292</v>
      </c>
      <c r="V193" s="47">
        <f t="shared" ca="1" si="238"/>
        <v>-84.437439659999939</v>
      </c>
    </row>
    <row r="194" spans="1:22" x14ac:dyDescent="0.2">
      <c r="B194" s="14" t="s">
        <v>154</v>
      </c>
      <c r="C194" s="47">
        <v>4.1645829487150987</v>
      </c>
      <c r="D194" s="47">
        <v>5.1074170512849015</v>
      </c>
      <c r="E194" s="47">
        <v>-156.255</v>
      </c>
      <c r="F194" s="47">
        <v>286.11615354460639</v>
      </c>
      <c r="G194" s="47">
        <v>-20.128</v>
      </c>
      <c r="H194" s="47">
        <v>8.9480000000000004</v>
      </c>
      <c r="I194" s="47">
        <v>-0.44400000000000001</v>
      </c>
      <c r="J194" s="47">
        <v>36.866999999999997</v>
      </c>
      <c r="K194" s="47"/>
      <c r="L194" s="47">
        <f t="shared" ca="1" si="242"/>
        <v>9.2720000000000002</v>
      </c>
      <c r="M194" s="47">
        <f t="shared" ca="1" si="242"/>
        <v>129.8611535446064</v>
      </c>
      <c r="N194" s="47">
        <f t="shared" ca="1" si="242"/>
        <v>-11.18</v>
      </c>
      <c r="O194" s="47">
        <f t="shared" ca="1" si="242"/>
        <v>36.422999999999995</v>
      </c>
      <c r="P194" s="47"/>
      <c r="Q194" s="47">
        <f t="shared" ca="1" si="243"/>
        <v>139.13315354460639</v>
      </c>
      <c r="R194" s="47">
        <f t="shared" ca="1" si="235"/>
        <v>25.242999999999995</v>
      </c>
      <c r="S194" s="47">
        <f t="shared" si="236"/>
        <v>25.242999999999995</v>
      </c>
      <c r="U194" s="80">
        <f t="shared" ca="1" si="237"/>
        <v>-0.81856948285221587</v>
      </c>
      <c r="V194" s="47">
        <f t="shared" ca="1" si="238"/>
        <v>-113.89015354460639</v>
      </c>
    </row>
    <row r="195" spans="1:22" x14ac:dyDescent="0.2">
      <c r="B195" s="14" t="s">
        <v>48</v>
      </c>
      <c r="C195" s="47">
        <v>5.0458463799999809</v>
      </c>
      <c r="D195" s="47">
        <v>-6.8968463799999808</v>
      </c>
      <c r="E195" s="47">
        <v>3.5129999999999999</v>
      </c>
      <c r="F195" s="47">
        <v>-16.045712670000015</v>
      </c>
      <c r="G195" s="47">
        <v>8.6489999999999991</v>
      </c>
      <c r="H195" s="47">
        <v>-1.712</v>
      </c>
      <c r="I195" s="47">
        <v>-24.061</v>
      </c>
      <c r="J195" s="47">
        <v>11.805999999999999</v>
      </c>
      <c r="K195" s="47"/>
      <c r="L195" s="47">
        <f t="shared" ca="1" si="242"/>
        <v>-1.851</v>
      </c>
      <c r="M195" s="47">
        <f t="shared" ca="1" si="242"/>
        <v>-12.532712670000015</v>
      </c>
      <c r="N195" s="47">
        <f t="shared" ca="1" si="242"/>
        <v>6.9369999999999994</v>
      </c>
      <c r="O195" s="47">
        <f t="shared" ca="1" si="242"/>
        <v>-12.255000000000001</v>
      </c>
      <c r="P195" s="47"/>
      <c r="Q195" s="47">
        <f t="shared" ca="1" si="243"/>
        <v>-14.383712670000016</v>
      </c>
      <c r="R195" s="47">
        <f t="shared" ca="1" si="235"/>
        <v>-5.3180000000000032</v>
      </c>
      <c r="S195" s="47">
        <f t="shared" si="236"/>
        <v>-5.3180000000000032</v>
      </c>
      <c r="U195" s="80">
        <f t="shared" ca="1" si="237"/>
        <v>-0.63027626301992878</v>
      </c>
      <c r="V195" s="47">
        <f t="shared" ca="1" si="238"/>
        <v>9.0657126700000124</v>
      </c>
    </row>
    <row r="196" spans="1:22" x14ac:dyDescent="0.2">
      <c r="B196" s="14" t="s">
        <v>155</v>
      </c>
      <c r="C196" s="47">
        <v>-106.71670910552392</v>
      </c>
      <c r="D196" s="47">
        <v>-349.3922908944761</v>
      </c>
      <c r="E196" s="47">
        <v>-420.04399999999998</v>
      </c>
      <c r="F196" s="47">
        <v>32.685003464476203</v>
      </c>
      <c r="G196" s="47">
        <v>65.578999999999994</v>
      </c>
      <c r="H196" s="47">
        <v>97.123999999999995</v>
      </c>
      <c r="I196" s="47">
        <v>8.4420000000000002</v>
      </c>
      <c r="J196" s="47">
        <v>16.321000000000002</v>
      </c>
      <c r="K196" s="47"/>
      <c r="L196" s="47">
        <f t="shared" ca="1" si="242"/>
        <v>-456.10900000000004</v>
      </c>
      <c r="M196" s="47">
        <f t="shared" ca="1" si="242"/>
        <v>-387.35899653552377</v>
      </c>
      <c r="N196" s="47">
        <f t="shared" ca="1" si="242"/>
        <v>162.70299999999997</v>
      </c>
      <c r="O196" s="47">
        <f t="shared" ca="1" si="242"/>
        <v>24.763000000000002</v>
      </c>
      <c r="P196" s="47"/>
      <c r="Q196" s="47">
        <f t="shared" ca="1" si="243"/>
        <v>-843.46799653552387</v>
      </c>
      <c r="R196" s="47">
        <f t="shared" ca="1" si="235"/>
        <v>187.46599999999998</v>
      </c>
      <c r="S196" s="47">
        <f t="shared" si="236"/>
        <v>187.46599999999998</v>
      </c>
      <c r="U196" s="80">
        <f t="shared" ca="1" si="237"/>
        <v>-1.2222562098028631</v>
      </c>
      <c r="V196" s="47">
        <f t="shared" ca="1" si="238"/>
        <v>1030.9339965355239</v>
      </c>
    </row>
    <row r="197" spans="1:22" x14ac:dyDescent="0.2">
      <c r="B197" s="14" t="s">
        <v>54</v>
      </c>
      <c r="C197" s="47">
        <v>1.0435504299999889</v>
      </c>
      <c r="D197" s="47">
        <v>1.0234495700000112</v>
      </c>
      <c r="E197" s="47">
        <v>20.456</v>
      </c>
      <c r="F197" s="47">
        <v>11.492723599999984</v>
      </c>
      <c r="G197" s="47">
        <v>-0.41499999999999998</v>
      </c>
      <c r="H197" s="47">
        <v>-0.185</v>
      </c>
      <c r="I197" s="47">
        <v>-1.0309999999999999</v>
      </c>
      <c r="J197" s="47">
        <v>-0.83</v>
      </c>
      <c r="K197" s="47"/>
      <c r="L197" s="47">
        <f t="shared" ca="1" si="242"/>
        <v>2.0670000000000002</v>
      </c>
      <c r="M197" s="47">
        <f t="shared" ca="1" si="242"/>
        <v>31.948723599999983</v>
      </c>
      <c r="N197" s="47">
        <f t="shared" ca="1" si="242"/>
        <v>-0.6</v>
      </c>
      <c r="O197" s="47">
        <f t="shared" ca="1" si="242"/>
        <v>-1.8609999999999998</v>
      </c>
      <c r="P197" s="47"/>
      <c r="Q197" s="47">
        <f t="shared" ca="1" si="243"/>
        <v>34.015723599999987</v>
      </c>
      <c r="R197" s="47">
        <f t="shared" ca="1" si="235"/>
        <v>-2.4609999999999999</v>
      </c>
      <c r="S197" s="47">
        <f t="shared" si="236"/>
        <v>-2.4609999999999999</v>
      </c>
      <c r="U197" s="80">
        <f t="shared" ca="1" si="237"/>
        <v>-1.0723488945565163</v>
      </c>
      <c r="V197" s="47">
        <f t="shared" ca="1" si="238"/>
        <v>-36.476723599999985</v>
      </c>
    </row>
    <row r="198" spans="1:22" x14ac:dyDescent="0.2">
      <c r="B198" s="14" t="s">
        <v>156</v>
      </c>
      <c r="C198" s="47">
        <v>-8.6029999999999998</v>
      </c>
      <c r="D198" s="47">
        <v>-6.11</v>
      </c>
      <c r="E198" s="47">
        <v>-4.0919999999999996</v>
      </c>
      <c r="F198" s="47">
        <v>-1.3858180299999658</v>
      </c>
      <c r="G198" s="47">
        <v>-1.38</v>
      </c>
      <c r="H198" s="47">
        <v>-3.3929999999999998</v>
      </c>
      <c r="I198" s="47">
        <v>-3.782</v>
      </c>
      <c r="J198" s="47">
        <v>-2.4969999999999999</v>
      </c>
      <c r="K198" s="47"/>
      <c r="L198" s="47">
        <f t="shared" ca="1" si="242"/>
        <v>-14.713000000000001</v>
      </c>
      <c r="M198" s="47">
        <f t="shared" ca="1" si="242"/>
        <v>-5.4778180299999653</v>
      </c>
      <c r="N198" s="47">
        <f t="shared" ca="1" si="242"/>
        <v>-4.7729999999999997</v>
      </c>
      <c r="O198" s="47">
        <f t="shared" ca="1" si="242"/>
        <v>-6.2789999999999999</v>
      </c>
      <c r="P198" s="47"/>
      <c r="Q198" s="47">
        <f t="shared" ca="1" si="243"/>
        <v>-20.190818029999967</v>
      </c>
      <c r="R198" s="47">
        <f t="shared" ca="1" si="235"/>
        <v>-11.052</v>
      </c>
      <c r="S198" s="47">
        <f t="shared" si="236"/>
        <v>-11.052</v>
      </c>
      <c r="U198" s="80">
        <f t="shared" ca="1" si="237"/>
        <v>-0.45262247504887165</v>
      </c>
      <c r="V198" s="47">
        <f t="shared" ca="1" si="238"/>
        <v>9.1388180299999675</v>
      </c>
    </row>
    <row r="199" spans="1:22" x14ac:dyDescent="0.2">
      <c r="B199" s="14" t="s">
        <v>157</v>
      </c>
      <c r="C199" s="47">
        <v>0.80400000000000005</v>
      </c>
      <c r="D199" s="47">
        <v>-0.80100000000000005</v>
      </c>
      <c r="E199" s="47">
        <v>0.253</v>
      </c>
      <c r="F199" s="47">
        <v>0.22</v>
      </c>
      <c r="G199" s="47">
        <v>3.0000000000000001E-3</v>
      </c>
      <c r="H199" s="47">
        <v>8.0000000000000002E-3</v>
      </c>
      <c r="I199" s="47">
        <v>0.71599999999999997</v>
      </c>
      <c r="J199" s="47">
        <v>-0.13800000000000001</v>
      </c>
      <c r="K199" s="47"/>
      <c r="L199" s="47">
        <f t="shared" ca="1" si="242"/>
        <v>3.0000000000000027E-3</v>
      </c>
      <c r="M199" s="47">
        <f t="shared" ca="1" si="242"/>
        <v>0.47299999999999998</v>
      </c>
      <c r="N199" s="47">
        <f t="shared" ca="1" si="242"/>
        <v>1.0999999999999999E-2</v>
      </c>
      <c r="O199" s="47">
        <f t="shared" ca="1" si="242"/>
        <v>0.57799999999999996</v>
      </c>
      <c r="P199" s="47"/>
      <c r="Q199" s="47">
        <f t="shared" ca="1" si="243"/>
        <v>0.47599999999999998</v>
      </c>
      <c r="R199" s="47">
        <f t="shared" ca="1" si="235"/>
        <v>0.58899999999999997</v>
      </c>
      <c r="S199" s="47">
        <f t="shared" si="236"/>
        <v>0.58899999999999997</v>
      </c>
      <c r="U199" s="80">
        <f t="shared" ca="1" si="237"/>
        <v>0.23739495798319332</v>
      </c>
      <c r="V199" s="47">
        <f t="shared" ca="1" si="238"/>
        <v>0.11299999999999999</v>
      </c>
    </row>
    <row r="200" spans="1:22" x14ac:dyDescent="0.2">
      <c r="B200" s="41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U200" s="80" t="str">
        <f t="shared" si="237"/>
        <v/>
      </c>
      <c r="V200" s="47">
        <f t="shared" si="238"/>
        <v>0</v>
      </c>
    </row>
    <row r="201" spans="1:22" s="10" customFormat="1" x14ac:dyDescent="0.2">
      <c r="A201" s="58"/>
      <c r="B201" s="43" t="s">
        <v>158</v>
      </c>
      <c r="C201" s="48">
        <f>SUM(C202:C209)</f>
        <v>118.0230381072595</v>
      </c>
      <c r="D201" s="48">
        <f t="shared" ref="D201:J201" si="245">SUM(D202:D209)</f>
        <v>212.33755285274049</v>
      </c>
      <c r="E201" s="48">
        <f t="shared" si="245"/>
        <v>317.29833725000003</v>
      </c>
      <c r="F201" s="48">
        <f t="shared" si="245"/>
        <v>59.082086511369681</v>
      </c>
      <c r="G201" s="48">
        <f t="shared" si="245"/>
        <v>39.522094729999992</v>
      </c>
      <c r="H201" s="48">
        <f t="shared" si="245"/>
        <v>391.01107286000001</v>
      </c>
      <c r="I201" s="48">
        <f t="shared" si="245"/>
        <v>402.67398866000002</v>
      </c>
      <c r="J201" s="48">
        <f t="shared" si="245"/>
        <v>364.30284374999997</v>
      </c>
      <c r="K201" s="46"/>
      <c r="L201" s="48">
        <f t="shared" ca="1" si="242"/>
        <v>330.36059095999997</v>
      </c>
      <c r="M201" s="48">
        <f t="shared" ca="1" si="242"/>
        <v>376.38042376136968</v>
      </c>
      <c r="N201" s="48">
        <f t="shared" ca="1" si="242"/>
        <v>430.53316759000001</v>
      </c>
      <c r="O201" s="48">
        <f t="shared" ca="1" si="242"/>
        <v>766.97683241000004</v>
      </c>
      <c r="P201" s="46"/>
      <c r="Q201" s="48">
        <f t="shared" ca="1" si="243"/>
        <v>706.74101472136965</v>
      </c>
      <c r="R201" s="48">
        <f t="shared" ca="1" si="235"/>
        <v>1197.51</v>
      </c>
      <c r="S201" s="48">
        <f t="shared" si="236"/>
        <v>1197.51</v>
      </c>
      <c r="U201" s="79">
        <f t="shared" ref="U201:U232" ca="1" si="246">IFERROR(SUMIF($C$4:$T$4,$U$2,$C201:$T201)/SUMIF($C$4:$T$4,$V$2,$C201:$T201)-1,"")</f>
        <v>0.69441135445084412</v>
      </c>
      <c r="V201" s="48">
        <f t="shared" ref="V201:V232" ca="1" si="247">SUMIF($C$4:$T$4,$U$2,$C201:$T201)-SUMIF($C$4:$T$4,$V$2,$C201:$T201)</f>
        <v>490.76898527863034</v>
      </c>
    </row>
    <row r="202" spans="1:22" x14ac:dyDescent="0.2">
      <c r="B202" s="14" t="s">
        <v>159</v>
      </c>
      <c r="C202" s="47">
        <v>-5.8661994200000045</v>
      </c>
      <c r="D202" s="47">
        <v>-5.9138005799999958</v>
      </c>
      <c r="E202" s="47">
        <v>18.433</v>
      </c>
      <c r="F202" s="47">
        <v>59.533403700000022</v>
      </c>
      <c r="G202" s="47">
        <v>-53.552</v>
      </c>
      <c r="H202" s="47">
        <v>67.539000000000001</v>
      </c>
      <c r="I202" s="47">
        <v>-6.649</v>
      </c>
      <c r="J202" s="47">
        <v>-6.258</v>
      </c>
      <c r="K202" s="47"/>
      <c r="L202" s="47">
        <f t="shared" ca="1" si="242"/>
        <v>-11.780000000000001</v>
      </c>
      <c r="M202" s="47">
        <f t="shared" ca="1" si="242"/>
        <v>77.966403700000029</v>
      </c>
      <c r="N202" s="47">
        <f t="shared" ca="1" si="242"/>
        <v>13.987000000000002</v>
      </c>
      <c r="O202" s="47">
        <f t="shared" ca="1" si="242"/>
        <v>-12.907</v>
      </c>
      <c r="P202" s="47"/>
      <c r="Q202" s="47">
        <f t="shared" ca="1" si="243"/>
        <v>66.186403700000028</v>
      </c>
      <c r="R202" s="47">
        <f t="shared" ca="1" si="235"/>
        <v>1.0800000000000018</v>
      </c>
      <c r="S202" s="47">
        <f t="shared" si="236"/>
        <v>1.0800000000000018</v>
      </c>
      <c r="U202" s="80">
        <f t="shared" ca="1" si="246"/>
        <v>-0.98368244927016635</v>
      </c>
      <c r="V202" s="47">
        <f t="shared" ca="1" si="247"/>
        <v>-65.10640370000003</v>
      </c>
    </row>
    <row r="203" spans="1:22" x14ac:dyDescent="0.2">
      <c r="B203" s="14" t="s">
        <v>62</v>
      </c>
      <c r="C203" s="47">
        <v>18.239497429999961</v>
      </c>
      <c r="D203" s="47">
        <v>-69.195497429999961</v>
      </c>
      <c r="E203" s="47">
        <v>57.648000000000003</v>
      </c>
      <c r="F203" s="47">
        <v>67.605066929999978</v>
      </c>
      <c r="G203" s="47">
        <v>-65.525999999999996</v>
      </c>
      <c r="H203" s="47">
        <v>49.491</v>
      </c>
      <c r="I203" s="47">
        <v>32.774999999999999</v>
      </c>
      <c r="J203" s="47">
        <v>-50.17</v>
      </c>
      <c r="K203" s="47"/>
      <c r="L203" s="47">
        <f t="shared" ca="1" si="242"/>
        <v>-50.956000000000003</v>
      </c>
      <c r="M203" s="47">
        <f t="shared" ca="1" si="242"/>
        <v>125.25306692999999</v>
      </c>
      <c r="N203" s="47">
        <f t="shared" ca="1" si="242"/>
        <v>-16.034999999999997</v>
      </c>
      <c r="O203" s="47">
        <f t="shared" ca="1" si="242"/>
        <v>-17.395000000000003</v>
      </c>
      <c r="P203" s="47"/>
      <c r="Q203" s="47">
        <f t="shared" ca="1" si="243"/>
        <v>74.297066929999971</v>
      </c>
      <c r="R203" s="47">
        <f t="shared" ca="1" si="235"/>
        <v>-33.43</v>
      </c>
      <c r="S203" s="47">
        <f t="shared" si="236"/>
        <v>-33.43</v>
      </c>
      <c r="U203" s="80">
        <f t="shared" ca="1" si="246"/>
        <v>-1.449950467513025</v>
      </c>
      <c r="V203" s="47">
        <f t="shared" ca="1" si="247"/>
        <v>-107.72706692999998</v>
      </c>
    </row>
    <row r="204" spans="1:22" x14ac:dyDescent="0.2">
      <c r="B204" s="14" t="s">
        <v>160</v>
      </c>
      <c r="C204" s="47">
        <v>152.58075410000001</v>
      </c>
      <c r="D204" s="47">
        <v>-72.40775410000002</v>
      </c>
      <c r="E204" s="47">
        <v>377.22300000000001</v>
      </c>
      <c r="F204" s="47">
        <v>-44.908306490000044</v>
      </c>
      <c r="G204" s="47">
        <v>0.48799999999999999</v>
      </c>
      <c r="H204" s="47">
        <v>248.494</v>
      </c>
      <c r="I204" s="47">
        <v>492.99400000000003</v>
      </c>
      <c r="J204" s="47">
        <v>595.41</v>
      </c>
      <c r="K204" s="47"/>
      <c r="L204" s="47">
        <f t="shared" ca="1" si="242"/>
        <v>80.172999999999988</v>
      </c>
      <c r="M204" s="47">
        <f t="shared" ca="1" si="242"/>
        <v>332.31469350999998</v>
      </c>
      <c r="N204" s="47">
        <f t="shared" ca="1" si="242"/>
        <v>248.982</v>
      </c>
      <c r="O204" s="47">
        <f t="shared" ca="1" si="242"/>
        <v>1088.404</v>
      </c>
      <c r="P204" s="47"/>
      <c r="Q204" s="47">
        <f t="shared" ca="1" si="243"/>
        <v>412.48769350999999</v>
      </c>
      <c r="R204" s="47">
        <f t="shared" ca="1" si="235"/>
        <v>1337.386</v>
      </c>
      <c r="S204" s="47">
        <f t="shared" si="236"/>
        <v>1337.386</v>
      </c>
      <c r="U204" s="80">
        <f t="shared" ca="1" si="246"/>
        <v>2.2422446076384035</v>
      </c>
      <c r="V204" s="47">
        <f t="shared" ca="1" si="247"/>
        <v>924.89830648999998</v>
      </c>
    </row>
    <row r="205" spans="1:22" x14ac:dyDescent="0.2">
      <c r="B205" s="14" t="s">
        <v>65</v>
      </c>
      <c r="C205" s="47">
        <v>-5.6463767499999955</v>
      </c>
      <c r="D205" s="47">
        <v>365.17437675000002</v>
      </c>
      <c r="E205" s="47">
        <v>-146.64400000000001</v>
      </c>
      <c r="F205" s="47">
        <v>171.77896482000006</v>
      </c>
      <c r="G205" s="47">
        <v>167.42099999999999</v>
      </c>
      <c r="H205" s="47">
        <v>-20.212</v>
      </c>
      <c r="I205" s="47">
        <v>-99.453999999999994</v>
      </c>
      <c r="J205" s="47">
        <v>-116.467</v>
      </c>
      <c r="K205" s="47"/>
      <c r="L205" s="47">
        <f t="shared" ca="1" si="242"/>
        <v>359.52800000000002</v>
      </c>
      <c r="M205" s="47">
        <f t="shared" ca="1" si="242"/>
        <v>25.13496482000005</v>
      </c>
      <c r="N205" s="47">
        <f t="shared" ca="1" si="242"/>
        <v>147.209</v>
      </c>
      <c r="O205" s="47">
        <f t="shared" ca="1" si="242"/>
        <v>-215.92099999999999</v>
      </c>
      <c r="P205" s="47"/>
      <c r="Q205" s="47">
        <f t="shared" ca="1" si="243"/>
        <v>384.66296482000007</v>
      </c>
      <c r="R205" s="47">
        <f t="shared" ca="1" si="235"/>
        <v>-68.711999999999989</v>
      </c>
      <c r="S205" s="47">
        <f t="shared" si="236"/>
        <v>-68.711999999999989</v>
      </c>
      <c r="U205" s="80">
        <f t="shared" ca="1" si="246"/>
        <v>-1.178629102056012</v>
      </c>
      <c r="V205" s="47">
        <f t="shared" ca="1" si="247"/>
        <v>-453.37496482000006</v>
      </c>
    </row>
    <row r="206" spans="1:22" x14ac:dyDescent="0.2">
      <c r="B206" s="14" t="s">
        <v>161</v>
      </c>
      <c r="C206" s="47">
        <v>-0.89020132999998991</v>
      </c>
      <c r="D206" s="47">
        <v>15.63779228999995</v>
      </c>
      <c r="E206" s="47">
        <v>-0.92366275000000131</v>
      </c>
      <c r="F206" s="47">
        <v>-14.933298409999962</v>
      </c>
      <c r="G206" s="47">
        <v>-4.6599052699999994</v>
      </c>
      <c r="H206" s="47">
        <v>21.322072859999999</v>
      </c>
      <c r="I206" s="47">
        <v>8.8329886599999998</v>
      </c>
      <c r="J206" s="47">
        <v>-2.4171562500000001</v>
      </c>
      <c r="K206" s="47"/>
      <c r="L206" s="47">
        <f t="shared" ca="1" si="242"/>
        <v>14.747590959999961</v>
      </c>
      <c r="M206" s="47">
        <f t="shared" ca="1" si="242"/>
        <v>-15.856961159999964</v>
      </c>
      <c r="N206" s="47">
        <f t="shared" ca="1" si="242"/>
        <v>16.662167589999999</v>
      </c>
      <c r="O206" s="47">
        <f t="shared" ca="1" si="242"/>
        <v>6.4158324100000002</v>
      </c>
      <c r="P206" s="47"/>
      <c r="Q206" s="47">
        <f t="shared" ca="1" si="243"/>
        <v>-1.1093702000000025</v>
      </c>
      <c r="R206" s="47">
        <f t="shared" ca="1" si="235"/>
        <v>23.077999999999999</v>
      </c>
      <c r="S206" s="47">
        <f t="shared" si="236"/>
        <v>23.077999999999999</v>
      </c>
      <c r="U206" s="80">
        <f t="shared" ca="1" si="246"/>
        <v>-21.802794234061764</v>
      </c>
      <c r="V206" s="47">
        <f t="shared" ca="1" si="247"/>
        <v>24.187370200000004</v>
      </c>
    </row>
    <row r="207" spans="1:22" x14ac:dyDescent="0.2">
      <c r="B207" s="14" t="s">
        <v>70</v>
      </c>
      <c r="C207" s="47">
        <v>-39.827062959999992</v>
      </c>
      <c r="D207" s="47">
        <v>-14.602937040000004</v>
      </c>
      <c r="E207" s="47">
        <v>3.7570000000000001</v>
      </c>
      <c r="F207" s="47">
        <v>19.852485373199684</v>
      </c>
      <c r="G207" s="47">
        <v>5.3129999999999997</v>
      </c>
      <c r="H207" s="47">
        <v>7.4459999999999997</v>
      </c>
      <c r="I207" s="47">
        <v>-15.331</v>
      </c>
      <c r="J207" s="47">
        <v>-49.832999999999998</v>
      </c>
      <c r="K207" s="47"/>
      <c r="L207" s="47">
        <f t="shared" ca="1" si="242"/>
        <v>-54.429999999999993</v>
      </c>
      <c r="M207" s="47">
        <f t="shared" ca="1" si="242"/>
        <v>23.609485373199686</v>
      </c>
      <c r="N207" s="47">
        <f t="shared" ca="1" si="242"/>
        <v>12.759</v>
      </c>
      <c r="O207" s="47">
        <f t="shared" ca="1" si="242"/>
        <v>-65.164000000000001</v>
      </c>
      <c r="P207" s="47"/>
      <c r="Q207" s="47">
        <f t="shared" ca="1" si="243"/>
        <v>-30.820514626800311</v>
      </c>
      <c r="R207" s="47">
        <f t="shared" ca="1" si="235"/>
        <v>-52.405000000000001</v>
      </c>
      <c r="S207" s="47">
        <f t="shared" si="236"/>
        <v>-52.405000000000001</v>
      </c>
      <c r="U207" s="80">
        <f t="shared" ca="1" si="246"/>
        <v>0.70032851931780105</v>
      </c>
      <c r="V207" s="47">
        <f t="shared" ca="1" si="247"/>
        <v>-21.584485373199691</v>
      </c>
    </row>
    <row r="208" spans="1:22" x14ac:dyDescent="0.2">
      <c r="B208" s="14" t="s">
        <v>68</v>
      </c>
      <c r="C208" s="47">
        <v>-4.5662859899999981</v>
      </c>
      <c r="D208" s="47">
        <v>-7.3837140100000012</v>
      </c>
      <c r="E208" s="47">
        <v>16.183</v>
      </c>
      <c r="F208" s="47">
        <v>-12.905351090000005</v>
      </c>
      <c r="G208" s="47">
        <v>1.62</v>
      </c>
      <c r="H208" s="47">
        <v>11.94</v>
      </c>
      <c r="I208" s="47">
        <v>1.319</v>
      </c>
      <c r="J208" s="47">
        <v>-1.542</v>
      </c>
      <c r="K208" s="47"/>
      <c r="L208" s="47">
        <f t="shared" ca="1" si="242"/>
        <v>-11.95</v>
      </c>
      <c r="M208" s="47">
        <f t="shared" ca="1" si="242"/>
        <v>3.2776489099999946</v>
      </c>
      <c r="N208" s="47">
        <f t="shared" ca="1" si="242"/>
        <v>13.559999999999999</v>
      </c>
      <c r="O208" s="47">
        <f t="shared" ca="1" si="242"/>
        <v>-0.22300000000000009</v>
      </c>
      <c r="P208" s="47"/>
      <c r="Q208" s="47">
        <f t="shared" ca="1" si="243"/>
        <v>-8.6723510900000047</v>
      </c>
      <c r="R208" s="47">
        <f t="shared" ca="1" si="235"/>
        <v>13.336999999999998</v>
      </c>
      <c r="S208" s="47">
        <f t="shared" si="236"/>
        <v>13.336999999999998</v>
      </c>
      <c r="U208" s="80">
        <f t="shared" ca="1" si="246"/>
        <v>-2.5378759302513423</v>
      </c>
      <c r="V208" s="47">
        <f t="shared" ca="1" si="247"/>
        <v>22.009351090000003</v>
      </c>
    </row>
    <row r="209" spans="1:22" x14ac:dyDescent="0.2">
      <c r="B209" s="14" t="s">
        <v>162</v>
      </c>
      <c r="C209" s="47">
        <v>3.9989130272595199</v>
      </c>
      <c r="D209" s="47">
        <v>1.0290869727404801</v>
      </c>
      <c r="E209" s="47">
        <v>-8.3780000000000001</v>
      </c>
      <c r="F209" s="47">
        <v>-186.94087832183001</v>
      </c>
      <c r="G209" s="47">
        <v>-11.582000000000001</v>
      </c>
      <c r="H209" s="47">
        <v>4.9909999999999997</v>
      </c>
      <c r="I209" s="47">
        <v>-11.813000000000001</v>
      </c>
      <c r="J209" s="47">
        <v>-4.42</v>
      </c>
      <c r="K209" s="47"/>
      <c r="L209" s="47">
        <f t="shared" ca="1" si="242"/>
        <v>5.0280000000000005</v>
      </c>
      <c r="M209" s="47">
        <f t="shared" ca="1" si="242"/>
        <v>-195.31887832183003</v>
      </c>
      <c r="N209" s="47">
        <f t="shared" ca="1" si="242"/>
        <v>-6.5910000000000011</v>
      </c>
      <c r="O209" s="47">
        <f t="shared" ca="1" si="242"/>
        <v>-16.233000000000001</v>
      </c>
      <c r="P209" s="47"/>
      <c r="Q209" s="47">
        <f t="shared" ca="1" si="243"/>
        <v>-190.29087832183001</v>
      </c>
      <c r="R209" s="47">
        <f t="shared" ca="1" si="235"/>
        <v>-22.824000000000005</v>
      </c>
      <c r="S209" s="47">
        <f t="shared" si="236"/>
        <v>-22.824000000000005</v>
      </c>
      <c r="U209" s="80">
        <f t="shared" ca="1" si="246"/>
        <v>-0.88005730909813318</v>
      </c>
      <c r="V209" s="47">
        <f t="shared" ca="1" si="247"/>
        <v>167.46687832183</v>
      </c>
    </row>
    <row r="210" spans="1:22" x14ac:dyDescent="0.2">
      <c r="B210" s="41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U210" s="80" t="str">
        <f t="shared" si="246"/>
        <v/>
      </c>
      <c r="V210" s="47">
        <f t="shared" si="247"/>
        <v>0</v>
      </c>
    </row>
    <row r="211" spans="1:22" s="34" customFormat="1" x14ac:dyDescent="0.2">
      <c r="A211" s="60"/>
      <c r="B211" s="33" t="s">
        <v>163</v>
      </c>
      <c r="C211" s="51">
        <f t="shared" ref="C211:J211" si="248">SUM(C201,C189,C171,C169)</f>
        <v>89.896501340450428</v>
      </c>
      <c r="D211" s="51">
        <f t="shared" si="248"/>
        <v>170.98849865954963</v>
      </c>
      <c r="E211" s="51">
        <f t="shared" si="248"/>
        <v>-241.38999999999982</v>
      </c>
      <c r="F211" s="51">
        <f t="shared" si="248"/>
        <v>302.22905103045213</v>
      </c>
      <c r="G211" s="51">
        <f t="shared" si="248"/>
        <v>16.128999999999991</v>
      </c>
      <c r="H211" s="51">
        <f t="shared" si="248"/>
        <v>61.452000000000112</v>
      </c>
      <c r="I211" s="51">
        <f t="shared" si="248"/>
        <v>177.73200000000008</v>
      </c>
      <c r="J211" s="51">
        <f t="shared" si="248"/>
        <v>374.30999999999995</v>
      </c>
      <c r="K211" s="52"/>
      <c r="L211" s="51">
        <f t="shared" ca="1" si="242"/>
        <v>260.88500000000005</v>
      </c>
      <c r="M211" s="51">
        <f t="shared" ca="1" si="242"/>
        <v>60.83905103045231</v>
      </c>
      <c r="N211" s="51">
        <f t="shared" ca="1" si="242"/>
        <v>77.581000000000103</v>
      </c>
      <c r="O211" s="51">
        <f t="shared" ca="1" si="242"/>
        <v>552.04200000000003</v>
      </c>
      <c r="P211" s="52"/>
      <c r="Q211" s="51">
        <f t="shared" ca="1" si="243"/>
        <v>321.72405103045236</v>
      </c>
      <c r="R211" s="51">
        <f t="shared" ca="1" si="235"/>
        <v>629.62300000000016</v>
      </c>
      <c r="S211" s="51">
        <f t="shared" si="236"/>
        <v>629.62300000000016</v>
      </c>
      <c r="U211" s="81">
        <f t="shared" ca="1" si="246"/>
        <v>0.95702807416286095</v>
      </c>
      <c r="V211" s="45">
        <f t="shared" ca="1" si="247"/>
        <v>307.8989489695478</v>
      </c>
    </row>
    <row r="212" spans="1:22" s="10" customFormat="1" x14ac:dyDescent="0.2">
      <c r="A212" s="58"/>
      <c r="B212" s="40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U212" s="82" t="str">
        <f t="shared" si="246"/>
        <v/>
      </c>
      <c r="V212" s="46">
        <f t="shared" si="247"/>
        <v>0</v>
      </c>
    </row>
    <row r="213" spans="1:22" x14ac:dyDescent="0.2">
      <c r="B213" s="41" t="s">
        <v>164</v>
      </c>
      <c r="C213" s="47">
        <v>-26.083882341999995</v>
      </c>
      <c r="D213" s="47">
        <v>3.702882341999997</v>
      </c>
      <c r="E213" s="47">
        <v>-42.204000000000001</v>
      </c>
      <c r="F213" s="47">
        <v>-18.183032789999999</v>
      </c>
      <c r="G213" s="47">
        <v>-27.483000000000001</v>
      </c>
      <c r="H213" s="47">
        <v>-55.253999999999998</v>
      </c>
      <c r="I213" s="47">
        <v>-40.747999999999998</v>
      </c>
      <c r="J213" s="47">
        <v>-40.704000000000001</v>
      </c>
      <c r="K213" s="47"/>
      <c r="L213" s="47">
        <f t="shared" ref="L213:O238" ca="1" si="249">SUMIF($B$7:$K$7,L$4,$B213:$J213)</f>
        <v>-22.381</v>
      </c>
      <c r="M213" s="47">
        <f t="shared" ca="1" si="249"/>
        <v>-60.387032789999999</v>
      </c>
      <c r="N213" s="47">
        <f t="shared" ca="1" si="249"/>
        <v>-82.736999999999995</v>
      </c>
      <c r="O213" s="47">
        <f t="shared" ca="1" si="249"/>
        <v>-81.451999999999998</v>
      </c>
      <c r="P213" s="47"/>
      <c r="Q213" s="47">
        <f t="shared" ca="1" si="243"/>
        <v>-82.768032790000007</v>
      </c>
      <c r="R213" s="47">
        <f t="shared" ca="1" si="235"/>
        <v>-164.18899999999999</v>
      </c>
      <c r="S213" s="47">
        <f t="shared" si="236"/>
        <v>-164.18899999999999</v>
      </c>
      <c r="U213" s="80">
        <f t="shared" ca="1" si="246"/>
        <v>0.98372480854513222</v>
      </c>
      <c r="V213" s="47">
        <f t="shared" ca="1" si="247"/>
        <v>-81.420967209999986</v>
      </c>
    </row>
    <row r="214" spans="1:22" x14ac:dyDescent="0.2">
      <c r="B214" s="41" t="s">
        <v>187</v>
      </c>
      <c r="C214" s="47">
        <v>-7.7865722100000001</v>
      </c>
      <c r="D214" s="47">
        <v>-3.0354277899999995</v>
      </c>
      <c r="E214" s="47">
        <v>-1.464</v>
      </c>
      <c r="F214" s="47">
        <v>-3.488</v>
      </c>
      <c r="G214" s="47">
        <v>-0.85499999999999998</v>
      </c>
      <c r="H214" s="47">
        <v>-3.1419999999999999</v>
      </c>
      <c r="I214" s="47">
        <v>-0.35199999999999998</v>
      </c>
      <c r="J214" s="47">
        <v>0</v>
      </c>
      <c r="K214" s="47"/>
      <c r="L214" s="47">
        <f t="shared" ca="1" si="249"/>
        <v>-10.821999999999999</v>
      </c>
      <c r="M214" s="47">
        <f t="shared" ca="1" si="249"/>
        <v>-4.952</v>
      </c>
      <c r="N214" s="47">
        <f t="shared" ca="1" si="249"/>
        <v>-3.9969999999999999</v>
      </c>
      <c r="O214" s="47">
        <f t="shared" ca="1" si="249"/>
        <v>-0.35199999999999998</v>
      </c>
      <c r="P214" s="47"/>
      <c r="Q214" s="47">
        <f t="shared" ca="1" si="243"/>
        <v>-15.773999999999999</v>
      </c>
      <c r="R214" s="47">
        <f t="shared" ca="1" si="235"/>
        <v>-4.3490000000000002</v>
      </c>
      <c r="S214" s="47">
        <f t="shared" si="236"/>
        <v>-4.3490000000000002</v>
      </c>
      <c r="U214" s="80">
        <f t="shared" ca="1" si="246"/>
        <v>-0.72429314061113215</v>
      </c>
      <c r="V214" s="47">
        <f t="shared" ca="1" si="247"/>
        <v>11.424999999999999</v>
      </c>
    </row>
    <row r="215" spans="1:22" x14ac:dyDescent="0.2">
      <c r="B215" s="41" t="s">
        <v>165</v>
      </c>
      <c r="C215" s="47">
        <v>-2.5129999999999999</v>
      </c>
      <c r="D215" s="47">
        <v>-2.1930000000000001</v>
      </c>
      <c r="E215" s="47">
        <v>-2.6629999999999998</v>
      </c>
      <c r="F215" s="47">
        <v>-2.2080000000000002</v>
      </c>
      <c r="G215" s="47">
        <v>-2.1920000000000002</v>
      </c>
      <c r="H215" s="47">
        <v>-1.9830000000000001</v>
      </c>
      <c r="I215" s="47">
        <v>-2.1829999999999998</v>
      </c>
      <c r="J215" s="47">
        <v>-1.7989999999999999</v>
      </c>
      <c r="K215" s="47"/>
      <c r="L215" s="47">
        <f t="shared" ca="1" si="249"/>
        <v>-4.7059999999999995</v>
      </c>
      <c r="M215" s="47">
        <f t="shared" ca="1" si="249"/>
        <v>-4.8710000000000004</v>
      </c>
      <c r="N215" s="47">
        <f t="shared" ca="1" si="249"/>
        <v>-4.1750000000000007</v>
      </c>
      <c r="O215" s="47">
        <f t="shared" ca="1" si="249"/>
        <v>-3.9819999999999998</v>
      </c>
      <c r="P215" s="47"/>
      <c r="Q215" s="47">
        <f t="shared" ca="1" si="243"/>
        <v>-9.577</v>
      </c>
      <c r="R215" s="47">
        <f t="shared" ca="1" si="235"/>
        <v>-8.157</v>
      </c>
      <c r="S215" s="47">
        <f t="shared" si="236"/>
        <v>-8.157</v>
      </c>
      <c r="U215" s="80">
        <f t="shared" ca="1" si="246"/>
        <v>-0.14827190143051061</v>
      </c>
      <c r="V215" s="47">
        <f t="shared" ca="1" si="247"/>
        <v>1.42</v>
      </c>
    </row>
    <row r="216" spans="1:22" x14ac:dyDescent="0.2">
      <c r="B216" s="41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U216" s="80" t="str">
        <f t="shared" si="246"/>
        <v/>
      </c>
      <c r="V216" s="47">
        <f t="shared" si="247"/>
        <v>0</v>
      </c>
    </row>
    <row r="217" spans="1:22" s="34" customFormat="1" x14ac:dyDescent="0.2">
      <c r="A217" s="60"/>
      <c r="B217" s="33" t="s">
        <v>166</v>
      </c>
      <c r="C217" s="51">
        <f t="shared" ref="C217:J217" si="250">SUM(C211:C215)</f>
        <v>53.513046788450431</v>
      </c>
      <c r="D217" s="51">
        <f t="shared" si="250"/>
        <v>169.46295321154963</v>
      </c>
      <c r="E217" s="51">
        <f t="shared" si="250"/>
        <v>-287.72099999999983</v>
      </c>
      <c r="F217" s="51">
        <f t="shared" si="250"/>
        <v>278.35001824045207</v>
      </c>
      <c r="G217" s="51">
        <f t="shared" si="250"/>
        <v>-14.40100000000001</v>
      </c>
      <c r="H217" s="51">
        <f t="shared" si="250"/>
        <v>1.0730000000001141</v>
      </c>
      <c r="I217" s="51">
        <f t="shared" si="250"/>
        <v>134.4490000000001</v>
      </c>
      <c r="J217" s="51">
        <f t="shared" si="250"/>
        <v>331.80699999999996</v>
      </c>
      <c r="K217" s="52"/>
      <c r="L217" s="51">
        <f t="shared" ca="1" si="249"/>
        <v>222.97600000000006</v>
      </c>
      <c r="M217" s="51">
        <f t="shared" ca="1" si="249"/>
        <v>-9.3709817595477602</v>
      </c>
      <c r="N217" s="51">
        <f t="shared" ca="1" si="249"/>
        <v>-13.327999999999896</v>
      </c>
      <c r="O217" s="51">
        <f t="shared" ca="1" si="249"/>
        <v>466.25600000000009</v>
      </c>
      <c r="P217" s="52"/>
      <c r="Q217" s="51">
        <f t="shared" ca="1" si="243"/>
        <v>213.6050182404523</v>
      </c>
      <c r="R217" s="51">
        <f t="shared" ca="1" si="235"/>
        <v>452.92800000000017</v>
      </c>
      <c r="S217" s="51">
        <f t="shared" si="236"/>
        <v>452.92800000000017</v>
      </c>
      <c r="U217" s="81">
        <f t="shared" ca="1" si="246"/>
        <v>1.1203996223073056</v>
      </c>
      <c r="V217" s="45">
        <f t="shared" ca="1" si="247"/>
        <v>239.32298175954787</v>
      </c>
    </row>
    <row r="218" spans="1:22" x14ac:dyDescent="0.2">
      <c r="B218" s="41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U218" s="80" t="str">
        <f t="shared" si="246"/>
        <v/>
      </c>
      <c r="V218" s="47">
        <f t="shared" si="247"/>
        <v>0</v>
      </c>
    </row>
    <row r="219" spans="1:22" s="10" customFormat="1" x14ac:dyDescent="0.2">
      <c r="A219" s="58"/>
      <c r="B219" s="40" t="s">
        <v>167</v>
      </c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U219" s="82" t="str">
        <f t="shared" si="246"/>
        <v/>
      </c>
      <c r="V219" s="46">
        <f t="shared" si="247"/>
        <v>0</v>
      </c>
    </row>
    <row r="220" spans="1:22" x14ac:dyDescent="0.2">
      <c r="B220" s="41" t="s">
        <v>168</v>
      </c>
      <c r="C220" s="47">
        <v>-3.2854201600000263</v>
      </c>
      <c r="D220" s="47">
        <v>-4.7155798399999727</v>
      </c>
      <c r="E220" s="47">
        <v>-5.0590000000000002</v>
      </c>
      <c r="F220" s="47">
        <v>-8.2495262399999927</v>
      </c>
      <c r="G220" s="47">
        <v>-5.141</v>
      </c>
      <c r="H220" s="47">
        <v>-4.5709999999999997</v>
      </c>
      <c r="I220" s="47">
        <v>-6.2770000000000001</v>
      </c>
      <c r="J220" s="47">
        <v>-8.7279999999999998</v>
      </c>
      <c r="K220" s="47"/>
      <c r="L220" s="47">
        <f t="shared" ca="1" si="249"/>
        <v>-8.0009999999999994</v>
      </c>
      <c r="M220" s="47">
        <f t="shared" ca="1" si="249"/>
        <v>-13.308526239999992</v>
      </c>
      <c r="N220" s="47">
        <f t="shared" ca="1" si="249"/>
        <v>-9.7119999999999997</v>
      </c>
      <c r="O220" s="47">
        <f t="shared" ca="1" si="249"/>
        <v>-15.004999999999999</v>
      </c>
      <c r="P220" s="47"/>
      <c r="Q220" s="47">
        <f t="shared" ca="1" si="243"/>
        <v>-21.30952623999999</v>
      </c>
      <c r="R220" s="47">
        <f t="shared" ca="1" si="235"/>
        <v>-24.716999999999999</v>
      </c>
      <c r="S220" s="47">
        <f t="shared" ref="S220:S226" si="251">SUMIFS($B220:$K220,$B$8:$K$8,"&gt;="&amp;$S$7,$B$8:$K$8,"&lt;="&amp;$S$8)</f>
        <v>-24.716999999999999</v>
      </c>
      <c r="U220" s="80">
        <f t="shared" ca="1" si="246"/>
        <v>0.1599037783206958</v>
      </c>
      <c r="V220" s="47">
        <f t="shared" ca="1" si="247"/>
        <v>-3.4074737600000091</v>
      </c>
    </row>
    <row r="221" spans="1:22" x14ac:dyDescent="0.2">
      <c r="B221" s="41" t="s">
        <v>169</v>
      </c>
      <c r="C221" s="47">
        <v>-2.054208799999893</v>
      </c>
      <c r="D221" s="47">
        <v>-1.687791200000107</v>
      </c>
      <c r="E221" s="47">
        <v>-0.89300000000000002</v>
      </c>
      <c r="F221" s="47">
        <v>-3.7284926299998915</v>
      </c>
      <c r="G221" s="47">
        <v>-5.6079999999999997</v>
      </c>
      <c r="H221" s="47">
        <v>-5.9720000000000004</v>
      </c>
      <c r="I221" s="47">
        <v>-5.1219999999999999</v>
      </c>
      <c r="J221" s="47">
        <v>-7.46</v>
      </c>
      <c r="K221" s="47"/>
      <c r="L221" s="47">
        <f t="shared" ca="1" si="249"/>
        <v>-3.742</v>
      </c>
      <c r="M221" s="47">
        <f t="shared" ca="1" si="249"/>
        <v>-4.6214926299998913</v>
      </c>
      <c r="N221" s="47">
        <f t="shared" ca="1" si="249"/>
        <v>-11.58</v>
      </c>
      <c r="O221" s="47">
        <f t="shared" ca="1" si="249"/>
        <v>-12.582000000000001</v>
      </c>
      <c r="P221" s="47"/>
      <c r="Q221" s="47">
        <f t="shared" ca="1" si="243"/>
        <v>-8.3634926299998913</v>
      </c>
      <c r="R221" s="47">
        <f t="shared" ca="1" si="235"/>
        <v>-24.161999999999999</v>
      </c>
      <c r="S221" s="47">
        <f t="shared" si="251"/>
        <v>-24.161999999999999</v>
      </c>
      <c r="U221" s="80">
        <f t="shared" ca="1" si="246"/>
        <v>1.8889844313762865</v>
      </c>
      <c r="V221" s="47">
        <f t="shared" ca="1" si="247"/>
        <v>-15.798507370000108</v>
      </c>
    </row>
    <row r="222" spans="1:22" x14ac:dyDescent="0.2">
      <c r="B222" s="41" t="s">
        <v>188</v>
      </c>
      <c r="C222" s="47">
        <v>5.2515483540238694</v>
      </c>
      <c r="D222" s="47">
        <v>-5.3025483540238696</v>
      </c>
      <c r="E222" s="47">
        <v>5.0999999999999997E-2</v>
      </c>
      <c r="F222" s="47">
        <v>0</v>
      </c>
      <c r="G222" s="47">
        <v>-26.524000000000001</v>
      </c>
      <c r="H222" s="47">
        <v>-0.01</v>
      </c>
      <c r="I222" s="47">
        <v>-0.40300000000000002</v>
      </c>
      <c r="J222" s="47">
        <v>0</v>
      </c>
      <c r="K222" s="47"/>
      <c r="L222" s="47">
        <f t="shared" ca="1" si="249"/>
        <v>-5.1000000000000156E-2</v>
      </c>
      <c r="M222" s="47">
        <f t="shared" ca="1" si="249"/>
        <v>5.0999999999999997E-2</v>
      </c>
      <c r="N222" s="47">
        <f t="shared" ca="1" si="249"/>
        <v>-26.534000000000002</v>
      </c>
      <c r="O222" s="47">
        <f t="shared" ca="1" si="249"/>
        <v>-0.40300000000000002</v>
      </c>
      <c r="P222" s="47"/>
      <c r="Q222" s="47">
        <f t="shared" ca="1" si="243"/>
        <v>-1.5959455978986625E-16</v>
      </c>
      <c r="R222" s="47">
        <f t="shared" ca="1" si="235"/>
        <v>-26.937000000000001</v>
      </c>
      <c r="S222" s="47">
        <f t="shared" si="251"/>
        <v>-26.937000000000001</v>
      </c>
      <c r="U222" s="80">
        <f t="shared" ca="1" si="246"/>
        <v>1.6878394874779696E+17</v>
      </c>
      <c r="V222" s="47">
        <f t="shared" ca="1" si="247"/>
        <v>-26.937000000000001</v>
      </c>
    </row>
    <row r="223" spans="1:22" x14ac:dyDescent="0.2">
      <c r="B223" s="41" t="s">
        <v>189</v>
      </c>
      <c r="C223" s="47">
        <v>0</v>
      </c>
      <c r="D223" s="47">
        <v>0</v>
      </c>
      <c r="E223" s="47">
        <v>4.2649999999999997</v>
      </c>
      <c r="F223" s="47">
        <v>-1.0350612167048903</v>
      </c>
      <c r="G223" s="47">
        <v>0</v>
      </c>
      <c r="H223" s="47">
        <v>0</v>
      </c>
      <c r="I223" s="47">
        <v>0.40500000000000003</v>
      </c>
      <c r="J223" s="47">
        <v>-0.40500000000000003</v>
      </c>
      <c r="K223" s="47"/>
      <c r="L223" s="47">
        <f t="shared" ca="1" si="249"/>
        <v>0</v>
      </c>
      <c r="M223" s="47">
        <f t="shared" ca="1" si="249"/>
        <v>3.2299387832951094</v>
      </c>
      <c r="N223" s="47">
        <f t="shared" ca="1" si="249"/>
        <v>0</v>
      </c>
      <c r="O223" s="47">
        <f t="shared" ca="1" si="249"/>
        <v>0</v>
      </c>
      <c r="P223" s="47"/>
      <c r="Q223" s="47">
        <f t="shared" ca="1" si="243"/>
        <v>3.2299387832951094</v>
      </c>
      <c r="R223" s="47">
        <f t="shared" ca="1" si="235"/>
        <v>0</v>
      </c>
      <c r="S223" s="47">
        <f t="shared" si="251"/>
        <v>0</v>
      </c>
      <c r="U223" s="80">
        <f t="shared" ca="1" si="246"/>
        <v>-1</v>
      </c>
      <c r="V223" s="47">
        <f t="shared" ca="1" si="247"/>
        <v>-3.2299387832951094</v>
      </c>
    </row>
    <row r="224" spans="1:22" x14ac:dyDescent="0.2">
      <c r="B224" s="41" t="s">
        <v>170</v>
      </c>
      <c r="C224" s="47">
        <v>0</v>
      </c>
      <c r="D224" s="47">
        <v>6.0010000000000003</v>
      </c>
      <c r="E224" s="47">
        <v>0.44900000000000001</v>
      </c>
      <c r="F224" s="47">
        <v>6.5810000000000004</v>
      </c>
      <c r="G224" s="47">
        <v>6.5010000000000003</v>
      </c>
      <c r="H224" s="47">
        <v>0</v>
      </c>
      <c r="I224" s="47">
        <v>0</v>
      </c>
      <c r="J224" s="47">
        <v>26.501000000000001</v>
      </c>
      <c r="K224" s="47"/>
      <c r="L224" s="47">
        <f t="shared" ca="1" si="249"/>
        <v>6.0010000000000003</v>
      </c>
      <c r="M224" s="47">
        <f t="shared" ca="1" si="249"/>
        <v>7.03</v>
      </c>
      <c r="N224" s="47">
        <f t="shared" ca="1" si="249"/>
        <v>6.5010000000000003</v>
      </c>
      <c r="O224" s="47">
        <f t="shared" ca="1" si="249"/>
        <v>26.501000000000001</v>
      </c>
      <c r="P224" s="47"/>
      <c r="Q224" s="47">
        <f t="shared" ca="1" si="243"/>
        <v>13.031000000000001</v>
      </c>
      <c r="R224" s="47">
        <f t="shared" ca="1" si="235"/>
        <v>33.002000000000002</v>
      </c>
      <c r="S224" s="47">
        <f t="shared" si="251"/>
        <v>33.002000000000002</v>
      </c>
      <c r="U224" s="80">
        <f t="shared" ca="1" si="246"/>
        <v>1.5325761645307345</v>
      </c>
      <c r="V224" s="47">
        <f t="shared" ca="1" si="247"/>
        <v>19.971000000000004</v>
      </c>
    </row>
    <row r="225" spans="1:22" x14ac:dyDescent="0.2">
      <c r="B225" s="41" t="s">
        <v>171</v>
      </c>
      <c r="C225" s="47">
        <v>3.2410000000000001</v>
      </c>
      <c r="D225" s="47">
        <v>4.22</v>
      </c>
      <c r="E225" s="47">
        <v>3.7330000000000001</v>
      </c>
      <c r="F225" s="47">
        <v>11.724</v>
      </c>
      <c r="G225" s="47">
        <v>0.70599999999999996</v>
      </c>
      <c r="H225" s="47">
        <v>21.513000000000002</v>
      </c>
      <c r="I225" s="47">
        <v>2.2610000000000001</v>
      </c>
      <c r="J225" s="47">
        <v>1.4350000000000001</v>
      </c>
      <c r="K225" s="47"/>
      <c r="L225" s="47">
        <f t="shared" ca="1" si="249"/>
        <v>7.4610000000000003</v>
      </c>
      <c r="M225" s="47">
        <f t="shared" ca="1" si="249"/>
        <v>15.457000000000001</v>
      </c>
      <c r="N225" s="47">
        <f t="shared" ca="1" si="249"/>
        <v>22.219000000000001</v>
      </c>
      <c r="O225" s="47">
        <f t="shared" ca="1" si="249"/>
        <v>3.6960000000000002</v>
      </c>
      <c r="P225" s="47"/>
      <c r="Q225" s="47">
        <f t="shared" ca="1" si="243"/>
        <v>22.917999999999999</v>
      </c>
      <c r="R225" s="47">
        <f t="shared" ca="1" si="235"/>
        <v>25.914999999999999</v>
      </c>
      <c r="S225" s="47">
        <f t="shared" si="251"/>
        <v>25.914999999999999</v>
      </c>
      <c r="U225" s="80">
        <f t="shared" ca="1" si="246"/>
        <v>0.13077057334845965</v>
      </c>
      <c r="V225" s="47">
        <f t="shared" ca="1" si="247"/>
        <v>2.9969999999999999</v>
      </c>
    </row>
    <row r="226" spans="1:22" s="34" customFormat="1" x14ac:dyDescent="0.2">
      <c r="A226" s="60"/>
      <c r="B226" s="33" t="s">
        <v>190</v>
      </c>
      <c r="C226" s="51">
        <f>SUM(C220:C225)</f>
        <v>3.1529193940239506</v>
      </c>
      <c r="D226" s="51">
        <f t="shared" ref="D226:J226" si="252">SUM(D220:D225)</f>
        <v>-1.4849193940239491</v>
      </c>
      <c r="E226" s="51">
        <f t="shared" si="252"/>
        <v>2.5460000000000003</v>
      </c>
      <c r="F226" s="51">
        <f t="shared" si="252"/>
        <v>5.2919199132952253</v>
      </c>
      <c r="G226" s="51">
        <f t="shared" si="252"/>
        <v>-30.065999999999995</v>
      </c>
      <c r="H226" s="51">
        <f t="shared" si="252"/>
        <v>10.960000000000003</v>
      </c>
      <c r="I226" s="51">
        <f t="shared" si="252"/>
        <v>-9.1360000000000028</v>
      </c>
      <c r="J226" s="51">
        <f t="shared" si="252"/>
        <v>11.343000000000002</v>
      </c>
      <c r="K226" s="52"/>
      <c r="L226" s="51">
        <f t="shared" ca="1" si="249"/>
        <v>1.6680000000000015</v>
      </c>
      <c r="M226" s="51">
        <f t="shared" ca="1" si="249"/>
        <v>7.8379199132952255</v>
      </c>
      <c r="N226" s="51">
        <f t="shared" ca="1" si="249"/>
        <v>-19.105999999999995</v>
      </c>
      <c r="O226" s="51">
        <f t="shared" ca="1" si="249"/>
        <v>2.206999999999999</v>
      </c>
      <c r="P226" s="52"/>
      <c r="Q226" s="51">
        <f t="shared" ca="1" si="243"/>
        <v>9.5059199132952266</v>
      </c>
      <c r="R226" s="51">
        <f t="shared" ca="1" si="235"/>
        <v>-16.898999999999994</v>
      </c>
      <c r="S226" s="51">
        <f t="shared" si="251"/>
        <v>-16.898999999999994</v>
      </c>
      <c r="U226" s="81">
        <f t="shared" ca="1" si="246"/>
        <v>-2.7777343123167504</v>
      </c>
      <c r="V226" s="45">
        <f t="shared" ca="1" si="247"/>
        <v>-26.40491991329522</v>
      </c>
    </row>
    <row r="227" spans="1:22" x14ac:dyDescent="0.2">
      <c r="B227" s="41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U227" s="80" t="str">
        <f t="shared" si="246"/>
        <v/>
      </c>
      <c r="V227" s="47">
        <f t="shared" si="247"/>
        <v>0</v>
      </c>
    </row>
    <row r="228" spans="1:22" s="10" customFormat="1" x14ac:dyDescent="0.2">
      <c r="A228" s="58"/>
      <c r="B228" s="40" t="s">
        <v>172</v>
      </c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U228" s="82" t="str">
        <f t="shared" si="246"/>
        <v/>
      </c>
      <c r="V228" s="46">
        <f t="shared" si="247"/>
        <v>0</v>
      </c>
    </row>
    <row r="229" spans="1:22" x14ac:dyDescent="0.2">
      <c r="B229" s="41" t="s">
        <v>173</v>
      </c>
      <c r="C229" s="47">
        <v>-12.854143879999995</v>
      </c>
      <c r="D229" s="47">
        <v>-16.129856120000003</v>
      </c>
      <c r="E229" s="47">
        <v>-5.984</v>
      </c>
      <c r="F229" s="47">
        <v>-45.589399009999966</v>
      </c>
      <c r="G229" s="47">
        <v>-19.603999999999999</v>
      </c>
      <c r="H229" s="47">
        <v>-7.4509999999999996</v>
      </c>
      <c r="I229" s="47">
        <v>-24.349</v>
      </c>
      <c r="J229" s="47">
        <v>-449.49299999999999</v>
      </c>
      <c r="K229" s="47"/>
      <c r="L229" s="47">
        <f t="shared" ca="1" si="249"/>
        <v>-28.983999999999998</v>
      </c>
      <c r="M229" s="47">
        <f t="shared" ca="1" si="249"/>
        <v>-51.573399009999967</v>
      </c>
      <c r="N229" s="47">
        <f t="shared" ca="1" si="249"/>
        <v>-27.055</v>
      </c>
      <c r="O229" s="47">
        <f t="shared" ca="1" si="249"/>
        <v>-473.84199999999998</v>
      </c>
      <c r="P229" s="47"/>
      <c r="Q229" s="47">
        <f t="shared" ca="1" si="243"/>
        <v>-80.557399009999955</v>
      </c>
      <c r="R229" s="47">
        <f t="shared" ca="1" si="235"/>
        <v>-500.89699999999999</v>
      </c>
      <c r="S229" s="47">
        <f t="shared" ref="S229:S236" si="253">SUMIFS($B229:$K229,$B$8:$K$8,"&gt;="&amp;$S$7,$B$8:$K$8,"&lt;="&amp;$S$8)</f>
        <v>-500.89699999999999</v>
      </c>
      <c r="U229" s="80">
        <f t="shared" ca="1" si="246"/>
        <v>5.2178894323266496</v>
      </c>
      <c r="V229" s="47">
        <f t="shared" ca="1" si="247"/>
        <v>-420.33960099000001</v>
      </c>
    </row>
    <row r="230" spans="1:22" x14ac:dyDescent="0.2">
      <c r="B230" s="41" t="s">
        <v>174</v>
      </c>
      <c r="C230" s="47">
        <v>-4.2384000006131828E-4</v>
      </c>
      <c r="D230" s="47">
        <v>18.359423840000062</v>
      </c>
      <c r="E230" s="47">
        <v>-18.359000000000002</v>
      </c>
      <c r="F230" s="47">
        <v>0</v>
      </c>
      <c r="G230" s="47">
        <v>16.076000000000001</v>
      </c>
      <c r="H230" s="47">
        <v>0</v>
      </c>
      <c r="I230" s="47">
        <v>0</v>
      </c>
      <c r="J230" s="47">
        <v>0</v>
      </c>
      <c r="K230" s="47"/>
      <c r="L230" s="47">
        <f t="shared" ca="1" si="249"/>
        <v>18.359000000000002</v>
      </c>
      <c r="M230" s="47">
        <f t="shared" ca="1" si="249"/>
        <v>-18.359000000000002</v>
      </c>
      <c r="N230" s="47">
        <f t="shared" ca="1" si="249"/>
        <v>16.076000000000001</v>
      </c>
      <c r="O230" s="47">
        <f t="shared" ca="1" si="249"/>
        <v>0</v>
      </c>
      <c r="P230" s="47"/>
      <c r="Q230" s="47">
        <f t="shared" ca="1" si="243"/>
        <v>0</v>
      </c>
      <c r="R230" s="47">
        <f t="shared" ca="1" si="235"/>
        <v>16.076000000000001</v>
      </c>
      <c r="S230" s="47">
        <f t="shared" si="253"/>
        <v>16.076000000000001</v>
      </c>
      <c r="U230" s="80" t="str">
        <f t="shared" ca="1" si="246"/>
        <v/>
      </c>
      <c r="V230" s="47">
        <f t="shared" ca="1" si="247"/>
        <v>16.076000000000001</v>
      </c>
    </row>
    <row r="231" spans="1:22" x14ac:dyDescent="0.2">
      <c r="B231" s="41" t="s">
        <v>175</v>
      </c>
      <c r="C231" s="47">
        <v>-1.9873859600000248</v>
      </c>
      <c r="D231" s="47">
        <v>-3.649614039999975</v>
      </c>
      <c r="E231" s="47">
        <v>6.6180000000000003</v>
      </c>
      <c r="F231" s="47">
        <v>-0.54388079999995986</v>
      </c>
      <c r="G231" s="47">
        <v>-1.2</v>
      </c>
      <c r="H231" s="47">
        <v>5.3630000000000004</v>
      </c>
      <c r="I231" s="47">
        <v>0.92200000000000004</v>
      </c>
      <c r="J231" s="47">
        <v>-0.16200000000000001</v>
      </c>
      <c r="K231" s="47"/>
      <c r="L231" s="47">
        <f t="shared" ca="1" si="249"/>
        <v>-5.6369999999999996</v>
      </c>
      <c r="M231" s="47">
        <f t="shared" ca="1" si="249"/>
        <v>6.0741192000000401</v>
      </c>
      <c r="N231" s="47">
        <f t="shared" ca="1" si="249"/>
        <v>4.1630000000000003</v>
      </c>
      <c r="O231" s="47">
        <f t="shared" ca="1" si="249"/>
        <v>0.76</v>
      </c>
      <c r="P231" s="47"/>
      <c r="Q231" s="47">
        <f t="shared" ca="1" si="243"/>
        <v>0.4371192000000409</v>
      </c>
      <c r="R231" s="47">
        <f t="shared" ca="1" si="235"/>
        <v>4.923</v>
      </c>
      <c r="S231" s="47">
        <f t="shared" si="253"/>
        <v>4.923</v>
      </c>
      <c r="U231" s="80">
        <f t="shared" ca="1" si="246"/>
        <v>10.26237419907325</v>
      </c>
      <c r="V231" s="47">
        <f t="shared" ca="1" si="247"/>
        <v>4.4858807999999595</v>
      </c>
    </row>
    <row r="232" spans="1:22" x14ac:dyDescent="0.2">
      <c r="B232" s="41" t="s">
        <v>176</v>
      </c>
      <c r="C232" s="47">
        <v>108.88482467</v>
      </c>
      <c r="D232" s="47">
        <v>160.98017533000001</v>
      </c>
      <c r="E232" s="47">
        <v>-5.8879999999999999</v>
      </c>
      <c r="F232" s="47">
        <v>0.50920400000002697</v>
      </c>
      <c r="G232" s="47">
        <v>0.14599999999999999</v>
      </c>
      <c r="H232" s="47">
        <v>2.5</v>
      </c>
      <c r="I232" s="47">
        <v>9.31</v>
      </c>
      <c r="J232" s="47">
        <v>118.128</v>
      </c>
      <c r="K232" s="47"/>
      <c r="L232" s="47">
        <f t="shared" ca="1" si="249"/>
        <v>269.86500000000001</v>
      </c>
      <c r="M232" s="47">
        <f t="shared" ca="1" si="249"/>
        <v>-5.3787959999999728</v>
      </c>
      <c r="N232" s="47">
        <f t="shared" ca="1" si="249"/>
        <v>2.6459999999999999</v>
      </c>
      <c r="O232" s="47">
        <f t="shared" ca="1" si="249"/>
        <v>127.438</v>
      </c>
      <c r="P232" s="47"/>
      <c r="Q232" s="47">
        <f t="shared" ca="1" si="243"/>
        <v>264.48620400000004</v>
      </c>
      <c r="R232" s="47">
        <f t="shared" ca="1" si="235"/>
        <v>130.084</v>
      </c>
      <c r="S232" s="47">
        <f t="shared" si="253"/>
        <v>130.084</v>
      </c>
      <c r="U232" s="80">
        <f t="shared" ca="1" si="246"/>
        <v>-0.50816338231388447</v>
      </c>
      <c r="V232" s="47">
        <f t="shared" ca="1" si="247"/>
        <v>-134.40220400000004</v>
      </c>
    </row>
    <row r="233" spans="1:22" x14ac:dyDescent="0.2">
      <c r="B233" s="41" t="s">
        <v>177</v>
      </c>
      <c r="C233" s="47">
        <v>-82.897694510000008</v>
      </c>
      <c r="D233" s="47">
        <v>-42.640305489999996</v>
      </c>
      <c r="E233" s="47">
        <v>-85.66</v>
      </c>
      <c r="F233" s="47">
        <v>-8.9930000000000003</v>
      </c>
      <c r="G233" s="47">
        <v>-23.001000000000001</v>
      </c>
      <c r="H233" s="47">
        <v>-152.07599999999999</v>
      </c>
      <c r="I233" s="47">
        <v>-0.755</v>
      </c>
      <c r="J233" s="47">
        <v>-1.4990000000000001</v>
      </c>
      <c r="K233" s="47"/>
      <c r="L233" s="47">
        <f t="shared" ca="1" si="249"/>
        <v>-125.53800000000001</v>
      </c>
      <c r="M233" s="47">
        <f t="shared" ca="1" si="249"/>
        <v>-94.652999999999992</v>
      </c>
      <c r="N233" s="47">
        <f t="shared" ca="1" si="249"/>
        <v>-175.077</v>
      </c>
      <c r="O233" s="47">
        <f t="shared" ca="1" si="249"/>
        <v>-2.254</v>
      </c>
      <c r="P233" s="47"/>
      <c r="Q233" s="47">
        <f t="shared" ca="1" si="243"/>
        <v>-220.191</v>
      </c>
      <c r="R233" s="47">
        <f t="shared" ca="1" si="235"/>
        <v>-177.33099999999999</v>
      </c>
      <c r="S233" s="47">
        <f t="shared" si="253"/>
        <v>-177.33099999999999</v>
      </c>
      <c r="U233" s="80">
        <f t="shared" ref="U233:U242" ca="1" si="254">IFERROR(SUMIF($C$4:$T$4,$U$2,$C233:$T233)/SUMIF($C$4:$T$4,$V$2,$C233:$T233)-1,"")</f>
        <v>-0.19464919092969291</v>
      </c>
      <c r="V233" s="47">
        <f t="shared" ref="V233:V242" ca="1" si="255">SUMIF($C$4:$T$4,$U$2,$C233:$T233)-SUMIF($C$4:$T$4,$V$2,$C233:$T233)</f>
        <v>42.860000000000014</v>
      </c>
    </row>
    <row r="234" spans="1:22" x14ac:dyDescent="0.2">
      <c r="B234" s="41" t="s">
        <v>178</v>
      </c>
      <c r="C234" s="47">
        <v>-4.4930377300000401</v>
      </c>
      <c r="D234" s="47">
        <v>0.41403773000004002</v>
      </c>
      <c r="E234" s="47">
        <v>-9.3030000000000008</v>
      </c>
      <c r="F234" s="47">
        <v>-5.3992205299999991</v>
      </c>
      <c r="G234" s="47">
        <v>-5.3070000000000004</v>
      </c>
      <c r="H234" s="47">
        <v>-4.0880000000000001</v>
      </c>
      <c r="I234" s="47">
        <v>-5.3109999999999999</v>
      </c>
      <c r="J234" s="47">
        <v>-5.3529999999999998</v>
      </c>
      <c r="K234" s="47"/>
      <c r="L234" s="47">
        <f t="shared" ca="1" si="249"/>
        <v>-4.0789999999999997</v>
      </c>
      <c r="M234" s="47">
        <f t="shared" ca="1" si="249"/>
        <v>-14.70222053</v>
      </c>
      <c r="N234" s="47">
        <f t="shared" ca="1" si="249"/>
        <v>-9.3949999999999996</v>
      </c>
      <c r="O234" s="47">
        <f t="shared" ca="1" si="249"/>
        <v>-10.664</v>
      </c>
      <c r="P234" s="47"/>
      <c r="Q234" s="47">
        <f t="shared" ca="1" si="243"/>
        <v>-18.781220529999999</v>
      </c>
      <c r="R234" s="47">
        <f t="shared" ca="1" si="243"/>
        <v>-20.058999999999997</v>
      </c>
      <c r="S234" s="47">
        <f t="shared" si="253"/>
        <v>-20.058999999999997</v>
      </c>
      <c r="U234" s="80">
        <f t="shared" ca="1" si="254"/>
        <v>6.803495374323254E-2</v>
      </c>
      <c r="V234" s="47">
        <f t="shared" ca="1" si="255"/>
        <v>-1.2777794699999987</v>
      </c>
    </row>
    <row r="235" spans="1:22" x14ac:dyDescent="0.2">
      <c r="B235" s="41" t="s">
        <v>179</v>
      </c>
      <c r="C235" s="47">
        <v>10.196944289999999</v>
      </c>
      <c r="D235" s="47">
        <v>-22.14694429</v>
      </c>
      <c r="E235" s="47">
        <v>47.277999999999999</v>
      </c>
      <c r="F235" s="47">
        <v>5.6020000000000003</v>
      </c>
      <c r="G235" s="47">
        <v>3.4340000000000002</v>
      </c>
      <c r="H235" s="47">
        <v>31.565999999999999</v>
      </c>
      <c r="I235" s="47">
        <v>-0.85</v>
      </c>
      <c r="J235" s="47">
        <v>0</v>
      </c>
      <c r="K235" s="47"/>
      <c r="L235" s="47">
        <f t="shared" ca="1" si="249"/>
        <v>-11.950000000000001</v>
      </c>
      <c r="M235" s="47">
        <f t="shared" ca="1" si="249"/>
        <v>52.879999999999995</v>
      </c>
      <c r="N235" s="47">
        <f t="shared" ca="1" si="249"/>
        <v>35</v>
      </c>
      <c r="O235" s="47">
        <f t="shared" ca="1" si="249"/>
        <v>-0.85</v>
      </c>
      <c r="P235" s="47"/>
      <c r="Q235" s="47">
        <f t="shared" ref="Q235:R238" ca="1" si="256">SUMIF($B$6:$K$6,Q$4,$B235:$J235)</f>
        <v>40.929999999999993</v>
      </c>
      <c r="R235" s="47">
        <f t="shared" ca="1" si="256"/>
        <v>34.15</v>
      </c>
      <c r="S235" s="47">
        <f t="shared" si="253"/>
        <v>34.15</v>
      </c>
      <c r="U235" s="80">
        <f t="shared" ca="1" si="254"/>
        <v>-0.16564866845834336</v>
      </c>
      <c r="V235" s="47">
        <f t="shared" ca="1" si="255"/>
        <v>-6.779999999999994</v>
      </c>
    </row>
    <row r="236" spans="1:22" s="34" customFormat="1" x14ac:dyDescent="0.2">
      <c r="A236" s="60"/>
      <c r="B236" s="33" t="s">
        <v>180</v>
      </c>
      <c r="C236" s="51">
        <f>SUM(C229:C235)</f>
        <v>16.849083039999876</v>
      </c>
      <c r="D236" s="51">
        <f t="shared" ref="D236:J236" si="257">SUM(D229:D235)</f>
        <v>95.186916960000133</v>
      </c>
      <c r="E236" s="51">
        <f t="shared" si="257"/>
        <v>-71.298000000000002</v>
      </c>
      <c r="F236" s="51">
        <f t="shared" si="257"/>
        <v>-54.414296339999908</v>
      </c>
      <c r="G236" s="51">
        <f t="shared" si="257"/>
        <v>-29.456</v>
      </c>
      <c r="H236" s="51">
        <f t="shared" si="257"/>
        <v>-124.18599999999998</v>
      </c>
      <c r="I236" s="51">
        <f t="shared" si="257"/>
        <v>-21.033000000000001</v>
      </c>
      <c r="J236" s="51">
        <f t="shared" si="257"/>
        <v>-338.37900000000002</v>
      </c>
      <c r="K236" s="52"/>
      <c r="L236" s="51">
        <f t="shared" ca="1" si="249"/>
        <v>112.036</v>
      </c>
      <c r="M236" s="51">
        <f t="shared" ca="1" si="249"/>
        <v>-125.71229633999991</v>
      </c>
      <c r="N236" s="51">
        <f t="shared" ca="1" si="249"/>
        <v>-153.64199999999997</v>
      </c>
      <c r="O236" s="51">
        <f t="shared" ca="1" si="249"/>
        <v>-359.41200000000003</v>
      </c>
      <c r="P236" s="52"/>
      <c r="Q236" s="51">
        <f t="shared" ca="1" si="256"/>
        <v>-13.676296339999908</v>
      </c>
      <c r="R236" s="51">
        <f t="shared" ca="1" si="256"/>
        <v>-513.05399999999997</v>
      </c>
      <c r="S236" s="51">
        <f t="shared" si="253"/>
        <v>-513.05399999999997</v>
      </c>
      <c r="U236" s="81">
        <f t="shared" ca="1" si="254"/>
        <v>36.514103763563476</v>
      </c>
      <c r="V236" s="45">
        <f t="shared" ca="1" si="255"/>
        <v>-499.37770366000007</v>
      </c>
    </row>
    <row r="237" spans="1:22" x14ac:dyDescent="0.2">
      <c r="B237" s="41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U237" s="80" t="str">
        <f t="shared" si="254"/>
        <v/>
      </c>
      <c r="V237" s="47">
        <f t="shared" si="255"/>
        <v>0</v>
      </c>
    </row>
    <row r="238" spans="1:22" s="34" customFormat="1" x14ac:dyDescent="0.2">
      <c r="A238" s="60"/>
      <c r="B238" s="44" t="s">
        <v>181</v>
      </c>
      <c r="C238" s="53">
        <f>SUM(C236,C226,C217)</f>
        <v>73.515049222474261</v>
      </c>
      <c r="D238" s="53">
        <f>SUM(D236,D226,D217)</f>
        <v>263.1649507775258</v>
      </c>
      <c r="E238" s="53">
        <f t="shared" ref="E238:J238" si="258">SUM(E236,E226,E217)</f>
        <v>-356.47299999999984</v>
      </c>
      <c r="F238" s="53">
        <f t="shared" si="258"/>
        <v>229.2276418137474</v>
      </c>
      <c r="G238" s="53">
        <f t="shared" si="258"/>
        <v>-73.923000000000002</v>
      </c>
      <c r="H238" s="53">
        <f t="shared" si="258"/>
        <v>-112.15299999999985</v>
      </c>
      <c r="I238" s="53">
        <f t="shared" si="258"/>
        <v>104.28000000000009</v>
      </c>
      <c r="J238" s="53">
        <f t="shared" si="258"/>
        <v>4.7709999999999582</v>
      </c>
      <c r="K238" s="52"/>
      <c r="L238" s="53">
        <f t="shared" ca="1" si="249"/>
        <v>336.68000000000006</v>
      </c>
      <c r="M238" s="53">
        <f t="shared" ca="1" si="249"/>
        <v>-127.24535818625245</v>
      </c>
      <c r="N238" s="53">
        <f t="shared" ca="1" si="249"/>
        <v>-186.07599999999985</v>
      </c>
      <c r="O238" s="53">
        <f t="shared" ca="1" si="249"/>
        <v>109.05100000000004</v>
      </c>
      <c r="P238" s="52"/>
      <c r="Q238" s="53">
        <f t="shared" ca="1" si="256"/>
        <v>209.43464181374762</v>
      </c>
      <c r="R238" s="53">
        <f t="shared" ca="1" si="256"/>
        <v>-77.024999999999807</v>
      </c>
      <c r="S238" s="53">
        <f t="shared" ref="S238" si="259">SUMIFS($B238:$K238,$B$8:$K$8,"&gt;="&amp;$S$7,$B$8:$K$8,"&lt;="&amp;$S$8)</f>
        <v>-77.024999999999807</v>
      </c>
      <c r="U238" s="83">
        <f t="shared" ca="1" si="254"/>
        <v>-1.3677758337061494</v>
      </c>
      <c r="V238" s="53">
        <f t="shared" ca="1" si="255"/>
        <v>-286.45964181374745</v>
      </c>
    </row>
    <row r="239" spans="1:22" x14ac:dyDescent="0.2">
      <c r="B239" s="41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U239" s="80" t="str">
        <f t="shared" si="254"/>
        <v/>
      </c>
      <c r="V239" s="47">
        <f t="shared" si="255"/>
        <v>0</v>
      </c>
    </row>
    <row r="240" spans="1:22" s="10" customFormat="1" x14ac:dyDescent="0.2">
      <c r="A240" s="58"/>
      <c r="B240" s="40" t="s">
        <v>182</v>
      </c>
      <c r="C240" s="46">
        <v>115.60274679552403</v>
      </c>
      <c r="D240" s="46">
        <v>189.11782555000008</v>
      </c>
      <c r="E240" s="46">
        <v>452.28300000000002</v>
      </c>
      <c r="F240" s="46">
        <v>95.810490452914323</v>
      </c>
      <c r="G240" s="46">
        <v>325.03800000000001</v>
      </c>
      <c r="H240" s="46">
        <v>251.11500000000001</v>
      </c>
      <c r="I240" s="46">
        <v>138.96199999999999</v>
      </c>
      <c r="J240" s="46">
        <v>243.24199999999999</v>
      </c>
      <c r="K240" s="46"/>
      <c r="L240" s="46">
        <f ca="1">SUMIF($B$8:$K$8,EDATE(L$8,-3),$B240:$J240)</f>
        <v>115.60274679552403</v>
      </c>
      <c r="M240" s="46">
        <f t="shared" ref="M240:O240" ca="1" si="260">SUMIF($B$8:$K$8,EDATE(M$8,-3),$B240:$J240)</f>
        <v>452.28300000000002</v>
      </c>
      <c r="N240" s="46">
        <f t="shared" ca="1" si="260"/>
        <v>325.03800000000001</v>
      </c>
      <c r="O240" s="46">
        <f t="shared" ca="1" si="260"/>
        <v>138.96199999999999</v>
      </c>
      <c r="P240" s="46"/>
      <c r="Q240" s="46">
        <f ca="1">SUMIF($B$8:$K$8,EDATE(Q$8,-9),$B240:$J240)</f>
        <v>115.60274679552403</v>
      </c>
      <c r="R240" s="46">
        <f t="shared" ref="R240:S240" ca="1" si="261">SUMIF($B$8:$K$8,EDATE(R$8,-9),$B240:$J240)</f>
        <v>325.03800000000001</v>
      </c>
      <c r="S240" s="46">
        <f t="shared" ca="1" si="261"/>
        <v>325.03800000000001</v>
      </c>
      <c r="U240" s="82">
        <f t="shared" ca="1" si="254"/>
        <v>1.8116805959197588</v>
      </c>
      <c r="V240" s="46">
        <f t="shared" ca="1" si="255"/>
        <v>209.435253204476</v>
      </c>
    </row>
    <row r="241" spans="1:22" x14ac:dyDescent="0.2">
      <c r="B241" s="41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U241" s="80" t="str">
        <f t="shared" si="254"/>
        <v/>
      </c>
      <c r="V241" s="47">
        <f t="shared" si="255"/>
        <v>0</v>
      </c>
    </row>
    <row r="242" spans="1:22" s="10" customFormat="1" x14ac:dyDescent="0.2">
      <c r="A242" s="58"/>
      <c r="B242" s="40" t="s">
        <v>183</v>
      </c>
      <c r="C242" s="46">
        <v>189.11782555000008</v>
      </c>
      <c r="D242" s="46">
        <v>452.28300000000002</v>
      </c>
      <c r="E242" s="46">
        <v>95.810490452914323</v>
      </c>
      <c r="F242" s="46">
        <v>325.03800000000001</v>
      </c>
      <c r="G242" s="46">
        <v>251.11500000000001</v>
      </c>
      <c r="H242" s="46">
        <v>138.96199999999999</v>
      </c>
      <c r="I242" s="46">
        <v>243.24199999999999</v>
      </c>
      <c r="J242" s="46">
        <v>248.01400000000001</v>
      </c>
      <c r="K242" s="46"/>
      <c r="L242" s="46">
        <f ca="1">SUMIF($B$8:$K$8,L$8,$B242:$J242)</f>
        <v>452.28300000000002</v>
      </c>
      <c r="M242" s="46">
        <f t="shared" ref="M242:S242" ca="1" si="262">SUMIF($B$8:$K$8,M$8,$B242:$J242)</f>
        <v>325.03800000000001</v>
      </c>
      <c r="N242" s="46">
        <f t="shared" ca="1" si="262"/>
        <v>138.96199999999999</v>
      </c>
      <c r="O242" s="46">
        <f t="shared" ca="1" si="262"/>
        <v>248.01400000000001</v>
      </c>
      <c r="P242" s="46"/>
      <c r="Q242" s="46">
        <f t="shared" ca="1" si="262"/>
        <v>325.03800000000001</v>
      </c>
      <c r="R242" s="46">
        <f t="shared" ca="1" si="262"/>
        <v>248.01400000000001</v>
      </c>
      <c r="S242" s="46">
        <f t="shared" ca="1" si="262"/>
        <v>248.01400000000001</v>
      </c>
      <c r="U242" s="82">
        <f t="shared" ca="1" si="254"/>
        <v>-0.23696921590706321</v>
      </c>
      <c r="V242" s="46">
        <f t="shared" ca="1" si="255"/>
        <v>-77.024000000000001</v>
      </c>
    </row>
    <row r="243" spans="1:22" x14ac:dyDescent="0.2">
      <c r="L243" s="35"/>
      <c r="M243" s="35"/>
      <c r="N243" s="35"/>
      <c r="O243" s="35"/>
      <c r="Q243" s="35"/>
      <c r="R243" s="35"/>
      <c r="S243" s="35"/>
      <c r="U243" s="35"/>
      <c r="V243" s="35"/>
    </row>
    <row r="244" spans="1:22" x14ac:dyDescent="0.2">
      <c r="C244" s="69"/>
      <c r="D244" s="69"/>
      <c r="E244" s="69"/>
      <c r="F244" s="69"/>
      <c r="G244" s="69"/>
      <c r="H244" s="69"/>
      <c r="I244" s="69"/>
      <c r="J244" s="69"/>
      <c r="L244" s="35"/>
      <c r="M244" s="35"/>
      <c r="N244" s="35"/>
      <c r="O244" s="35"/>
      <c r="Q244" s="35"/>
      <c r="R244" s="35"/>
      <c r="S244" s="35"/>
      <c r="U244" s="35"/>
      <c r="V244" s="35"/>
    </row>
    <row r="245" spans="1:22" x14ac:dyDescent="0.2">
      <c r="L245" s="35"/>
      <c r="M245" s="35"/>
      <c r="N245" s="35"/>
      <c r="O245" s="35"/>
      <c r="Q245" s="35"/>
      <c r="R245" s="35"/>
      <c r="S245" s="35"/>
      <c r="U245" s="35"/>
      <c r="V245" s="35"/>
    </row>
    <row r="246" spans="1:22" x14ac:dyDescent="0.2">
      <c r="L246" s="35"/>
      <c r="M246" s="35"/>
      <c r="N246" s="35"/>
      <c r="O246" s="35"/>
      <c r="Q246" s="35"/>
      <c r="R246" s="35"/>
      <c r="S246" s="35"/>
      <c r="U246" s="35"/>
      <c r="V246" s="35"/>
    </row>
    <row r="247" spans="1:22" x14ac:dyDescent="0.2">
      <c r="L247" s="35"/>
      <c r="M247" s="35"/>
      <c r="N247" s="35"/>
      <c r="O247" s="35"/>
      <c r="Q247" s="35"/>
      <c r="R247" s="35"/>
      <c r="S247" s="35"/>
      <c r="U247" s="35"/>
      <c r="V247" s="35"/>
    </row>
    <row r="248" spans="1:22" x14ac:dyDescent="0.2">
      <c r="L248" s="35"/>
      <c r="M248" s="35"/>
      <c r="N248" s="35"/>
      <c r="O248" s="35"/>
      <c r="Q248" s="35"/>
      <c r="R248" s="35"/>
      <c r="S248" s="35"/>
      <c r="U248" s="35"/>
      <c r="V248" s="35"/>
    </row>
  </sheetData>
  <mergeCells count="1">
    <mergeCell ref="U3:V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AF41-9638-49AC-8EA5-DFD3D32DB782}">
  <sheetPr>
    <tabColor theme="3" tint="0.499984740745262"/>
  </sheetPr>
  <dimension ref="A1:X234"/>
  <sheetViews>
    <sheetView showGridLines="0" zoomScale="85" zoomScaleNormal="85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2.75" x14ac:dyDescent="0.2"/>
  <cols>
    <col min="1" max="1" width="1.625" style="26" customWidth="1"/>
    <col min="2" max="2" width="54.625" style="7" customWidth="1"/>
    <col min="3" max="10" width="8.625" style="8" customWidth="1"/>
    <col min="11" max="11" width="1.625" style="8" customWidth="1"/>
    <col min="12" max="15" width="8.625" style="8" customWidth="1"/>
    <col min="16" max="16" width="1.625" style="8" customWidth="1"/>
    <col min="17" max="19" width="8.625" style="8" customWidth="1"/>
    <col min="20" max="20" width="1.625" style="7" customWidth="1"/>
    <col min="21" max="22" width="9" style="7"/>
    <col min="23" max="23" width="6.125" style="7" customWidth="1"/>
    <col min="24" max="16384" width="9" style="7"/>
  </cols>
  <sheetData>
    <row r="1" spans="1:24" ht="8.1" customHeight="1" x14ac:dyDescent="0.2"/>
    <row r="2" spans="1:24" ht="12" customHeight="1" x14ac:dyDescent="0.2">
      <c r="U2" s="8">
        <v>2021</v>
      </c>
      <c r="V2" s="8">
        <v>2020</v>
      </c>
      <c r="X2" s="71" t="s">
        <v>245</v>
      </c>
    </row>
    <row r="3" spans="1:24" ht="15" customHeight="1" x14ac:dyDescent="0.2">
      <c r="U3" s="86" t="str">
        <f>U2&amp;" vs "&amp;V2</f>
        <v>2021 vs 2020</v>
      </c>
      <c r="V3" s="86"/>
    </row>
    <row r="4" spans="1:24" s="18" customFormat="1" ht="15" customHeight="1" x14ac:dyDescent="0.2">
      <c r="A4" s="27"/>
      <c r="B4" s="15" t="s">
        <v>3</v>
      </c>
      <c r="C4" s="16" t="str">
        <f>IF(MONTH(C8)=3,"1T",IF(MONTH(C8)=6,"2T",IF(MONTH(C8)=9,"3T",IF(MONTH(C8)=12,"4T"))))&amp;RIGHT(C6,2)</f>
        <v>1T20</v>
      </c>
      <c r="D4" s="16" t="str">
        <f t="shared" ref="D4:J4" si="0">IF(MONTH(D8)=3,"1T",IF(MONTH(D8)=6,"2T",IF(MONTH(D8)=9,"3T",IF(MONTH(D8)=12,"4T"))))&amp;RIGHT(D6,2)</f>
        <v>2T20</v>
      </c>
      <c r="E4" s="16" t="str">
        <f t="shared" si="0"/>
        <v>3T20</v>
      </c>
      <c r="F4" s="16" t="str">
        <f t="shared" si="0"/>
        <v>4T20</v>
      </c>
      <c r="G4" s="16" t="str">
        <f t="shared" si="0"/>
        <v>1T21</v>
      </c>
      <c r="H4" s="16" t="str">
        <f t="shared" si="0"/>
        <v>2T21</v>
      </c>
      <c r="I4" s="16" t="str">
        <f t="shared" si="0"/>
        <v>3T21</v>
      </c>
      <c r="J4" s="16" t="str">
        <f t="shared" si="0"/>
        <v>4T21</v>
      </c>
      <c r="K4" s="17"/>
      <c r="L4" s="16" t="s">
        <v>8</v>
      </c>
      <c r="M4" s="16" t="s">
        <v>9</v>
      </c>
      <c r="N4" s="16" t="s">
        <v>10</v>
      </c>
      <c r="O4" s="16" t="s">
        <v>11</v>
      </c>
      <c r="P4" s="17"/>
      <c r="Q4" s="16">
        <v>2020</v>
      </c>
      <c r="R4" s="16">
        <v>2021</v>
      </c>
      <c r="S4" s="16" t="s">
        <v>191</v>
      </c>
      <c r="U4" s="16" t="s">
        <v>243</v>
      </c>
      <c r="V4" s="16" t="s">
        <v>244</v>
      </c>
    </row>
    <row r="5" spans="1:24" ht="5.0999999999999996" customHeight="1" x14ac:dyDescent="0.2">
      <c r="U5" s="8"/>
      <c r="V5" s="8"/>
    </row>
    <row r="6" spans="1:24" s="11" customFormat="1" x14ac:dyDescent="0.2">
      <c r="A6" s="28"/>
      <c r="B6" s="11" t="s">
        <v>0</v>
      </c>
      <c r="C6" s="12">
        <f>YEAR(C8)</f>
        <v>2020</v>
      </c>
      <c r="D6" s="12">
        <f>YEAR(D8)</f>
        <v>2020</v>
      </c>
      <c r="E6" s="12">
        <f t="shared" ref="E6:J6" si="1">YEAR(E8)</f>
        <v>2020</v>
      </c>
      <c r="F6" s="12">
        <f t="shared" si="1"/>
        <v>2020</v>
      </c>
      <c r="G6" s="12">
        <f t="shared" si="1"/>
        <v>2021</v>
      </c>
      <c r="H6" s="12">
        <f t="shared" si="1"/>
        <v>2021</v>
      </c>
      <c r="I6" s="12">
        <f t="shared" si="1"/>
        <v>2021</v>
      </c>
      <c r="J6" s="12">
        <f t="shared" si="1"/>
        <v>2021</v>
      </c>
      <c r="K6" s="12"/>
      <c r="L6" s="12"/>
      <c r="M6" s="12"/>
      <c r="N6" s="12"/>
      <c r="O6" s="12"/>
      <c r="P6" s="12"/>
      <c r="Q6" s="12"/>
      <c r="R6" s="12"/>
      <c r="S6" s="12"/>
      <c r="U6" s="12"/>
      <c r="V6" s="12"/>
    </row>
    <row r="7" spans="1:24" s="11" customFormat="1" x14ac:dyDescent="0.2">
      <c r="A7" s="28"/>
      <c r="B7" s="11" t="s">
        <v>1</v>
      </c>
      <c r="C7" s="12" t="str">
        <f>IF(MONTH(C8)=3,"1S",IF(MONTH(C8)=6,"1S",IF(MONTH(C8)=9,"2S",IF(MONTH(C8)=12,"2S"))))&amp;RIGHT(C6,2)</f>
        <v>1S20</v>
      </c>
      <c r="D7" s="12" t="str">
        <f>IF(MONTH(D8)=3,"1S",IF(MONTH(D8)=6,"1S",IF(MONTH(D8)=9,"2S",IF(MONTH(D8)=12,"2S"))))&amp;RIGHT(D6,2)</f>
        <v>1S20</v>
      </c>
      <c r="E7" s="12" t="str">
        <f t="shared" ref="E7:J7" si="2">IF(MONTH(E8)=3,"1S",IF(MONTH(E8)=6,"1S",IF(MONTH(E8)=9,"2S",IF(MONTH(E8)=12,"2S"))))&amp;RIGHT(E6,2)</f>
        <v>2S20</v>
      </c>
      <c r="F7" s="12" t="str">
        <f t="shared" si="2"/>
        <v>2S20</v>
      </c>
      <c r="G7" s="12" t="str">
        <f t="shared" si="2"/>
        <v>1S21</v>
      </c>
      <c r="H7" s="12" t="str">
        <f t="shared" si="2"/>
        <v>1S21</v>
      </c>
      <c r="I7" s="12" t="str">
        <f t="shared" si="2"/>
        <v>2S21</v>
      </c>
      <c r="J7" s="12" t="str">
        <f t="shared" si="2"/>
        <v>2S21</v>
      </c>
      <c r="K7" s="12"/>
      <c r="L7" s="12"/>
      <c r="M7" s="12"/>
      <c r="N7" s="12"/>
      <c r="O7" s="12"/>
      <c r="P7" s="12"/>
      <c r="Q7" s="12"/>
      <c r="R7" s="12"/>
      <c r="S7" s="13">
        <f>EDATE(S8,-11)</f>
        <v>44197</v>
      </c>
      <c r="U7" s="13"/>
      <c r="V7" s="13"/>
    </row>
    <row r="8" spans="1:24" s="11" customFormat="1" x14ac:dyDescent="0.2">
      <c r="A8" s="28"/>
      <c r="B8" s="11" t="s">
        <v>2</v>
      </c>
      <c r="C8" s="13">
        <v>43891</v>
      </c>
      <c r="D8" s="13">
        <f>EDATE(C8,3)</f>
        <v>43983</v>
      </c>
      <c r="E8" s="13">
        <f t="shared" ref="E8:J8" si="3">EDATE(D8,3)</f>
        <v>44075</v>
      </c>
      <c r="F8" s="13">
        <f t="shared" si="3"/>
        <v>44166</v>
      </c>
      <c r="G8" s="13">
        <f t="shared" si="3"/>
        <v>44256</v>
      </c>
      <c r="H8" s="13">
        <f t="shared" si="3"/>
        <v>44348</v>
      </c>
      <c r="I8" s="13">
        <f t="shared" si="3"/>
        <v>44440</v>
      </c>
      <c r="J8" s="13">
        <f t="shared" si="3"/>
        <v>44531</v>
      </c>
      <c r="K8" s="12"/>
      <c r="L8" s="13">
        <v>43983</v>
      </c>
      <c r="M8" s="13">
        <f>EDATE(L8,6)</f>
        <v>44166</v>
      </c>
      <c r="N8" s="13">
        <f>EDATE(M8,6)</f>
        <v>44348</v>
      </c>
      <c r="O8" s="13">
        <f>EDATE(N8,6)</f>
        <v>44531</v>
      </c>
      <c r="P8" s="12"/>
      <c r="Q8" s="13">
        <v>44166</v>
      </c>
      <c r="R8" s="13">
        <v>44531</v>
      </c>
      <c r="S8" s="13">
        <v>44531</v>
      </c>
      <c r="U8" s="13"/>
      <c r="V8" s="13"/>
    </row>
    <row r="9" spans="1:24" ht="5.0999999999999996" customHeight="1" x14ac:dyDescent="0.2">
      <c r="U9" s="8"/>
      <c r="V9" s="8"/>
    </row>
    <row r="10" spans="1:24" s="18" customFormat="1" ht="15" x14ac:dyDescent="0.2">
      <c r="A10" s="27"/>
      <c r="B10" s="19" t="s">
        <v>201</v>
      </c>
      <c r="C10" s="20"/>
      <c r="D10" s="20"/>
      <c r="E10" s="20"/>
      <c r="F10" s="20"/>
      <c r="G10" s="20"/>
      <c r="H10" s="20"/>
      <c r="I10" s="20"/>
      <c r="J10" s="20"/>
      <c r="K10" s="17"/>
      <c r="L10" s="20"/>
      <c r="M10" s="20"/>
      <c r="N10" s="20"/>
      <c r="O10" s="20"/>
      <c r="P10" s="17"/>
      <c r="Q10" s="21"/>
      <c r="R10" s="21"/>
      <c r="S10" s="21"/>
      <c r="U10" s="21"/>
      <c r="V10" s="21"/>
    </row>
    <row r="11" spans="1:24" x14ac:dyDescent="0.2">
      <c r="U11" s="72"/>
      <c r="V11" s="8"/>
    </row>
    <row r="12" spans="1:24" s="10" customFormat="1" x14ac:dyDescent="0.2">
      <c r="A12" s="29"/>
      <c r="B12" s="22" t="s">
        <v>192</v>
      </c>
      <c r="C12" s="45">
        <f>SUM(C13:C17)</f>
        <v>2119.8631457899996</v>
      </c>
      <c r="D12" s="45">
        <f t="shared" ref="D12:J12" si="4">SUM(D13:D17)</f>
        <v>2001.8164215800002</v>
      </c>
      <c r="E12" s="45">
        <f t="shared" si="4"/>
        <v>2613.7223515299997</v>
      </c>
      <c r="F12" s="45">
        <f t="shared" si="4"/>
        <v>3032.5261567834445</v>
      </c>
      <c r="G12" s="45">
        <f t="shared" si="4"/>
        <v>2758.0989760299999</v>
      </c>
      <c r="H12" s="45">
        <f t="shared" si="4"/>
        <v>3661.6383347999999</v>
      </c>
      <c r="I12" s="45">
        <f t="shared" si="4"/>
        <v>3870.3151304000007</v>
      </c>
      <c r="J12" s="45">
        <f t="shared" si="4"/>
        <v>4088.2985691000003</v>
      </c>
      <c r="K12" s="46"/>
      <c r="L12" s="45">
        <f ca="1">SUMIF($B$7:$K$7,L$4,$B12:$J12)</f>
        <v>4121.6795673699999</v>
      </c>
      <c r="M12" s="45">
        <f t="shared" ref="M12:O23" ca="1" si="5">SUMIF($B$7:$K$7,M$4,$B12:$J12)</f>
        <v>5646.2485083134443</v>
      </c>
      <c r="N12" s="45">
        <f t="shared" ca="1" si="5"/>
        <v>6419.7373108299998</v>
      </c>
      <c r="O12" s="45">
        <f t="shared" ca="1" si="5"/>
        <v>7958.6136995000015</v>
      </c>
      <c r="P12" s="46"/>
      <c r="Q12" s="45">
        <f ca="1">SUMIF($B$6:$K$6,Q$4,$B12:$J12)</f>
        <v>9767.9280756834432</v>
      </c>
      <c r="R12" s="45">
        <f t="shared" ref="R12:R23" ca="1" si="6">SUMIF($B$6:$K$6,R$4,$B12:$J12)</f>
        <v>14378.35101033</v>
      </c>
      <c r="S12" s="45">
        <f>SUMIFS($B12:$K12,$B$8:$K$8,"&gt;="&amp;$S$7,$B$8:$K$8,"&lt;="&amp;$S$8)</f>
        <v>14378.35101033</v>
      </c>
      <c r="U12" s="73">
        <f t="shared" ref="U12:U17" ca="1" si="7">SUMIF($C$4:$T$4,$U$2,$C12:$T12)/SUMIF($C$4:$T$4,$V$2,$C12:$T12)-1</f>
        <v>0.47199599535584968</v>
      </c>
      <c r="V12" s="45">
        <f t="shared" ref="V12:V17" ca="1" si="8">SUMIF($C$4:$T$4,$U$2,$C12:$T12)-SUMIF($C$4:$T$4,$V$2,$C12:$T12)</f>
        <v>4610.4229346465563</v>
      </c>
    </row>
    <row r="13" spans="1:24" x14ac:dyDescent="0.2">
      <c r="B13" s="14" t="s">
        <v>193</v>
      </c>
      <c r="C13" s="47">
        <v>699.36165233000008</v>
      </c>
      <c r="D13" s="47">
        <v>980.59757937000018</v>
      </c>
      <c r="E13" s="47">
        <v>1200.8724772199998</v>
      </c>
      <c r="F13" s="47">
        <v>1190.1478098499999</v>
      </c>
      <c r="G13" s="47">
        <v>1061.9441957999998</v>
      </c>
      <c r="H13" s="47">
        <v>1448.2971641000001</v>
      </c>
      <c r="I13" s="47">
        <v>1392.3728998900003</v>
      </c>
      <c r="J13" s="47">
        <v>1604.9286750100002</v>
      </c>
      <c r="K13" s="47"/>
      <c r="L13" s="47">
        <f t="shared" ref="L13:L17" ca="1" si="9">SUMIF($B$7:$K$7,L$4,$B13:$J13)</f>
        <v>1679.9592317000001</v>
      </c>
      <c r="M13" s="47">
        <f t="shared" ca="1" si="5"/>
        <v>2391.0202870699995</v>
      </c>
      <c r="N13" s="47">
        <f t="shared" ca="1" si="5"/>
        <v>2510.2413599000001</v>
      </c>
      <c r="O13" s="47">
        <f t="shared" ca="1" si="5"/>
        <v>2997.3015749000006</v>
      </c>
      <c r="P13" s="47"/>
      <c r="Q13" s="47">
        <f t="shared" ref="Q13:Q17" ca="1" si="10">SUMIF($B$6:$K$6,Q$4,$B13:$J13)</f>
        <v>4070.9795187700001</v>
      </c>
      <c r="R13" s="47">
        <f t="shared" ca="1" si="6"/>
        <v>5507.5429348000007</v>
      </c>
      <c r="S13" s="47">
        <f t="shared" ref="S13:S17" si="11">SUMIFS($B13:$K13,$B$8:$K$8,"&gt;="&amp;$S$7,$B$8:$K$8,"&lt;="&amp;$S$8)</f>
        <v>5507.5429348000007</v>
      </c>
      <c r="U13" s="80">
        <f t="shared" ca="1" si="7"/>
        <v>0.35287905758465765</v>
      </c>
      <c r="V13" s="47">
        <f t="shared" ca="1" si="8"/>
        <v>1436.5634160300006</v>
      </c>
    </row>
    <row r="14" spans="1:24" x14ac:dyDescent="0.2">
      <c r="B14" s="14" t="s">
        <v>194</v>
      </c>
      <c r="C14" s="47">
        <v>84.810601350000013</v>
      </c>
      <c r="D14" s="47">
        <v>78.798118150000008</v>
      </c>
      <c r="E14" s="47">
        <v>88.642388899999986</v>
      </c>
      <c r="F14" s="47">
        <v>87.359736503443983</v>
      </c>
      <c r="G14" s="47">
        <v>83.877406620000002</v>
      </c>
      <c r="H14" s="47">
        <v>97.466434510000013</v>
      </c>
      <c r="I14" s="47">
        <v>108.80741080000003</v>
      </c>
      <c r="J14" s="47">
        <v>111.61248007999997</v>
      </c>
      <c r="K14" s="47"/>
      <c r="L14" s="47">
        <f t="shared" ca="1" si="9"/>
        <v>163.60871950000001</v>
      </c>
      <c r="M14" s="47">
        <f t="shared" ca="1" si="5"/>
        <v>176.00212540344398</v>
      </c>
      <c r="N14" s="47">
        <f t="shared" ca="1" si="5"/>
        <v>181.34384113000002</v>
      </c>
      <c r="O14" s="47">
        <f t="shared" ca="1" si="5"/>
        <v>220.41989088</v>
      </c>
      <c r="P14" s="47"/>
      <c r="Q14" s="47">
        <f t="shared" ca="1" si="10"/>
        <v>339.61084490344399</v>
      </c>
      <c r="R14" s="47">
        <f t="shared" ca="1" si="6"/>
        <v>401.76373201000001</v>
      </c>
      <c r="S14" s="47">
        <f t="shared" si="11"/>
        <v>401.76373201000001</v>
      </c>
      <c r="U14" s="80">
        <f t="shared" ca="1" si="7"/>
        <v>0.18301207997120028</v>
      </c>
      <c r="V14" s="47">
        <f t="shared" ca="1" si="8"/>
        <v>62.152887106556022</v>
      </c>
    </row>
    <row r="15" spans="1:24" x14ac:dyDescent="0.2">
      <c r="B15" s="14" t="s">
        <v>195</v>
      </c>
      <c r="C15" s="47">
        <v>160.04883781999999</v>
      </c>
      <c r="D15" s="47">
        <v>116.12984007999998</v>
      </c>
      <c r="E15" s="47">
        <v>170.57948514</v>
      </c>
      <c r="F15" s="47">
        <v>279.90120799999994</v>
      </c>
      <c r="G15" s="47">
        <v>353.1209126</v>
      </c>
      <c r="H15" s="47">
        <v>496.41247403000006</v>
      </c>
      <c r="I15" s="47">
        <v>500.28870430000006</v>
      </c>
      <c r="J15" s="47">
        <v>398.64654385</v>
      </c>
      <c r="K15" s="47"/>
      <c r="L15" s="47">
        <f t="shared" ca="1" si="9"/>
        <v>276.17867789999997</v>
      </c>
      <c r="M15" s="47">
        <f t="shared" ca="1" si="5"/>
        <v>450.48069313999997</v>
      </c>
      <c r="N15" s="47">
        <f t="shared" ca="1" si="5"/>
        <v>849.53338663</v>
      </c>
      <c r="O15" s="47">
        <f t="shared" ca="1" si="5"/>
        <v>898.93524815000001</v>
      </c>
      <c r="P15" s="47"/>
      <c r="Q15" s="47">
        <f t="shared" ca="1" si="10"/>
        <v>726.65937104</v>
      </c>
      <c r="R15" s="47">
        <f t="shared" ca="1" si="6"/>
        <v>1748.46863478</v>
      </c>
      <c r="S15" s="47">
        <f t="shared" si="11"/>
        <v>1748.46863478</v>
      </c>
      <c r="U15" s="80">
        <f t="shared" ca="1" si="7"/>
        <v>1.4061736550339665</v>
      </c>
      <c r="V15" s="47">
        <f t="shared" ca="1" si="8"/>
        <v>1021.80926374</v>
      </c>
    </row>
    <row r="16" spans="1:24" x14ac:dyDescent="0.2">
      <c r="B16" s="14" t="s">
        <v>196</v>
      </c>
      <c r="C16" s="47">
        <v>0.44849264</v>
      </c>
      <c r="D16" s="47">
        <v>2.238</v>
      </c>
      <c r="E16" s="47">
        <v>0.13777232</v>
      </c>
      <c r="F16" s="47">
        <v>2.76352631</v>
      </c>
      <c r="G16" s="47">
        <v>0.1455024</v>
      </c>
      <c r="H16" s="47">
        <v>1.1534608599999998</v>
      </c>
      <c r="I16" s="47">
        <v>1.72268</v>
      </c>
      <c r="J16" s="47">
        <v>2.4368407699999999</v>
      </c>
      <c r="K16" s="47"/>
      <c r="L16" s="47">
        <f t="shared" ca="1" si="9"/>
        <v>2.68649264</v>
      </c>
      <c r="M16" s="47">
        <f t="shared" ca="1" si="5"/>
        <v>2.9012986299999999</v>
      </c>
      <c r="N16" s="47">
        <f t="shared" ca="1" si="5"/>
        <v>1.2989632599999998</v>
      </c>
      <c r="O16" s="47">
        <f t="shared" ca="1" si="5"/>
        <v>4.1595207700000003</v>
      </c>
      <c r="P16" s="47"/>
      <c r="Q16" s="47">
        <f t="shared" ca="1" si="10"/>
        <v>5.5877912700000003</v>
      </c>
      <c r="R16" s="47">
        <f t="shared" ca="1" si="6"/>
        <v>5.4584840299999993</v>
      </c>
      <c r="S16" s="47">
        <f t="shared" si="11"/>
        <v>5.4584840299999993</v>
      </c>
      <c r="T16" s="10"/>
      <c r="U16" s="80">
        <f t="shared" ca="1" si="7"/>
        <v>-2.314102903131543E-2</v>
      </c>
      <c r="V16" s="47">
        <f t="shared" ca="1" si="8"/>
        <v>-0.12930724000000104</v>
      </c>
    </row>
    <row r="17" spans="1:22" x14ac:dyDescent="0.2">
      <c r="B17" s="14" t="s">
        <v>197</v>
      </c>
      <c r="C17" s="47">
        <v>1175.1935616499995</v>
      </c>
      <c r="D17" s="47">
        <v>824.05288398000027</v>
      </c>
      <c r="E17" s="47">
        <v>1153.4902279499997</v>
      </c>
      <c r="F17" s="47">
        <v>1472.3538761200005</v>
      </c>
      <c r="G17" s="47">
        <v>1259.0109586099998</v>
      </c>
      <c r="H17" s="47">
        <v>1618.3088012999997</v>
      </c>
      <c r="I17" s="47">
        <v>1867.1234354100002</v>
      </c>
      <c r="J17" s="47">
        <v>1970.6740293900002</v>
      </c>
      <c r="K17" s="47"/>
      <c r="L17" s="47">
        <f t="shared" ca="1" si="9"/>
        <v>1999.2464456299999</v>
      </c>
      <c r="M17" s="47">
        <f t="shared" ca="1" si="5"/>
        <v>2625.84410407</v>
      </c>
      <c r="N17" s="47">
        <f t="shared" ca="1" si="5"/>
        <v>2877.3197599099994</v>
      </c>
      <c r="O17" s="47">
        <f t="shared" ca="1" si="5"/>
        <v>3837.7974648000004</v>
      </c>
      <c r="P17" s="47"/>
      <c r="Q17" s="47">
        <f t="shared" ca="1" si="10"/>
        <v>4625.0905497000003</v>
      </c>
      <c r="R17" s="47">
        <f t="shared" ca="1" si="6"/>
        <v>6715.1172247100003</v>
      </c>
      <c r="S17" s="47">
        <f t="shared" si="11"/>
        <v>6715.1172247100003</v>
      </c>
      <c r="U17" s="80">
        <f t="shared" ca="1" si="7"/>
        <v>0.45188881224078226</v>
      </c>
      <c r="V17" s="47">
        <f t="shared" ca="1" si="8"/>
        <v>2090.02667501</v>
      </c>
    </row>
    <row r="18" spans="1:22" x14ac:dyDescent="0.2">
      <c r="U18" s="80"/>
      <c r="V18" s="8"/>
    </row>
    <row r="19" spans="1:22" s="10" customFormat="1" x14ac:dyDescent="0.2">
      <c r="A19" s="29"/>
      <c r="B19" s="22" t="s">
        <v>199</v>
      </c>
      <c r="C19" s="45">
        <f t="shared" ref="C19:J19" si="12">SUM(C20:C23)</f>
        <v>2119.8631457899996</v>
      </c>
      <c r="D19" s="45">
        <f t="shared" si="12"/>
        <v>2001.8164215800002</v>
      </c>
      <c r="E19" s="45">
        <f t="shared" si="12"/>
        <v>2613.7223515299993</v>
      </c>
      <c r="F19" s="45">
        <f t="shared" si="12"/>
        <v>3032.5261567834441</v>
      </c>
      <c r="G19" s="45">
        <f t="shared" si="12"/>
        <v>2758.0989760299999</v>
      </c>
      <c r="H19" s="45">
        <f t="shared" si="12"/>
        <v>3661.6383347999995</v>
      </c>
      <c r="I19" s="45">
        <f t="shared" si="12"/>
        <v>3870.3151304009098</v>
      </c>
      <c r="J19" s="45">
        <f t="shared" si="12"/>
        <v>4088.2985690999999</v>
      </c>
      <c r="K19" s="46"/>
      <c r="L19" s="45">
        <f ca="1">SUMIF($B$7:$K$7,L$4,$B19:$J19)</f>
        <v>4121.6795673699999</v>
      </c>
      <c r="M19" s="45">
        <f t="shared" ca="1" si="5"/>
        <v>5646.2485083134434</v>
      </c>
      <c r="N19" s="45">
        <f t="shared" ca="1" si="5"/>
        <v>6419.7373108299998</v>
      </c>
      <c r="O19" s="45">
        <f t="shared" ca="1" si="5"/>
        <v>7958.6136995009092</v>
      </c>
      <c r="P19" s="46"/>
      <c r="Q19" s="45">
        <f ca="1">SUMIF($B$6:$K$6,Q$4,$B19:$J19)</f>
        <v>9767.9280756834432</v>
      </c>
      <c r="R19" s="45">
        <f t="shared" ca="1" si="6"/>
        <v>14378.351010330909</v>
      </c>
      <c r="S19" s="45">
        <f>SUMIFS($B19:$K19,$B$8:$K$8,"&gt;="&amp;$S$7,$B$8:$K$8,"&lt;="&amp;$S$8)</f>
        <v>14378.351010330909</v>
      </c>
      <c r="T19" s="7"/>
      <c r="U19" s="81">
        <f ca="1">SUMIF($C$4:$T$4,$U$2,$C19:$T19)/SUMIF($C$4:$T$4,$V$2,$C19:$T19)-1</f>
        <v>0.47199599535594272</v>
      </c>
      <c r="V19" s="45">
        <f ca="1">SUMIF($C$4:$T$4,$U$2,$C19:$T19)-SUMIF($C$4:$T$4,$V$2,$C19:$T19)</f>
        <v>4610.4229346474658</v>
      </c>
    </row>
    <row r="20" spans="1:22" x14ac:dyDescent="0.2">
      <c r="B20" s="14" t="s">
        <v>202</v>
      </c>
      <c r="C20" s="47">
        <v>1399.7241558999997</v>
      </c>
      <c r="D20" s="47">
        <v>1023.6298232400003</v>
      </c>
      <c r="E20" s="47">
        <v>1438.3713572599995</v>
      </c>
      <c r="F20" s="47">
        <v>1828.1925007900004</v>
      </c>
      <c r="G20" s="47">
        <v>1580.4723363517724</v>
      </c>
      <c r="H20" s="47">
        <v>1975.8218499558261</v>
      </c>
      <c r="I20" s="47">
        <v>2122.8105002207703</v>
      </c>
      <c r="J20" s="47">
        <v>2159.5914346635368</v>
      </c>
      <c r="K20" s="47"/>
      <c r="L20" s="47">
        <f t="shared" ref="L20:L23" ca="1" si="13">SUMIF($B$7:$K$7,L$4,$B20:$J20)</f>
        <v>2423.3539791399999</v>
      </c>
      <c r="M20" s="47">
        <f t="shared" ca="1" si="5"/>
        <v>3266.5638580499999</v>
      </c>
      <c r="N20" s="47">
        <f t="shared" ca="1" si="5"/>
        <v>3556.2941863075985</v>
      </c>
      <c r="O20" s="47">
        <f t="shared" ca="1" si="5"/>
        <v>4282.4019348843067</v>
      </c>
      <c r="P20" s="47"/>
      <c r="Q20" s="47">
        <f t="shared" ref="Q20:Q23" ca="1" si="14">SUMIF($B$6:$K$6,Q$4,$B20:$J20)</f>
        <v>5689.9178371899998</v>
      </c>
      <c r="R20" s="47">
        <f t="shared" ca="1" si="6"/>
        <v>7838.6961211919061</v>
      </c>
      <c r="S20" s="47">
        <f t="shared" ref="S20:S23" si="15">SUMIFS($B20:$K20,$B$8:$K$8,"&gt;="&amp;$S$7,$B$8:$K$8,"&lt;="&amp;$S$8)</f>
        <v>7838.6961211919061</v>
      </c>
      <c r="T20" s="10"/>
      <c r="U20" s="80">
        <f ca="1">SUMIF($C$4:$T$4,$U$2,$C20:$T20)/SUMIF($C$4:$T$4,$V$2,$C20:$T20)-1</f>
        <v>0.3776466278576518</v>
      </c>
      <c r="V20" s="47">
        <f ca="1">SUMIF($C$4:$T$4,$U$2,$C20:$T20)-SUMIF($C$4:$T$4,$V$2,$C20:$T20)</f>
        <v>2148.7782840019063</v>
      </c>
    </row>
    <row r="21" spans="1:22" x14ac:dyDescent="0.2">
      <c r="B21" s="14" t="s">
        <v>203</v>
      </c>
      <c r="C21" s="47">
        <v>70.25262386</v>
      </c>
      <c r="D21" s="47">
        <v>95.289681769999888</v>
      </c>
      <c r="E21" s="47">
        <v>175.35737218000017</v>
      </c>
      <c r="F21" s="47">
        <v>174.45747144000006</v>
      </c>
      <c r="G21" s="47">
        <v>189.56060765999996</v>
      </c>
      <c r="H21" s="47">
        <v>315.02688244000007</v>
      </c>
      <c r="I21" s="47">
        <v>319.86887293000029</v>
      </c>
      <c r="J21" s="47">
        <v>331.3123870500001</v>
      </c>
      <c r="K21" s="47"/>
      <c r="L21" s="47">
        <f t="shared" ca="1" si="13"/>
        <v>165.54230562999987</v>
      </c>
      <c r="M21" s="47">
        <f t="shared" ca="1" si="5"/>
        <v>349.81484362000026</v>
      </c>
      <c r="N21" s="47">
        <f t="shared" ca="1" si="5"/>
        <v>504.58749010000002</v>
      </c>
      <c r="O21" s="47">
        <f t="shared" ca="1" si="5"/>
        <v>651.18125998000039</v>
      </c>
      <c r="P21" s="47"/>
      <c r="Q21" s="47">
        <f t="shared" ca="1" si="14"/>
        <v>515.35714925000013</v>
      </c>
      <c r="R21" s="47">
        <f t="shared" ca="1" si="6"/>
        <v>1155.7687500800005</v>
      </c>
      <c r="S21" s="47">
        <f t="shared" si="15"/>
        <v>1155.7687500800005</v>
      </c>
      <c r="U21" s="80">
        <f ca="1">SUMIF($C$4:$T$4,$U$2,$C21:$T21)/SUMIF($C$4:$T$4,$V$2,$C21:$T21)-1</f>
        <v>1.2426558974916562</v>
      </c>
      <c r="V21" s="47">
        <f ca="1">SUMIF($C$4:$T$4,$U$2,$C21:$T21)-SUMIF($C$4:$T$4,$V$2,$C21:$T21)</f>
        <v>640.41160083000034</v>
      </c>
    </row>
    <row r="22" spans="1:22" x14ac:dyDescent="0.2">
      <c r="B22" s="14" t="s">
        <v>204</v>
      </c>
      <c r="C22" s="47">
        <v>622.23026744999993</v>
      </c>
      <c r="D22" s="47">
        <v>820.50553545000002</v>
      </c>
      <c r="E22" s="47">
        <v>913.01725042999988</v>
      </c>
      <c r="F22" s="47">
        <v>946.16167799344385</v>
      </c>
      <c r="G22" s="47">
        <v>850.90276215000006</v>
      </c>
      <c r="H22" s="47">
        <v>1173.6162138899999</v>
      </c>
      <c r="I22" s="47">
        <v>1170.1776996609094</v>
      </c>
      <c r="J22" s="47">
        <v>1320.2673379400001</v>
      </c>
      <c r="K22" s="47"/>
      <c r="L22" s="47">
        <f t="shared" ca="1" si="13"/>
        <v>1442.7358029</v>
      </c>
      <c r="M22" s="47">
        <f t="shared" ca="1" si="5"/>
        <v>1859.1789284234437</v>
      </c>
      <c r="N22" s="47">
        <f t="shared" ca="1" si="5"/>
        <v>2024.5189760399999</v>
      </c>
      <c r="O22" s="47">
        <f t="shared" ca="1" si="5"/>
        <v>2490.4450376009095</v>
      </c>
      <c r="P22" s="47"/>
      <c r="Q22" s="47">
        <f t="shared" ca="1" si="14"/>
        <v>3301.9147313234434</v>
      </c>
      <c r="R22" s="47">
        <f t="shared" ca="1" si="6"/>
        <v>4514.9640136409098</v>
      </c>
      <c r="S22" s="47">
        <f t="shared" si="15"/>
        <v>4514.9640136409098</v>
      </c>
      <c r="U22" s="80">
        <f ca="1">SUMIF($C$4:$T$4,$U$2,$C22:$T22)/SUMIF($C$4:$T$4,$V$2,$C22:$T22)-1</f>
        <v>0.36737753122754424</v>
      </c>
      <c r="V22" s="47">
        <f ca="1">SUMIF($C$4:$T$4,$U$2,$C22:$T22)-SUMIF($C$4:$T$4,$V$2,$C22:$T22)</f>
        <v>1213.0492823174663</v>
      </c>
    </row>
    <row r="23" spans="1:22" x14ac:dyDescent="0.2">
      <c r="B23" s="14" t="s">
        <v>198</v>
      </c>
      <c r="C23" s="47">
        <v>27.656098579999995</v>
      </c>
      <c r="D23" s="47">
        <v>62.391381119999991</v>
      </c>
      <c r="E23" s="47">
        <v>86.976371659999998</v>
      </c>
      <c r="F23" s="47">
        <v>83.71450655999999</v>
      </c>
      <c r="G23" s="47">
        <v>137.16326986822747</v>
      </c>
      <c r="H23" s="47">
        <v>197.17338851417364</v>
      </c>
      <c r="I23" s="47">
        <v>257.45805758922984</v>
      </c>
      <c r="J23" s="47">
        <v>277.1274094464631</v>
      </c>
      <c r="K23" s="47"/>
      <c r="L23" s="47">
        <f t="shared" ca="1" si="13"/>
        <v>90.047479699999982</v>
      </c>
      <c r="M23" s="47">
        <f t="shared" ca="1" si="5"/>
        <v>170.69087822</v>
      </c>
      <c r="N23" s="47">
        <f t="shared" ca="1" si="5"/>
        <v>334.33665838240108</v>
      </c>
      <c r="O23" s="47">
        <f t="shared" ca="1" si="5"/>
        <v>534.585467035693</v>
      </c>
      <c r="P23" s="47"/>
      <c r="Q23" s="47">
        <f t="shared" ca="1" si="14"/>
        <v>260.73835792</v>
      </c>
      <c r="R23" s="47">
        <f t="shared" ca="1" si="6"/>
        <v>868.92212541809408</v>
      </c>
      <c r="S23" s="47">
        <f t="shared" si="15"/>
        <v>868.92212541809408</v>
      </c>
      <c r="U23" s="80">
        <f ca="1">SUMIF($C$4:$T$4,$U$2,$C23:$T23)/SUMIF($C$4:$T$4,$V$2,$C23:$T23)-1</f>
        <v>2.3325442882657779</v>
      </c>
      <c r="V23" s="47">
        <f ca="1">SUMIF($C$4:$T$4,$U$2,$C23:$T23)-SUMIF($C$4:$T$4,$V$2,$C23:$T23)</f>
        <v>608.18376749809408</v>
      </c>
    </row>
    <row r="24" spans="1:22" x14ac:dyDescent="0.2">
      <c r="T24" s="10"/>
      <c r="U24" s="8"/>
      <c r="V24" s="8"/>
    </row>
    <row r="25" spans="1:22" s="18" customFormat="1" ht="15" x14ac:dyDescent="0.2">
      <c r="A25" s="27"/>
      <c r="B25" s="19" t="s">
        <v>210</v>
      </c>
      <c r="C25" s="20"/>
      <c r="D25" s="20"/>
      <c r="E25" s="20"/>
      <c r="F25" s="20"/>
      <c r="G25" s="20"/>
      <c r="H25" s="20"/>
      <c r="I25" s="20"/>
      <c r="J25" s="20"/>
      <c r="K25" s="17"/>
      <c r="L25" s="20"/>
      <c r="M25" s="20"/>
      <c r="N25" s="20"/>
      <c r="O25" s="20"/>
      <c r="P25" s="17"/>
      <c r="Q25" s="21"/>
      <c r="R25" s="21"/>
      <c r="S25" s="21"/>
      <c r="T25" s="7"/>
      <c r="U25" s="21"/>
      <c r="V25" s="21"/>
    </row>
    <row r="26" spans="1:22" x14ac:dyDescent="0.2">
      <c r="U26" s="8"/>
      <c r="V26" s="8"/>
    </row>
    <row r="27" spans="1:22" s="10" customFormat="1" x14ac:dyDescent="0.2">
      <c r="A27" s="29"/>
      <c r="B27" s="22" t="s">
        <v>213</v>
      </c>
      <c r="C27" s="45">
        <f t="shared" ref="C27:J27" si="16">SUM(C28:C29)</f>
        <v>1715.6407520198015</v>
      </c>
      <c r="D27" s="45">
        <f t="shared" si="16"/>
        <v>1742.0100944977498</v>
      </c>
      <c r="E27" s="45">
        <f t="shared" si="16"/>
        <v>1795.0793109829501</v>
      </c>
      <c r="F27" s="45">
        <f t="shared" si="16"/>
        <v>1868.6785640084531</v>
      </c>
      <c r="G27" s="45">
        <f t="shared" si="16"/>
        <v>1917.5619463953512</v>
      </c>
      <c r="H27" s="45">
        <f t="shared" si="16"/>
        <v>2033.7756513313498</v>
      </c>
      <c r="I27" s="45">
        <f t="shared" si="16"/>
        <v>2159.3236473331499</v>
      </c>
      <c r="J27" s="45">
        <f t="shared" si="16"/>
        <v>2285.4106763271002</v>
      </c>
      <c r="K27" s="46"/>
      <c r="L27" s="45">
        <f t="shared" ref="L27:S29" ca="1" si="17">SUMIF($B$8:$K$8,L$8,$B27:$J27)</f>
        <v>1742.0100944977498</v>
      </c>
      <c r="M27" s="45">
        <f t="shared" ca="1" si="17"/>
        <v>1868.6785640084531</v>
      </c>
      <c r="N27" s="45">
        <f t="shared" ca="1" si="17"/>
        <v>2033.7756513313498</v>
      </c>
      <c r="O27" s="45">
        <f t="shared" ca="1" si="17"/>
        <v>2285.4106763271002</v>
      </c>
      <c r="P27" s="46"/>
      <c r="Q27" s="45">
        <f t="shared" ca="1" si="17"/>
        <v>1868.6785640084531</v>
      </c>
      <c r="R27" s="45">
        <f t="shared" ca="1" si="17"/>
        <v>2285.4106763271002</v>
      </c>
      <c r="S27" s="45">
        <f t="shared" ca="1" si="17"/>
        <v>2285.4106763271002</v>
      </c>
      <c r="T27" s="7"/>
      <c r="U27" s="73">
        <f ca="1">SUMIF($C$4:$T$4,$U$2,$C27:$T27)/SUMIF($C$4:$T$4,$V$2,$C27:$T27)-1</f>
        <v>0.22300898632064681</v>
      </c>
      <c r="V27" s="45">
        <f ca="1">SUMIF($C$4:$T$4,$U$2,$C27:$T27)-SUMIF($C$4:$T$4,$V$2,$C27:$T27)</f>
        <v>416.73211231864707</v>
      </c>
    </row>
    <row r="28" spans="1:22" x14ac:dyDescent="0.2">
      <c r="B28" s="14" t="s">
        <v>211</v>
      </c>
      <c r="C28" s="47">
        <v>1486.6516090075015</v>
      </c>
      <c r="D28" s="47">
        <v>1509.079</v>
      </c>
      <c r="E28" s="47">
        <v>1555.9998001672002</v>
      </c>
      <c r="F28" s="47">
        <v>1618.4757141065031</v>
      </c>
      <c r="G28" s="47">
        <v>1662.3598797082011</v>
      </c>
      <c r="H28" s="47">
        <v>1761.6579999999999</v>
      </c>
      <c r="I28" s="47">
        <v>1867.13442697</v>
      </c>
      <c r="J28" s="47">
        <v>1973.4079999999999</v>
      </c>
      <c r="K28" s="47"/>
      <c r="L28" s="47">
        <f t="shared" ca="1" si="17"/>
        <v>1509.079</v>
      </c>
      <c r="M28" s="47">
        <f t="shared" ca="1" si="17"/>
        <v>1618.4757141065031</v>
      </c>
      <c r="N28" s="47">
        <f t="shared" ca="1" si="17"/>
        <v>1761.6579999999999</v>
      </c>
      <c r="O28" s="47">
        <f t="shared" ca="1" si="17"/>
        <v>1973.4079999999999</v>
      </c>
      <c r="P28" s="47"/>
      <c r="Q28" s="47">
        <f t="shared" ca="1" si="17"/>
        <v>1618.4757141065031</v>
      </c>
      <c r="R28" s="47">
        <f t="shared" ca="1" si="17"/>
        <v>1973.4079999999999</v>
      </c>
      <c r="S28" s="47">
        <f t="shared" ca="1" si="17"/>
        <v>1973.4079999999999</v>
      </c>
      <c r="U28" s="80">
        <f ca="1">SUMIF($C$4:$T$4,$U$2,$C28:$T28)/SUMIF($C$4:$T$4,$V$2,$C28:$T28)-1</f>
        <v>0.21930034711051616</v>
      </c>
      <c r="V28" s="47">
        <f ca="1">SUMIF($C$4:$T$4,$U$2,$C28:$T28)-SUMIF($C$4:$T$4,$V$2,$C28:$T28)</f>
        <v>354.93228589349678</v>
      </c>
    </row>
    <row r="29" spans="1:22" x14ac:dyDescent="0.2">
      <c r="B29" s="14" t="s">
        <v>200</v>
      </c>
      <c r="C29" s="47">
        <v>228.98914301230008</v>
      </c>
      <c r="D29" s="47">
        <v>232.93109449774997</v>
      </c>
      <c r="E29" s="47">
        <v>239.07951081574998</v>
      </c>
      <c r="F29" s="47">
        <v>250.20284990195</v>
      </c>
      <c r="G29" s="47">
        <v>255.20206668715002</v>
      </c>
      <c r="H29" s="47">
        <v>272.11765133134998</v>
      </c>
      <c r="I29" s="47">
        <v>292.18922036315001</v>
      </c>
      <c r="J29" s="47">
        <v>312.00267632710006</v>
      </c>
      <c r="K29" s="47"/>
      <c r="L29" s="47">
        <f t="shared" ca="1" si="17"/>
        <v>232.93109449774997</v>
      </c>
      <c r="M29" s="47">
        <f t="shared" ca="1" si="17"/>
        <v>250.20284990195</v>
      </c>
      <c r="N29" s="47">
        <f t="shared" ca="1" si="17"/>
        <v>272.11765133134998</v>
      </c>
      <c r="O29" s="47">
        <f t="shared" ca="1" si="17"/>
        <v>312.00267632710006</v>
      </c>
      <c r="P29" s="47"/>
      <c r="Q29" s="47">
        <f t="shared" ca="1" si="17"/>
        <v>250.20284990195</v>
      </c>
      <c r="R29" s="47">
        <f t="shared" ca="1" si="17"/>
        <v>312.00267632710006</v>
      </c>
      <c r="S29" s="47">
        <f t="shared" ca="1" si="17"/>
        <v>312.00267632710006</v>
      </c>
      <c r="U29" s="80">
        <f ca="1">SUMIF($C$4:$T$4,$U$2,$C29:$T29)/SUMIF($C$4:$T$4,$V$2,$C29:$T29)-1</f>
        <v>0.24699889089739901</v>
      </c>
      <c r="V29" s="47">
        <f ca="1">SUMIF($C$4:$T$4,$U$2,$C29:$T29)-SUMIF($C$4:$T$4,$V$2,$C29:$T29)</f>
        <v>61.799826425150059</v>
      </c>
    </row>
    <row r="30" spans="1:22" x14ac:dyDescent="0.2">
      <c r="T30" s="10"/>
      <c r="U30" s="8"/>
      <c r="V30" s="8"/>
    </row>
    <row r="31" spans="1:22" s="18" customFormat="1" ht="15" x14ac:dyDescent="0.2">
      <c r="A31" s="27"/>
      <c r="B31" s="19" t="s">
        <v>246</v>
      </c>
      <c r="C31" s="20"/>
      <c r="D31" s="20"/>
      <c r="E31" s="20"/>
      <c r="F31" s="20"/>
      <c r="G31" s="20"/>
      <c r="H31" s="20"/>
      <c r="I31" s="20"/>
      <c r="J31" s="20"/>
      <c r="K31" s="17"/>
      <c r="L31" s="20"/>
      <c r="M31" s="20"/>
      <c r="N31" s="20"/>
      <c r="O31" s="20"/>
      <c r="P31" s="17"/>
      <c r="Q31" s="21"/>
      <c r="R31" s="21"/>
      <c r="S31" s="21"/>
      <c r="T31" s="7"/>
      <c r="U31" s="21"/>
      <c r="V31" s="21"/>
    </row>
    <row r="32" spans="1:22" x14ac:dyDescent="0.2">
      <c r="U32" s="8"/>
      <c r="V32" s="8"/>
    </row>
    <row r="33" spans="2:22" x14ac:dyDescent="0.2">
      <c r="B33" s="14" t="s">
        <v>205</v>
      </c>
      <c r="C33" s="54">
        <v>7291</v>
      </c>
      <c r="D33" s="54">
        <v>3643</v>
      </c>
      <c r="E33" s="54">
        <v>5628</v>
      </c>
      <c r="F33" s="54">
        <v>6664</v>
      </c>
      <c r="G33" s="54">
        <v>4838</v>
      </c>
      <c r="H33" s="54">
        <v>6327</v>
      </c>
      <c r="I33" s="54">
        <v>6813</v>
      </c>
      <c r="J33" s="54">
        <v>6506</v>
      </c>
      <c r="K33" s="47"/>
      <c r="L33" s="54">
        <f t="shared" ref="L33:O34" ca="1" si="18">SUMIF($B$7:$K$7,L$4,$B33:$J33)</f>
        <v>10934</v>
      </c>
      <c r="M33" s="54">
        <f t="shared" ca="1" si="18"/>
        <v>12292</v>
      </c>
      <c r="N33" s="54">
        <f t="shared" ca="1" si="18"/>
        <v>11165</v>
      </c>
      <c r="O33" s="54">
        <f t="shared" ca="1" si="18"/>
        <v>13319</v>
      </c>
      <c r="P33" s="54"/>
      <c r="Q33" s="54">
        <f t="shared" ref="Q33:R34" ca="1" si="19">SUMIF($B$6:$K$6,Q$4,$B33:$J33)</f>
        <v>23226</v>
      </c>
      <c r="R33" s="54">
        <f t="shared" ca="1" si="19"/>
        <v>24484</v>
      </c>
      <c r="S33" s="54">
        <f t="shared" ref="S33:S34" si="20">SUMIFS($B33:$K33,$B$8:$K$8,"&gt;="&amp;$S$7,$B$8:$K$8,"&lt;="&amp;$S$8)</f>
        <v>24484</v>
      </c>
      <c r="U33" s="80">
        <f ca="1">SUMIF($C$4:$T$4,$U$2,$C33:$T33)/SUMIF($C$4:$T$4,$V$2,$C33:$T33)-1</f>
        <v>5.4163437526909552E-2</v>
      </c>
      <c r="V33" s="54">
        <f ca="1">SUMIF($C$4:$T$4,$U$2,$C33:$T33)-SUMIF($C$4:$T$4,$V$2,$C33:$T33)</f>
        <v>1258</v>
      </c>
    </row>
    <row r="34" spans="2:22" x14ac:dyDescent="0.2">
      <c r="B34" s="14" t="s">
        <v>206</v>
      </c>
      <c r="C34" s="54">
        <v>34394.166666666664</v>
      </c>
      <c r="D34" s="54">
        <v>27744</v>
      </c>
      <c r="E34" s="54">
        <v>34686</v>
      </c>
      <c r="F34" s="54">
        <v>35878</v>
      </c>
      <c r="G34" s="54">
        <v>30425</v>
      </c>
      <c r="H34" s="54">
        <v>33821</v>
      </c>
      <c r="I34" s="54">
        <v>36791</v>
      </c>
      <c r="J34" s="54">
        <v>35720</v>
      </c>
      <c r="K34" s="47"/>
      <c r="L34" s="54">
        <f t="shared" ca="1" si="18"/>
        <v>62138.166666666664</v>
      </c>
      <c r="M34" s="54">
        <f t="shared" ca="1" si="18"/>
        <v>70564</v>
      </c>
      <c r="N34" s="54">
        <f t="shared" ca="1" si="18"/>
        <v>64246</v>
      </c>
      <c r="O34" s="54">
        <f t="shared" ca="1" si="18"/>
        <v>72511</v>
      </c>
      <c r="P34" s="54"/>
      <c r="Q34" s="54">
        <f t="shared" ca="1" si="19"/>
        <v>132702.16666666666</v>
      </c>
      <c r="R34" s="54">
        <f t="shared" ca="1" si="19"/>
        <v>136757</v>
      </c>
      <c r="S34" s="54">
        <f t="shared" si="20"/>
        <v>136757</v>
      </c>
      <c r="U34" s="80">
        <f ca="1">SUMIF($C$4:$T$4,$U$2,$C34:$T34)/SUMIF($C$4:$T$4,$V$2,$C34:$T34)-1</f>
        <v>3.0555893963047698E-2</v>
      </c>
      <c r="V34" s="54">
        <f ca="1">SUMIF($C$4:$T$4,$U$2,$C34:$T34)-SUMIF($C$4:$T$4,$V$2,$C34:$T34)</f>
        <v>4054.833333333343</v>
      </c>
    </row>
    <row r="35" spans="2:22" x14ac:dyDescent="0.2">
      <c r="B35" s="14" t="s">
        <v>209</v>
      </c>
      <c r="C35" s="25">
        <v>0.23130000000000001</v>
      </c>
      <c r="D35" s="25">
        <v>0.22900000000000001</v>
      </c>
      <c r="E35" s="25">
        <v>0.25290000000000001</v>
      </c>
      <c r="F35" s="25">
        <v>0.2465</v>
      </c>
      <c r="G35" s="25">
        <v>0.2324</v>
      </c>
      <c r="H35" s="25">
        <v>0.2132</v>
      </c>
      <c r="I35" s="25">
        <v>0.1996</v>
      </c>
      <c r="J35" s="25">
        <v>0.2092</v>
      </c>
      <c r="K35" s="25"/>
      <c r="L35" s="25">
        <f t="shared" ref="L35:S38" ca="1" si="21">SUMIF($B$8:$K$8,L$8,$B35:$J35)</f>
        <v>0.22900000000000001</v>
      </c>
      <c r="M35" s="25">
        <f t="shared" ca="1" si="21"/>
        <v>0.2465</v>
      </c>
      <c r="N35" s="25">
        <f t="shared" ca="1" si="21"/>
        <v>0.2132</v>
      </c>
      <c r="O35" s="25">
        <f t="shared" ca="1" si="21"/>
        <v>0.2092</v>
      </c>
      <c r="P35" s="25"/>
      <c r="Q35" s="25">
        <f t="shared" ca="1" si="21"/>
        <v>0.2465</v>
      </c>
      <c r="R35" s="25">
        <f t="shared" ca="1" si="21"/>
        <v>0.2092</v>
      </c>
      <c r="S35" s="25">
        <f t="shared" ca="1" si="21"/>
        <v>0.2092</v>
      </c>
      <c r="T35" s="10"/>
      <c r="U35" s="25"/>
      <c r="V35" s="77">
        <f ca="1">SUMIF($C$4:$T$4,$U$2,$C35:$T35)*100-SUMIF($C$4:$T$4,$V$2,$C35:$T35)*100</f>
        <v>-3.7300000000000004</v>
      </c>
    </row>
    <row r="36" spans="2:22" x14ac:dyDescent="0.2">
      <c r="B36" s="14" t="s">
        <v>207</v>
      </c>
      <c r="C36" s="47">
        <v>798.18177100000003</v>
      </c>
      <c r="D36" s="47">
        <v>817.83078759</v>
      </c>
      <c r="E36" s="47">
        <v>849.53117286999998</v>
      </c>
      <c r="F36" s="47">
        <v>850.00699999999995</v>
      </c>
      <c r="G36" s="47">
        <v>881.77</v>
      </c>
      <c r="H36" s="47">
        <v>886.77053042999989</v>
      </c>
      <c r="I36" s="47">
        <v>918.28221712000004</v>
      </c>
      <c r="J36" s="47">
        <v>915.57727732000001</v>
      </c>
      <c r="K36" s="47"/>
      <c r="L36" s="47">
        <f t="shared" ca="1" si="21"/>
        <v>817.83078759</v>
      </c>
      <c r="M36" s="47">
        <f t="shared" ca="1" si="21"/>
        <v>850.00699999999995</v>
      </c>
      <c r="N36" s="47">
        <f t="shared" ca="1" si="21"/>
        <v>886.77053042999989</v>
      </c>
      <c r="O36" s="47">
        <f t="shared" ca="1" si="21"/>
        <v>915.57727732000001</v>
      </c>
      <c r="P36" s="47"/>
      <c r="Q36" s="47">
        <f t="shared" ca="1" si="21"/>
        <v>850.00699999999995</v>
      </c>
      <c r="R36" s="47">
        <f t="shared" ca="1" si="21"/>
        <v>915.57727732000001</v>
      </c>
      <c r="S36" s="47">
        <f t="shared" ca="1" si="21"/>
        <v>915.57727732000001</v>
      </c>
      <c r="U36" s="80">
        <f ca="1">SUMIF($C$4:$T$4,$U$2,$C36:$T36)/SUMIF($C$4:$T$4,$V$2,$C36:$T36)-1</f>
        <v>7.7140867451679807E-2</v>
      </c>
      <c r="V36" s="47">
        <f ca="1">SUMIF($C$4:$T$4,$U$2,$C36:$T36)-SUMIF($C$4:$T$4,$V$2,$C36:$T36)</f>
        <v>65.570277320000059</v>
      </c>
    </row>
    <row r="37" spans="2:22" x14ac:dyDescent="0.2">
      <c r="B37" s="14" t="s">
        <v>238</v>
      </c>
      <c r="C37" s="25">
        <v>1.6199999999999999E-2</v>
      </c>
      <c r="D37" s="25">
        <v>2.1999999999999999E-2</v>
      </c>
      <c r="E37" s="25">
        <v>2.87E-2</v>
      </c>
      <c r="F37" s="25">
        <v>2.3699999999999999E-2</v>
      </c>
      <c r="G37" s="25">
        <v>2.1399999999999999E-2</v>
      </c>
      <c r="H37" s="25">
        <v>1.7999999999999999E-2</v>
      </c>
      <c r="I37" s="25">
        <v>9.1000000000000004E-3</v>
      </c>
      <c r="J37" s="25">
        <v>1.9E-2</v>
      </c>
      <c r="K37" s="25"/>
      <c r="L37" s="25">
        <f ca="1">SUMIF($B$8:$K$8,L$8,$B37:$J37)</f>
        <v>2.1999999999999999E-2</v>
      </c>
      <c r="M37" s="25">
        <f ca="1">SUMIF($B$8:$K$8,M$8,$B37:$J37)</f>
        <v>2.3699999999999999E-2</v>
      </c>
      <c r="N37" s="25">
        <f ca="1">SUMIF($B$8:$K$8,N$8,$B37:$J37)</f>
        <v>1.7999999999999999E-2</v>
      </c>
      <c r="O37" s="25">
        <f ca="1">SUMIF($B$8:$K$8,O$8,$B37:$J37)</f>
        <v>1.9E-2</v>
      </c>
      <c r="P37" s="25"/>
      <c r="Q37" s="25">
        <f ca="1">SUMIF($B$8:$K$8,Q$8,$B37:$J37)</f>
        <v>2.3699999999999999E-2</v>
      </c>
      <c r="R37" s="25">
        <f ca="1">SUMIF($B$8:$K$8,R$8,$B37:$J37)</f>
        <v>1.9E-2</v>
      </c>
      <c r="S37" s="25">
        <f ca="1">SUMIF($B$8:$K$8,S$8,$B37:$J37)</f>
        <v>1.9E-2</v>
      </c>
      <c r="T37" s="10"/>
      <c r="U37" s="25"/>
      <c r="V37" s="77">
        <f ca="1">SUMIF($C$4:$T$4,$U$2,$C37:$T37)*100-SUMIF($C$4:$T$4,$V$2,$C37:$T37)*100</f>
        <v>-0.4700000000000002</v>
      </c>
    </row>
    <row r="38" spans="2:22" x14ac:dyDescent="0.2">
      <c r="B38" s="14" t="s">
        <v>208</v>
      </c>
      <c r="C38" s="47">
        <v>1898.8553042463338</v>
      </c>
      <c r="D38" s="47">
        <v>1864.2085570882768</v>
      </c>
      <c r="E38" s="47">
        <v>1876.561367196751</v>
      </c>
      <c r="F38" s="47">
        <v>1866.2302318107834</v>
      </c>
      <c r="G38" s="47">
        <v>2007.5076889922834</v>
      </c>
      <c r="H38" s="47">
        <v>2081</v>
      </c>
      <c r="I38" s="47">
        <v>2068.9534349090909</v>
      </c>
      <c r="J38" s="47">
        <v>2048.5205933115121</v>
      </c>
      <c r="K38" s="47"/>
      <c r="L38" s="47">
        <f t="shared" ca="1" si="21"/>
        <v>1864.2085570882768</v>
      </c>
      <c r="M38" s="47">
        <f t="shared" ca="1" si="21"/>
        <v>1866.2302318107834</v>
      </c>
      <c r="N38" s="47">
        <f t="shared" ca="1" si="21"/>
        <v>2081</v>
      </c>
      <c r="O38" s="47">
        <f t="shared" ca="1" si="21"/>
        <v>2048.5205933115121</v>
      </c>
      <c r="P38" s="47"/>
      <c r="Q38" s="47">
        <f t="shared" ca="1" si="21"/>
        <v>1866.2302318107834</v>
      </c>
      <c r="R38" s="47">
        <f t="shared" ca="1" si="21"/>
        <v>2048.5205933115121</v>
      </c>
      <c r="S38" s="47">
        <f t="shared" ca="1" si="21"/>
        <v>2048.5205933115121</v>
      </c>
      <c r="U38" s="80">
        <f ca="1">SUMIF($C$4:$T$4,$U$2,$C38:$T38)/SUMIF($C$4:$T$4,$V$2,$C38:$T38)-1</f>
        <v>9.7678388439701891E-2</v>
      </c>
      <c r="V38" s="47">
        <f ca="1">SUMIF($C$4:$T$4,$U$2,$C38:$T38)-SUMIF($C$4:$T$4,$V$2,$C38:$T38)</f>
        <v>182.29036150072875</v>
      </c>
    </row>
    <row r="41" spans="2:22" x14ac:dyDescent="0.2">
      <c r="T41" s="10"/>
    </row>
    <row r="43" spans="2:22" ht="15" x14ac:dyDescent="0.2">
      <c r="T43" s="18"/>
    </row>
    <row r="45" spans="2:22" x14ac:dyDescent="0.2">
      <c r="T45" s="10"/>
    </row>
    <row r="49" spans="20:20" x14ac:dyDescent="0.2">
      <c r="T49" s="10"/>
    </row>
    <row r="53" spans="20:20" x14ac:dyDescent="0.2">
      <c r="T53" s="10"/>
    </row>
    <row r="57" spans="20:20" x14ac:dyDescent="0.2">
      <c r="T57" s="10"/>
    </row>
    <row r="61" spans="20:20" x14ac:dyDescent="0.2">
      <c r="T61" s="10"/>
    </row>
    <row r="65" spans="20:20" x14ac:dyDescent="0.2">
      <c r="T65" s="10"/>
    </row>
    <row r="72" spans="20:20" x14ac:dyDescent="0.2">
      <c r="T72" s="10"/>
    </row>
    <row r="77" spans="20:20" x14ac:dyDescent="0.2">
      <c r="T77" s="10"/>
    </row>
    <row r="79" spans="20:20" x14ac:dyDescent="0.2">
      <c r="T79" s="10"/>
    </row>
    <row r="83" spans="20:20" x14ac:dyDescent="0.2">
      <c r="T83" s="10"/>
    </row>
    <row r="85" spans="20:20" ht="15" x14ac:dyDescent="0.2">
      <c r="T85" s="18"/>
    </row>
    <row r="87" spans="20:20" x14ac:dyDescent="0.2">
      <c r="T87" s="10"/>
    </row>
    <row r="88" spans="20:20" x14ac:dyDescent="0.2">
      <c r="T88" s="10"/>
    </row>
    <row r="101" spans="20:20" x14ac:dyDescent="0.2">
      <c r="T101" s="10"/>
    </row>
    <row r="120" spans="20:20" x14ac:dyDescent="0.2">
      <c r="T120" s="10"/>
    </row>
    <row r="121" spans="20:20" x14ac:dyDescent="0.2">
      <c r="T121" s="10"/>
    </row>
    <row r="122" spans="20:20" x14ac:dyDescent="0.2">
      <c r="T122" s="10"/>
    </row>
    <row r="137" spans="20:20" x14ac:dyDescent="0.2">
      <c r="T137" s="10"/>
    </row>
    <row r="149" spans="20:20" x14ac:dyDescent="0.2">
      <c r="T149" s="10"/>
    </row>
    <row r="157" spans="20:20" ht="15" x14ac:dyDescent="0.2">
      <c r="T157" s="18"/>
    </row>
    <row r="159" spans="20:20" x14ac:dyDescent="0.2">
      <c r="T159" s="10"/>
    </row>
    <row r="161" spans="20:20" x14ac:dyDescent="0.2">
      <c r="T161" s="10"/>
    </row>
    <row r="163" spans="20:20" x14ac:dyDescent="0.2">
      <c r="T163" s="10"/>
    </row>
    <row r="181" spans="20:20" x14ac:dyDescent="0.2">
      <c r="T181" s="10"/>
    </row>
    <row r="193" spans="20:20" x14ac:dyDescent="0.2">
      <c r="T193" s="10"/>
    </row>
    <row r="203" spans="20:20" x14ac:dyDescent="0.2">
      <c r="T203" s="10"/>
    </row>
    <row r="204" spans="20:20" x14ac:dyDescent="0.2">
      <c r="T204" s="10"/>
    </row>
    <row r="209" spans="20:20" x14ac:dyDescent="0.2">
      <c r="T209" s="10"/>
    </row>
    <row r="211" spans="20:20" x14ac:dyDescent="0.2">
      <c r="T211" s="10"/>
    </row>
    <row r="218" spans="20:20" x14ac:dyDescent="0.2">
      <c r="T218" s="10"/>
    </row>
    <row r="220" spans="20:20" x14ac:dyDescent="0.2">
      <c r="T220" s="10"/>
    </row>
    <row r="228" spans="20:20" x14ac:dyDescent="0.2">
      <c r="T228" s="10"/>
    </row>
    <row r="230" spans="20:20" x14ac:dyDescent="0.2">
      <c r="T230" s="10"/>
    </row>
    <row r="232" spans="20:20" x14ac:dyDescent="0.2">
      <c r="T232" s="10"/>
    </row>
    <row r="234" spans="20:20" x14ac:dyDescent="0.2">
      <c r="T234" s="10"/>
    </row>
  </sheetData>
  <mergeCells count="1">
    <mergeCell ref="U3:V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487D-4D8F-4644-9838-ADB2220DADDB}">
  <sheetPr>
    <tabColor theme="3" tint="0.499984740745262"/>
  </sheetPr>
  <dimension ref="A1:X42"/>
  <sheetViews>
    <sheetView showGridLines="0" zoomScale="85" zoomScaleNormal="85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2.75" x14ac:dyDescent="0.2"/>
  <cols>
    <col min="1" max="1" width="1.625" style="26" customWidth="1"/>
    <col min="2" max="2" width="54.625" style="7" customWidth="1"/>
    <col min="3" max="10" width="8.625" style="8" customWidth="1"/>
    <col min="11" max="11" width="1.625" style="8" customWidth="1"/>
    <col min="12" max="15" width="8.625" style="8" customWidth="1"/>
    <col min="16" max="16" width="1.625" style="8" customWidth="1"/>
    <col min="17" max="19" width="8.625" style="8" customWidth="1"/>
    <col min="20" max="20" width="1.625" style="7" customWidth="1"/>
    <col min="21" max="21" width="9" style="7"/>
    <col min="22" max="22" width="9.25" style="7" bestFit="1" customWidth="1"/>
    <col min="23" max="16384" width="9" style="7"/>
  </cols>
  <sheetData>
    <row r="1" spans="1:24" ht="8.1" customHeight="1" x14ac:dyDescent="0.2"/>
    <row r="2" spans="1:24" ht="12" customHeight="1" x14ac:dyDescent="0.2">
      <c r="U2" s="8">
        <v>2021</v>
      </c>
      <c r="V2" s="8">
        <v>2020</v>
      </c>
      <c r="X2" s="71" t="s">
        <v>245</v>
      </c>
    </row>
    <row r="3" spans="1:24" ht="15" customHeight="1" x14ac:dyDescent="0.2">
      <c r="U3" s="86" t="str">
        <f>U2&amp;" vs "&amp;V2</f>
        <v>2021 vs 2020</v>
      </c>
      <c r="V3" s="86"/>
    </row>
    <row r="4" spans="1:24" s="18" customFormat="1" ht="15" customHeight="1" x14ac:dyDescent="0.2">
      <c r="A4" s="27"/>
      <c r="B4" s="15" t="s">
        <v>3</v>
      </c>
      <c r="C4" s="16" t="str">
        <f>IF(MONTH(C8)=3,"1T",IF(MONTH(C8)=6,"2T",IF(MONTH(C8)=9,"3T",IF(MONTH(C8)=12,"4T"))))&amp;RIGHT(C6,2)</f>
        <v>1T20</v>
      </c>
      <c r="D4" s="16" t="str">
        <f t="shared" ref="D4:J4" si="0">IF(MONTH(D8)=3,"1T",IF(MONTH(D8)=6,"2T",IF(MONTH(D8)=9,"3T",IF(MONTH(D8)=12,"4T"))))&amp;RIGHT(D6,2)</f>
        <v>2T20</v>
      </c>
      <c r="E4" s="16" t="str">
        <f t="shared" si="0"/>
        <v>3T20</v>
      </c>
      <c r="F4" s="16" t="str">
        <f t="shared" si="0"/>
        <v>4T20</v>
      </c>
      <c r="G4" s="16" t="str">
        <f t="shared" si="0"/>
        <v>1T21</v>
      </c>
      <c r="H4" s="16" t="str">
        <f t="shared" si="0"/>
        <v>2T21</v>
      </c>
      <c r="I4" s="16" t="str">
        <f t="shared" si="0"/>
        <v>3T21</v>
      </c>
      <c r="J4" s="16" t="str">
        <f t="shared" si="0"/>
        <v>4T21</v>
      </c>
      <c r="K4" s="17"/>
      <c r="L4" s="16" t="s">
        <v>8</v>
      </c>
      <c r="M4" s="16" t="s">
        <v>9</v>
      </c>
      <c r="N4" s="16" t="s">
        <v>10</v>
      </c>
      <c r="O4" s="16" t="s">
        <v>11</v>
      </c>
      <c r="P4" s="17"/>
      <c r="Q4" s="16">
        <v>2020</v>
      </c>
      <c r="R4" s="16">
        <v>2021</v>
      </c>
      <c r="S4" s="16" t="s">
        <v>191</v>
      </c>
      <c r="U4" s="16" t="s">
        <v>243</v>
      </c>
      <c r="V4" s="16" t="s">
        <v>244</v>
      </c>
    </row>
    <row r="5" spans="1:24" ht="5.0999999999999996" customHeight="1" x14ac:dyDescent="0.2">
      <c r="U5" s="8"/>
      <c r="V5" s="8"/>
    </row>
    <row r="6" spans="1:24" s="11" customFormat="1" x14ac:dyDescent="0.2">
      <c r="A6" s="28"/>
      <c r="B6" s="11" t="s">
        <v>0</v>
      </c>
      <c r="C6" s="12">
        <f>YEAR(C8)</f>
        <v>2020</v>
      </c>
      <c r="D6" s="12">
        <f>YEAR(D8)</f>
        <v>2020</v>
      </c>
      <c r="E6" s="12">
        <f t="shared" ref="E6:J6" si="1">YEAR(E8)</f>
        <v>2020</v>
      </c>
      <c r="F6" s="12">
        <f t="shared" si="1"/>
        <v>2020</v>
      </c>
      <c r="G6" s="12">
        <f t="shared" si="1"/>
        <v>2021</v>
      </c>
      <c r="H6" s="12">
        <f t="shared" si="1"/>
        <v>2021</v>
      </c>
      <c r="I6" s="12">
        <f t="shared" si="1"/>
        <v>2021</v>
      </c>
      <c r="J6" s="12">
        <f t="shared" si="1"/>
        <v>2021</v>
      </c>
      <c r="K6" s="12"/>
      <c r="L6" s="12"/>
      <c r="M6" s="12"/>
      <c r="N6" s="12"/>
      <c r="O6" s="12"/>
      <c r="P6" s="12"/>
      <c r="Q6" s="12"/>
      <c r="R6" s="12"/>
      <c r="S6" s="12"/>
      <c r="U6" s="12"/>
      <c r="V6" s="12"/>
    </row>
    <row r="7" spans="1:24" s="11" customFormat="1" x14ac:dyDescent="0.2">
      <c r="A7" s="28"/>
      <c r="B7" s="11" t="s">
        <v>1</v>
      </c>
      <c r="C7" s="12" t="str">
        <f>IF(MONTH(C8)=3,"1S",IF(MONTH(C8)=6,"1S",IF(MONTH(C8)=9,"2S",IF(MONTH(C8)=12,"2S"))))&amp;RIGHT(C6,2)</f>
        <v>1S20</v>
      </c>
      <c r="D7" s="12" t="str">
        <f>IF(MONTH(D8)=3,"1S",IF(MONTH(D8)=6,"1S",IF(MONTH(D8)=9,"2S",IF(MONTH(D8)=12,"2S"))))&amp;RIGHT(D6,2)</f>
        <v>1S20</v>
      </c>
      <c r="E7" s="12" t="str">
        <f t="shared" ref="E7:J7" si="2">IF(MONTH(E8)=3,"1S",IF(MONTH(E8)=6,"1S",IF(MONTH(E8)=9,"2S",IF(MONTH(E8)=12,"2S"))))&amp;RIGHT(E6,2)</f>
        <v>2S20</v>
      </c>
      <c r="F7" s="12" t="str">
        <f t="shared" si="2"/>
        <v>2S20</v>
      </c>
      <c r="G7" s="12" t="str">
        <f t="shared" si="2"/>
        <v>1S21</v>
      </c>
      <c r="H7" s="12" t="str">
        <f t="shared" si="2"/>
        <v>1S21</v>
      </c>
      <c r="I7" s="12" t="str">
        <f t="shared" si="2"/>
        <v>2S21</v>
      </c>
      <c r="J7" s="12" t="str">
        <f t="shared" si="2"/>
        <v>2S21</v>
      </c>
      <c r="K7" s="12"/>
      <c r="L7" s="12"/>
      <c r="M7" s="12"/>
      <c r="N7" s="12"/>
      <c r="O7" s="12"/>
      <c r="P7" s="12"/>
      <c r="Q7" s="12"/>
      <c r="R7" s="12"/>
      <c r="S7" s="13">
        <f>EDATE(S8,-11)</f>
        <v>44197</v>
      </c>
      <c r="U7" s="13"/>
      <c r="V7" s="13"/>
    </row>
    <row r="8" spans="1:24" s="11" customFormat="1" x14ac:dyDescent="0.2">
      <c r="A8" s="28"/>
      <c r="B8" s="11" t="s">
        <v>2</v>
      </c>
      <c r="C8" s="13">
        <v>43891</v>
      </c>
      <c r="D8" s="13">
        <f>EDATE(C8,3)</f>
        <v>43983</v>
      </c>
      <c r="E8" s="13">
        <f t="shared" ref="E8:J8" si="3">EDATE(D8,3)</f>
        <v>44075</v>
      </c>
      <c r="F8" s="13">
        <f t="shared" si="3"/>
        <v>44166</v>
      </c>
      <c r="G8" s="13">
        <f t="shared" si="3"/>
        <v>44256</v>
      </c>
      <c r="H8" s="13">
        <f t="shared" si="3"/>
        <v>44348</v>
      </c>
      <c r="I8" s="13">
        <f t="shared" si="3"/>
        <v>44440</v>
      </c>
      <c r="J8" s="13">
        <f t="shared" si="3"/>
        <v>44531</v>
      </c>
      <c r="K8" s="12"/>
      <c r="L8" s="13">
        <v>43983</v>
      </c>
      <c r="M8" s="13">
        <f>EDATE(L8,6)</f>
        <v>44166</v>
      </c>
      <c r="N8" s="13">
        <f>EDATE(M8,6)</f>
        <v>44348</v>
      </c>
      <c r="O8" s="13">
        <f>EDATE(N8,6)</f>
        <v>44531</v>
      </c>
      <c r="P8" s="12"/>
      <c r="Q8" s="13">
        <v>44166</v>
      </c>
      <c r="R8" s="13">
        <v>44531</v>
      </c>
      <c r="S8" s="13">
        <v>44531</v>
      </c>
      <c r="U8" s="13"/>
      <c r="V8" s="13"/>
    </row>
    <row r="9" spans="1:24" ht="5.0999999999999996" customHeight="1" x14ac:dyDescent="0.2">
      <c r="U9" s="8"/>
      <c r="V9" s="8"/>
    </row>
    <row r="10" spans="1:24" s="18" customFormat="1" ht="15" x14ac:dyDescent="0.2">
      <c r="A10" s="27"/>
      <c r="B10" s="19" t="s">
        <v>214</v>
      </c>
      <c r="C10" s="20"/>
      <c r="D10" s="20"/>
      <c r="E10" s="20"/>
      <c r="F10" s="20"/>
      <c r="G10" s="20"/>
      <c r="H10" s="20"/>
      <c r="I10" s="20"/>
      <c r="J10" s="20"/>
      <c r="K10" s="17"/>
      <c r="L10" s="20"/>
      <c r="M10" s="20"/>
      <c r="N10" s="20"/>
      <c r="O10" s="20"/>
      <c r="P10" s="17"/>
      <c r="Q10" s="21"/>
      <c r="R10" s="21"/>
      <c r="S10" s="21"/>
      <c r="U10" s="21"/>
      <c r="V10" s="21"/>
    </row>
    <row r="11" spans="1:24" x14ac:dyDescent="0.2">
      <c r="U11" s="72"/>
      <c r="V11" s="8"/>
    </row>
    <row r="12" spans="1:24" s="39" customFormat="1" x14ac:dyDescent="0.2">
      <c r="A12" s="59"/>
      <c r="B12" s="36" t="s">
        <v>35</v>
      </c>
      <c r="C12" s="49">
        <v>54.596686436858235</v>
      </c>
      <c r="D12" s="49">
        <v>57.153313563141737</v>
      </c>
      <c r="E12" s="49">
        <v>96.429000000000016</v>
      </c>
      <c r="F12" s="49">
        <v>105.6</v>
      </c>
      <c r="G12" s="49">
        <v>97.903999999999996</v>
      </c>
      <c r="H12" s="49">
        <v>120.5</v>
      </c>
      <c r="I12" s="49">
        <v>137.21799999999996</v>
      </c>
      <c r="J12" s="49">
        <v>115.655</v>
      </c>
      <c r="K12" s="50"/>
      <c r="L12" s="49">
        <f t="shared" ref="L12:L18" ca="1" si="4">SUMIF($B$7:$K$7,L$4,$B12:$J12)</f>
        <v>111.74999999999997</v>
      </c>
      <c r="M12" s="49">
        <f t="shared" ref="M12:O18" ca="1" si="5">SUMIF($B$7:$K$7,M$4,$B12:$J12)</f>
        <v>202.029</v>
      </c>
      <c r="N12" s="49">
        <f t="shared" ca="1" si="5"/>
        <v>218.404</v>
      </c>
      <c r="O12" s="49">
        <f t="shared" ca="1" si="5"/>
        <v>252.87299999999996</v>
      </c>
      <c r="P12" s="50"/>
      <c r="Q12" s="49">
        <f t="shared" ref="Q12:Q18" ca="1" si="6">SUMIF($B$6:$K$6,Q$4,$B12:$J12)</f>
        <v>313.779</v>
      </c>
      <c r="R12" s="49">
        <f t="shared" ref="R12:R18" ca="1" si="7">SUMIF($B$6:$K$6,R$4,$B12:$J12)</f>
        <v>471.27699999999993</v>
      </c>
      <c r="S12" s="49">
        <f t="shared" ref="S12:S18" si="8">SUMIFS($B12:$K12,$B$8:$K$8,"&gt;="&amp;$S$7,$B$8:$K$8,"&lt;="&amp;$S$8)</f>
        <v>471.27699999999993</v>
      </c>
      <c r="U12" s="79">
        <f t="shared" ref="U12:U18" ca="1" si="9">SUMIF($C$4:$T$4,$U$2,$C12:$T12)/SUMIF($C$4:$T$4,$V$2,$C12:$T12)-1</f>
        <v>0.50193926298445701</v>
      </c>
      <c r="V12" s="48">
        <f t="shared" ref="V12:V18" ca="1" si="10">SUMIF($C$4:$T$4,$U$2,$C12:$T12)-SUMIF($C$4:$T$4,$V$2,$C12:$T12)</f>
        <v>157.49799999999993</v>
      </c>
      <c r="W12" s="10"/>
      <c r="X12" s="10"/>
    </row>
    <row r="13" spans="1:24" s="62" customFormat="1" x14ac:dyDescent="0.2">
      <c r="A13" s="61"/>
      <c r="B13" s="62" t="s">
        <v>215</v>
      </c>
      <c r="C13" s="63">
        <v>33.189851682000011</v>
      </c>
      <c r="D13" s="63">
        <v>19.645148317999993</v>
      </c>
      <c r="E13" s="63">
        <v>22.684000000000001</v>
      </c>
      <c r="F13" s="63">
        <v>-34.734999999999999</v>
      </c>
      <c r="G13" s="63">
        <v>38.366</v>
      </c>
      <c r="H13" s="63">
        <v>47.795999999999999</v>
      </c>
      <c r="I13" s="63">
        <v>45.805999999999997</v>
      </c>
      <c r="J13" s="63">
        <v>41.091000000000001</v>
      </c>
      <c r="K13" s="63"/>
      <c r="L13" s="63">
        <f t="shared" ca="1" si="4"/>
        <v>52.835000000000008</v>
      </c>
      <c r="M13" s="63">
        <f t="shared" ca="1" si="5"/>
        <v>-12.050999999999998</v>
      </c>
      <c r="N13" s="63">
        <f t="shared" ca="1" si="5"/>
        <v>86.162000000000006</v>
      </c>
      <c r="O13" s="63">
        <f t="shared" ca="1" si="5"/>
        <v>86.896999999999991</v>
      </c>
      <c r="P13" s="63"/>
      <c r="Q13" s="63">
        <f t="shared" ca="1" si="6"/>
        <v>40.784000000000006</v>
      </c>
      <c r="R13" s="63">
        <f t="shared" ca="1" si="7"/>
        <v>173.05900000000003</v>
      </c>
      <c r="S13" s="63">
        <f t="shared" si="8"/>
        <v>173.05900000000003</v>
      </c>
      <c r="U13" s="80">
        <f t="shared" ca="1" si="9"/>
        <v>3.2433061985092193</v>
      </c>
      <c r="V13" s="47">
        <f t="shared" ca="1" si="10"/>
        <v>132.27500000000003</v>
      </c>
    </row>
    <row r="14" spans="1:24" s="10" customFormat="1" x14ac:dyDescent="0.2">
      <c r="A14" s="29"/>
      <c r="B14" s="22" t="s">
        <v>216</v>
      </c>
      <c r="C14" s="45">
        <f>SUM(C12:C13)</f>
        <v>87.786538118858246</v>
      </c>
      <c r="D14" s="45">
        <f t="shared" ref="D14:J14" si="11">SUM(D12:D13)</f>
        <v>76.798461881141733</v>
      </c>
      <c r="E14" s="45">
        <f t="shared" si="11"/>
        <v>119.11300000000001</v>
      </c>
      <c r="F14" s="45">
        <f t="shared" si="11"/>
        <v>70.864999999999995</v>
      </c>
      <c r="G14" s="45">
        <f t="shared" si="11"/>
        <v>136.26999999999998</v>
      </c>
      <c r="H14" s="45">
        <f t="shared" si="11"/>
        <v>168.29599999999999</v>
      </c>
      <c r="I14" s="45">
        <f t="shared" si="11"/>
        <v>183.02399999999994</v>
      </c>
      <c r="J14" s="45">
        <f t="shared" si="11"/>
        <v>156.74600000000001</v>
      </c>
      <c r="K14" s="46"/>
      <c r="L14" s="45">
        <f t="shared" ca="1" si="4"/>
        <v>164.58499999999998</v>
      </c>
      <c r="M14" s="45">
        <f t="shared" ca="1" si="5"/>
        <v>189.97800000000001</v>
      </c>
      <c r="N14" s="45">
        <f t="shared" ca="1" si="5"/>
        <v>304.56599999999997</v>
      </c>
      <c r="O14" s="45">
        <f t="shared" ca="1" si="5"/>
        <v>339.77</v>
      </c>
      <c r="P14" s="46"/>
      <c r="Q14" s="45">
        <f t="shared" ca="1" si="6"/>
        <v>354.56299999999999</v>
      </c>
      <c r="R14" s="45">
        <f t="shared" ca="1" si="7"/>
        <v>644.3359999999999</v>
      </c>
      <c r="S14" s="45">
        <f t="shared" si="8"/>
        <v>644.3359999999999</v>
      </c>
      <c r="U14" s="81">
        <f t="shared" ca="1" si="9"/>
        <v>0.81726801724940246</v>
      </c>
      <c r="V14" s="45">
        <f t="shared" ca="1" si="10"/>
        <v>289.77299999999991</v>
      </c>
    </row>
    <row r="15" spans="1:24" s="62" customFormat="1" x14ac:dyDescent="0.2">
      <c r="A15" s="61"/>
      <c r="B15" s="62" t="s">
        <v>217</v>
      </c>
      <c r="C15" s="63">
        <v>8.7681979999993928E-2</v>
      </c>
      <c r="D15" s="63">
        <v>-1.8681979999993929E-2</v>
      </c>
      <c r="E15" s="63">
        <v>-5.6950000000000003</v>
      </c>
      <c r="F15" s="63">
        <v>0.04</v>
      </c>
      <c r="G15" s="63">
        <v>-4.32</v>
      </c>
      <c r="H15" s="63">
        <v>1.1399999999999999</v>
      </c>
      <c r="I15" s="63">
        <v>5.1529999999999996</v>
      </c>
      <c r="J15" s="63">
        <v>-6.3929999999999998</v>
      </c>
      <c r="K15" s="63"/>
      <c r="L15" s="63">
        <f t="shared" ca="1" si="4"/>
        <v>6.9000000000000006E-2</v>
      </c>
      <c r="M15" s="63">
        <f t="shared" ca="1" si="5"/>
        <v>-5.6550000000000002</v>
      </c>
      <c r="N15" s="63">
        <f t="shared" ca="1" si="5"/>
        <v>-3.1800000000000006</v>
      </c>
      <c r="O15" s="63">
        <f t="shared" ca="1" si="5"/>
        <v>-1.2400000000000002</v>
      </c>
      <c r="P15" s="63"/>
      <c r="Q15" s="63">
        <f t="shared" ca="1" si="6"/>
        <v>-5.5860000000000003</v>
      </c>
      <c r="R15" s="63">
        <f t="shared" ca="1" si="7"/>
        <v>-4.4200000000000008</v>
      </c>
      <c r="S15" s="63">
        <f t="shared" si="8"/>
        <v>-4.4200000000000008</v>
      </c>
      <c r="U15" s="80">
        <f t="shared" ca="1" si="9"/>
        <v>-0.20873612602935898</v>
      </c>
      <c r="V15" s="47">
        <f t="shared" ca="1" si="10"/>
        <v>1.1659999999999995</v>
      </c>
    </row>
    <row r="16" spans="1:24" s="10" customFormat="1" x14ac:dyDescent="0.2">
      <c r="A16" s="29"/>
      <c r="B16" s="22" t="s">
        <v>218</v>
      </c>
      <c r="C16" s="45">
        <f>SUM(C14:C15)</f>
        <v>87.874220098858245</v>
      </c>
      <c r="D16" s="45">
        <f t="shared" ref="D16:J16" si="12">SUM(D14:D15)</f>
        <v>76.779779901141737</v>
      </c>
      <c r="E16" s="45">
        <f t="shared" si="12"/>
        <v>113.41800000000001</v>
      </c>
      <c r="F16" s="45">
        <f t="shared" si="12"/>
        <v>70.905000000000001</v>
      </c>
      <c r="G16" s="45">
        <f t="shared" si="12"/>
        <v>131.94999999999999</v>
      </c>
      <c r="H16" s="45">
        <f t="shared" si="12"/>
        <v>169.43599999999998</v>
      </c>
      <c r="I16" s="45">
        <f t="shared" si="12"/>
        <v>188.17699999999994</v>
      </c>
      <c r="J16" s="45">
        <f t="shared" si="12"/>
        <v>150.35300000000001</v>
      </c>
      <c r="K16" s="46"/>
      <c r="L16" s="45">
        <f t="shared" ca="1" si="4"/>
        <v>164.654</v>
      </c>
      <c r="M16" s="45">
        <f t="shared" ca="1" si="5"/>
        <v>184.32300000000001</v>
      </c>
      <c r="N16" s="45">
        <f t="shared" ca="1" si="5"/>
        <v>301.38599999999997</v>
      </c>
      <c r="O16" s="45">
        <f t="shared" ca="1" si="5"/>
        <v>338.53</v>
      </c>
      <c r="P16" s="46"/>
      <c r="Q16" s="45">
        <f t="shared" ca="1" si="6"/>
        <v>348.97699999999998</v>
      </c>
      <c r="R16" s="45">
        <f t="shared" ca="1" si="7"/>
        <v>639.91599999999994</v>
      </c>
      <c r="S16" s="45">
        <f t="shared" si="8"/>
        <v>639.91599999999994</v>
      </c>
      <c r="U16" s="81">
        <f t="shared" ca="1" si="9"/>
        <v>0.83369104554168327</v>
      </c>
      <c r="V16" s="45">
        <f t="shared" ca="1" si="10"/>
        <v>290.93899999999996</v>
      </c>
    </row>
    <row r="17" spans="1:22" s="62" customFormat="1" x14ac:dyDescent="0.2">
      <c r="A17" s="61"/>
      <c r="B17" s="62" t="s">
        <v>220</v>
      </c>
      <c r="C17" s="63">
        <v>28.626569679999999</v>
      </c>
      <c r="D17" s="63">
        <v>25.39043032</v>
      </c>
      <c r="E17" s="63">
        <v>36.384999999999998</v>
      </c>
      <c r="F17" s="63">
        <v>29.081</v>
      </c>
      <c r="G17" s="63">
        <v>23.498000000000001</v>
      </c>
      <c r="H17" s="63">
        <v>22.472000000000001</v>
      </c>
      <c r="I17" s="63">
        <v>26.445</v>
      </c>
      <c r="J17" s="63">
        <v>18.803999999999998</v>
      </c>
      <c r="K17" s="63"/>
      <c r="L17" s="63">
        <f t="shared" ca="1" si="4"/>
        <v>54.016999999999996</v>
      </c>
      <c r="M17" s="63">
        <f t="shared" ca="1" si="5"/>
        <v>65.465999999999994</v>
      </c>
      <c r="N17" s="63">
        <f t="shared" ca="1" si="5"/>
        <v>45.97</v>
      </c>
      <c r="O17" s="63">
        <f t="shared" ca="1" si="5"/>
        <v>45.248999999999995</v>
      </c>
      <c r="P17" s="63"/>
      <c r="Q17" s="63">
        <f t="shared" ca="1" si="6"/>
        <v>119.48299999999999</v>
      </c>
      <c r="R17" s="63">
        <f t="shared" ca="1" si="7"/>
        <v>91.218999999999994</v>
      </c>
      <c r="S17" s="63">
        <f t="shared" si="8"/>
        <v>91.218999999999994</v>
      </c>
      <c r="U17" s="80">
        <f t="shared" ca="1" si="9"/>
        <v>-0.23655248026915965</v>
      </c>
      <c r="V17" s="47">
        <f t="shared" ca="1" si="10"/>
        <v>-28.263999999999996</v>
      </c>
    </row>
    <row r="18" spans="1:22" s="10" customFormat="1" x14ac:dyDescent="0.2">
      <c r="A18" s="29"/>
      <c r="B18" s="22" t="s">
        <v>219</v>
      </c>
      <c r="C18" s="45">
        <f>SUM(C16:C17)</f>
        <v>116.50078977885825</v>
      </c>
      <c r="D18" s="45">
        <f t="shared" ref="D18:J18" si="13">SUM(D16:D17)</f>
        <v>102.17021022114173</v>
      </c>
      <c r="E18" s="45">
        <f t="shared" si="13"/>
        <v>149.803</v>
      </c>
      <c r="F18" s="45">
        <f t="shared" si="13"/>
        <v>99.986000000000004</v>
      </c>
      <c r="G18" s="45">
        <f t="shared" si="13"/>
        <v>155.44799999999998</v>
      </c>
      <c r="H18" s="45">
        <f t="shared" si="13"/>
        <v>191.90799999999999</v>
      </c>
      <c r="I18" s="45">
        <f t="shared" si="13"/>
        <v>214.62199999999993</v>
      </c>
      <c r="J18" s="45">
        <f t="shared" si="13"/>
        <v>169.15700000000001</v>
      </c>
      <c r="K18" s="46"/>
      <c r="L18" s="45">
        <f t="shared" ca="1" si="4"/>
        <v>218.67099999999999</v>
      </c>
      <c r="M18" s="45">
        <f t="shared" ca="1" si="5"/>
        <v>249.78899999999999</v>
      </c>
      <c r="N18" s="45">
        <f t="shared" ca="1" si="5"/>
        <v>347.35599999999999</v>
      </c>
      <c r="O18" s="45">
        <f t="shared" ca="1" si="5"/>
        <v>383.77899999999994</v>
      </c>
      <c r="P18" s="46"/>
      <c r="Q18" s="45">
        <f t="shared" ca="1" si="6"/>
        <v>468.46</v>
      </c>
      <c r="R18" s="45">
        <f t="shared" ca="1" si="7"/>
        <v>731.13499999999999</v>
      </c>
      <c r="S18" s="45">
        <f t="shared" si="8"/>
        <v>731.13499999999999</v>
      </c>
      <c r="U18" s="81">
        <f t="shared" ca="1" si="9"/>
        <v>0.56072023225035217</v>
      </c>
      <c r="V18" s="45">
        <f t="shared" ca="1" si="10"/>
        <v>262.67500000000001</v>
      </c>
    </row>
    <row r="19" spans="1:22" s="62" customFormat="1" x14ac:dyDescent="0.2">
      <c r="A19" s="61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U19" s="8"/>
      <c r="V19" s="8"/>
    </row>
    <row r="20" spans="1:22" s="65" customFormat="1" x14ac:dyDescent="0.2">
      <c r="A20" s="28"/>
      <c r="B20" s="65" t="s">
        <v>221</v>
      </c>
      <c r="C20" s="84">
        <f>C12/VLOOKUP("Receita líquida de vendas e prestação de serviços",'Demonstrações financeiras'!$B:$T,MATCH(C$4,'Demonstrações financeiras'!$B$4:$T$4,0),FALSE)</f>
        <v>5.9250437530280822E-2</v>
      </c>
      <c r="D20" s="84">
        <f>D12/VLOOKUP("Receita líquida de vendas e prestação de serviços",'Demonstrações financeiras'!$B:$T,MATCH(D$4,'Demonstrações financeiras'!$B$4:$T$4,0),FALSE)</f>
        <v>8.423574376352537E-2</v>
      </c>
      <c r="E20" s="84">
        <f>E12/VLOOKUP("Receita líquida de vendas e prestação de serviços",'Demonstrações financeiras'!$B:$T,MATCH(E$4,'Demonstrações financeiras'!$B$4:$T$4,0),FALSE)</f>
        <v>0.10376750843469421</v>
      </c>
      <c r="F20" s="84">
        <f>F12/VLOOKUP("Receita líquida de vendas e prestação de serviços",'Demonstrações financeiras'!$B:$T,MATCH(F$4,'Demonstrações financeiras'!$B$4:$T$4,0),FALSE)</f>
        <v>0.10266521224282656</v>
      </c>
      <c r="G20" s="84">
        <f>G12/VLOOKUP("Receita líquida de vendas e prestação de serviços",'Demonstrações financeiras'!$B:$T,MATCH(G$4,'Demonstrações financeiras'!$B$4:$T$4,0),FALSE)</f>
        <v>0.10158942406328558</v>
      </c>
      <c r="H20" s="84">
        <f>H12/VLOOKUP("Receita líquida de vendas e prestação de serviços",'Demonstrações financeiras'!$B:$T,MATCH(H$4,'Demonstrações financeiras'!$B$4:$T$4,0),FALSE)</f>
        <v>9.7247293380254729E-2</v>
      </c>
      <c r="I20" s="84">
        <f>I12/VLOOKUP("Receita líquida de vendas e prestação de serviços",'Demonstrações financeiras'!$B:$T,MATCH(I$4,'Demonstrações financeiras'!$B$4:$T$4,0),FALSE)</f>
        <v>8.8872302794977098E-2</v>
      </c>
      <c r="J20" s="84">
        <f>J12/VLOOKUP("Receita líquida de vendas e prestação de serviços",'Demonstrações financeiras'!$B:$T,MATCH(J$4,'Demonstrações financeiras'!$B$4:$T$4,0),FALSE)</f>
        <v>7.1335479370350521E-2</v>
      </c>
      <c r="K20" s="66"/>
      <c r="L20" s="84">
        <f ca="1">L12/VLOOKUP("Receita líquida de vendas e prestação de serviços",'Demonstrações financeiras'!$B:$T,MATCH(L$4,'Demonstrações financeiras'!$B$4:$T$4,0),FALSE)</f>
        <v>6.9845990446325765E-2</v>
      </c>
      <c r="M20" s="84">
        <f ca="1">M12/VLOOKUP("Receita líquida de vendas e prestação de serviços",'Demonstrações financeiras'!$B:$T,MATCH(M$4,'Demonstrações financeiras'!$B$4:$T$4,0),FALSE)</f>
        <v>0.10318840505234214</v>
      </c>
      <c r="N20" s="84">
        <f ca="1">N12/VLOOKUP("Receita líquida de vendas e prestação de serviços",'Demonstrações financeiras'!$B:$T,MATCH(N$4,'Demonstrações financeiras'!$B$4:$T$4,0),FALSE)</f>
        <v>9.9146943279823416E-2</v>
      </c>
      <c r="O20" s="84">
        <f ca="1">O12/VLOOKUP("Receita líquida de vendas e prestação de serviços",'Demonstrações financeiras'!$B:$T,MATCH(O$4,'Demonstrações financeiras'!$B$4:$T$4,0),FALSE)</f>
        <v>7.9889776385868944E-2</v>
      </c>
      <c r="P20" s="66"/>
      <c r="Q20" s="84">
        <f ca="1">Q12/VLOOKUP("Receita líquida de vendas e prestação de serviços",'Demonstrações financeiras'!$B:$T,MATCH(Q$4,'Demonstrações financeiras'!$B$4:$T$4,0),FALSE)</f>
        <v>8.8194323817939888E-2</v>
      </c>
      <c r="R20" s="84">
        <f ca="1">R12/VLOOKUP("Receita líquida de vendas e prestação de serviços",'Demonstrações financeiras'!$B:$T,MATCH(R$4,'Demonstrações financeiras'!$B$4:$T$4,0),FALSE)</f>
        <v>8.7792060699259794E-2</v>
      </c>
      <c r="S20" s="84">
        <f>S12/VLOOKUP("Receita líquida de vendas e prestação de serviços",'Demonstrações financeiras'!$B:$T,MATCH(S$4,'Demonstrações financeiras'!$B$4:$T$4,0),FALSE)</f>
        <v>8.7792060699259794E-2</v>
      </c>
      <c r="U20" s="84"/>
      <c r="V20" s="85">
        <f ca="1">SUMIF($C$4:$T$4,$U$2,$C20:$T20)*100-SUMIF($C$4:$T$4,$V$2,$C20:$T20)*100</f>
        <v>-4.022631186800929E-2</v>
      </c>
    </row>
    <row r="21" spans="1:22" s="65" customFormat="1" x14ac:dyDescent="0.2">
      <c r="A21" s="28"/>
      <c r="B21" s="65" t="s">
        <v>222</v>
      </c>
      <c r="C21" s="84">
        <f>C16/VLOOKUP("Receita líquida de vendas e prestação de serviços",'Demonstrações financeiras'!$B:$T,MATCH(C$4,'Demonstrações financeiras'!$B$4:$T$4,0),FALSE)</f>
        <v>9.5364505216100084E-2</v>
      </c>
      <c r="D21" s="84">
        <f>D16/VLOOKUP("Receita líquida de vendas e prestação de serviços",'Demonstrações financeiras'!$B:$T,MATCH(D$4,'Demonstrações financeiras'!$B$4:$T$4,0),FALSE)</f>
        <v>0.11316232537991318</v>
      </c>
      <c r="E21" s="84">
        <f>E16/VLOOKUP("Receita líquida de vendas e prestação de serviços",'Demonstrações financeiras'!$B:$T,MATCH(E$4,'Demonstrações financeiras'!$B$4:$T$4,0),FALSE)</f>
        <v>0.12204941741225302</v>
      </c>
      <c r="F21" s="84">
        <f>F16/VLOOKUP("Receita líquida de vendas e prestação de serviços",'Demonstrações financeiras'!$B:$T,MATCH(F$4,'Demonstrações financeiras'!$B$4:$T$4,0),FALSE)</f>
        <v>6.8934440095431981E-2</v>
      </c>
      <c r="G21" s="84">
        <f>G16/VLOOKUP("Receita líquida de vendas e prestação de serviços",'Demonstrações financeiras'!$B:$T,MATCH(G$4,'Demonstrações financeiras'!$B$4:$T$4,0),FALSE)</f>
        <v>0.13691702591467694</v>
      </c>
      <c r="H21" s="84">
        <f>H16/VLOOKUP("Receita líquida de vendas e prestação de serviços",'Demonstrações financeiras'!$B:$T,MATCH(H$4,'Demonstrações financeiras'!$B$4:$T$4,0),FALSE)</f>
        <v>0.13674018590188247</v>
      </c>
      <c r="I21" s="84">
        <f>I16/VLOOKUP("Receita líquida de vendas e prestação de serviços",'Demonstrações financeiras'!$B:$T,MATCH(I$4,'Demonstrações financeiras'!$B$4:$T$4,0),FALSE)</f>
        <v>0.12187703743714677</v>
      </c>
      <c r="J21" s="84">
        <f>J16/VLOOKUP("Receita líquida de vendas e prestação de serviços",'Demonstrações financeiras'!$B:$T,MATCH(J$4,'Demonstrações financeiras'!$B$4:$T$4,0),FALSE)</f>
        <v>9.2737048374651451E-2</v>
      </c>
      <c r="K21" s="66"/>
      <c r="L21" s="84">
        <f ca="1">L16/VLOOKUP("Receita líquida de vendas e prestação de serviços",'Demonstrações financeiras'!$B:$T,MATCH(L$4,'Demonstrações financeiras'!$B$4:$T$4,0),FALSE)</f>
        <v>0.10291205110469195</v>
      </c>
      <c r="M21" s="84">
        <f ca="1">M16/VLOOKUP("Receita líquida de vendas e prestação de serviços",'Demonstrações financeiras'!$B:$T,MATCH(M$4,'Demonstrações financeiras'!$B$4:$T$4,0),FALSE)</f>
        <v>9.414488209347599E-2</v>
      </c>
      <c r="N21" s="84">
        <f ca="1">N16/VLOOKUP("Receita líquida de vendas e prestação de serviços",'Demonstrações financeiras'!$B:$T,MATCH(N$4,'Demonstrações financeiras'!$B$4:$T$4,0),FALSE)</f>
        <v>0.13681755209306085</v>
      </c>
      <c r="O21" s="84">
        <f ca="1">O16/VLOOKUP("Receita líquida de vendas e prestação de serviços",'Demonstrações financeiras'!$B:$T,MATCH(O$4,'Demonstrações financeiras'!$B$4:$T$4,0),FALSE)</f>
        <v>0.10695126011835275</v>
      </c>
      <c r="P21" s="66"/>
      <c r="Q21" s="84">
        <f ca="1">Q16/VLOOKUP("Receita líquida de vendas e prestação de serviços",'Demonstrações financeiras'!$B:$T,MATCH(Q$4,'Demonstrações financeiras'!$B$4:$T$4,0),FALSE)</f>
        <v>9.8087477310505822E-2</v>
      </c>
      <c r="R21" s="84">
        <f ca="1">R16/VLOOKUP("Receita líquida de vendas e prestação de serviços",'Demonstrações financeiras'!$B:$T,MATCH(R$4,'Demonstrações financeiras'!$B$4:$T$4,0),FALSE)</f>
        <v>0.11920705723900706</v>
      </c>
      <c r="S21" s="84">
        <f>S16/VLOOKUP("Receita líquida de vendas e prestação de serviços",'Demonstrações financeiras'!$B:$T,MATCH(S$4,'Demonstrações financeiras'!$B$4:$T$4,0),FALSE)</f>
        <v>0.11920705723900706</v>
      </c>
      <c r="U21" s="84"/>
      <c r="V21" s="85">
        <f ca="1">SUMIF($C$4:$T$4,$U$2,$C21:$T21)*100-SUMIF($C$4:$T$4,$V$2,$C21:$T21)*100</f>
        <v>2.1119579928501242</v>
      </c>
    </row>
    <row r="22" spans="1:22" s="65" customFormat="1" x14ac:dyDescent="0.2">
      <c r="A22" s="28"/>
      <c r="B22" s="65" t="s">
        <v>223</v>
      </c>
      <c r="C22" s="84">
        <f>C18/VLOOKUP("Receita líquida de vendas e prestação de serviços",'Demonstrações financeiras'!$B:$T,MATCH(C$4,'Demonstrações financeiras'!$B$4:$T$4,0),FALSE)</f>
        <v>0.12643116675228461</v>
      </c>
      <c r="D22" s="84">
        <f>D18/VLOOKUP("Receita líquida de vendas e prestação de serviços",'Demonstrações financeiras'!$B:$T,MATCH(D$4,'Demonstrações financeiras'!$B$4:$T$4,0),FALSE)</f>
        <v>0.15058415885100818</v>
      </c>
      <c r="E22" s="84">
        <f>E18/VLOOKUP("Receita líquida de vendas e prestação de serviços",'Demonstrações financeiras'!$B:$T,MATCH(E$4,'Demonstrações financeiras'!$B$4:$T$4,0),FALSE)</f>
        <v>0.16120341459563506</v>
      </c>
      <c r="F22" s="84">
        <f>F18/VLOOKUP("Receita líquida de vendas e prestação de serviços",'Demonstrações financeiras'!$B:$T,MATCH(F$4,'Demonstrações financeiras'!$B$4:$T$4,0),FALSE)</f>
        <v>9.7207234008629323E-2</v>
      </c>
      <c r="G22" s="84">
        <f>G18/VLOOKUP("Receita líquida de vendas e prestação de serviços",'Demonstrações financeiras'!$B:$T,MATCH(G$4,'Demonstrações financeiras'!$B$4:$T$4,0),FALSE)</f>
        <v>0.1612995668388382</v>
      </c>
      <c r="H22" s="84">
        <f>H18/VLOOKUP("Receita líquida de vendas e prestação de serviços",'Demonstrações financeiras'!$B:$T,MATCH(H$4,'Demonstrações financeiras'!$B$4:$T$4,0),FALSE)</f>
        <v>0.15487579732794957</v>
      </c>
      <c r="I22" s="84">
        <f>I18/VLOOKUP("Receita líquida de vendas e prestação de serviços",'Demonstrações financeiras'!$B:$T,MATCH(I$4,'Demonstrações financeiras'!$B$4:$T$4,0),FALSE)</f>
        <v>0.13900473240000272</v>
      </c>
      <c r="J22" s="84">
        <f>J18/VLOOKUP("Receita líquida de vendas e prestação de serviços",'Demonstrações financeiras'!$B:$T,MATCH(J$4,'Demonstrações financeiras'!$B$4:$T$4,0),FALSE)</f>
        <v>0.10433527027668829</v>
      </c>
      <c r="K22" s="66"/>
      <c r="L22" s="84">
        <f ca="1">L18/VLOOKUP("Receita líquida de vendas e prestação de serviços",'Demonstrações financeiras'!$B:$T,MATCH(L$4,'Demonstrações financeiras'!$B$4:$T$4,0),FALSE)</f>
        <v>0.13667375907730206</v>
      </c>
      <c r="M22" s="84">
        <f ca="1">M18/VLOOKUP("Receita líquida de vendas e prestação de serviços",'Demonstrações financeiras'!$B:$T,MATCH(M$4,'Demonstrações financeiras'!$B$4:$T$4,0),FALSE)</f>
        <v>0.12758231991258429</v>
      </c>
      <c r="N22" s="84">
        <f ca="1">N18/VLOOKUP("Receita líquida de vendas e prestação de serviços",'Demonstrações financeiras'!$B:$T,MATCH(N$4,'Demonstrações financeiras'!$B$4:$T$4,0),FALSE)</f>
        <v>0.15768614874226819</v>
      </c>
      <c r="O22" s="84">
        <f ca="1">O18/VLOOKUP("Receita líquida de vendas e prestação de serviços",'Demonstrações financeiras'!$B:$T,MATCH(O$4,'Demonstrações financeiras'!$B$4:$T$4,0),FALSE)</f>
        <v>0.12124670681168964</v>
      </c>
      <c r="P22" s="66"/>
      <c r="Q22" s="84">
        <f ca="1">Q18/VLOOKUP("Receita líquida de vendas e prestação de serviços",'Demonstrações financeiras'!$B:$T,MATCH(Q$4,'Demonstrações financeiras'!$B$4:$T$4,0),FALSE)</f>
        <v>0.13167073939222229</v>
      </c>
      <c r="R22" s="84">
        <f ca="1">R18/VLOOKUP("Receita líquida de vendas e prestação de serviços",'Demonstrações financeiras'!$B:$T,MATCH(R$4,'Demonstrações financeiras'!$B$4:$T$4,0),FALSE)</f>
        <v>0.13619983215678533</v>
      </c>
      <c r="S22" s="84">
        <f>S18/VLOOKUP("Receita líquida de vendas e prestação de serviços",'Demonstrações financeiras'!$B:$T,MATCH(S$4,'Demonstrações financeiras'!$B$4:$T$4,0),FALSE)</f>
        <v>0.13619983215678533</v>
      </c>
      <c r="U22" s="84"/>
      <c r="V22" s="85">
        <f ca="1">SUMIF($C$4:$T$4,$U$2,$C22:$T22)*100-SUMIF($C$4:$T$4,$V$2,$C22:$T22)*100</f>
        <v>0.45290927645630319</v>
      </c>
    </row>
    <row r="23" spans="1:22" x14ac:dyDescent="0.2">
      <c r="U23" s="8"/>
      <c r="V23" s="8"/>
    </row>
    <row r="24" spans="1:22" s="18" customFormat="1" ht="15" x14ac:dyDescent="0.2">
      <c r="A24" s="27"/>
      <c r="B24" s="19" t="s">
        <v>224</v>
      </c>
      <c r="C24" s="20"/>
      <c r="D24" s="20"/>
      <c r="E24" s="20"/>
      <c r="F24" s="20"/>
      <c r="G24" s="20"/>
      <c r="H24" s="20"/>
      <c r="I24" s="20"/>
      <c r="J24" s="20"/>
      <c r="K24" s="17"/>
      <c r="L24" s="20"/>
      <c r="M24" s="20"/>
      <c r="N24" s="20"/>
      <c r="O24" s="20"/>
      <c r="P24" s="17"/>
      <c r="Q24" s="21"/>
      <c r="R24" s="21"/>
      <c r="S24" s="21"/>
      <c r="U24" s="21"/>
      <c r="V24" s="21"/>
    </row>
    <row r="25" spans="1:22" x14ac:dyDescent="0.2">
      <c r="U25" s="8"/>
      <c r="V25" s="8"/>
    </row>
    <row r="26" spans="1:22" s="10" customFormat="1" x14ac:dyDescent="0.2">
      <c r="A26" s="29"/>
      <c r="B26" s="22" t="s">
        <v>225</v>
      </c>
      <c r="C26" s="45">
        <v>369.87413188999983</v>
      </c>
      <c r="D26" s="45">
        <v>392.02800000000002</v>
      </c>
      <c r="E26" s="45">
        <v>314.61628327</v>
      </c>
      <c r="F26" s="45">
        <v>307.61891077999991</v>
      </c>
      <c r="G26" s="45">
        <v>288.79752406000011</v>
      </c>
      <c r="H26" s="45">
        <v>175.34152406000015</v>
      </c>
      <c r="I26" s="45">
        <v>186.52052406000013</v>
      </c>
      <c r="J26" s="45">
        <v>332.15847358000013</v>
      </c>
      <c r="K26" s="46"/>
      <c r="L26" s="45">
        <f t="shared" ref="L26:S29" ca="1" si="14">SUMIF($B$8:$K$8,L$8,$B26:$J26)</f>
        <v>392.02800000000002</v>
      </c>
      <c r="M26" s="45">
        <f t="shared" ca="1" si="14"/>
        <v>307.61891077999991</v>
      </c>
      <c r="N26" s="45">
        <f t="shared" ca="1" si="14"/>
        <v>175.34152406000015</v>
      </c>
      <c r="O26" s="45">
        <f t="shared" ca="1" si="14"/>
        <v>332.15847358000013</v>
      </c>
      <c r="P26" s="46"/>
      <c r="Q26" s="45">
        <f t="shared" ca="1" si="14"/>
        <v>307.61891077999991</v>
      </c>
      <c r="R26" s="45">
        <f t="shared" ca="1" si="14"/>
        <v>332.15847358000013</v>
      </c>
      <c r="S26" s="45">
        <f t="shared" ca="1" si="14"/>
        <v>332.15847358000013</v>
      </c>
      <c r="U26" s="81">
        <f ca="1">SUMIF($C$4:$T$4,$U$2,$C26:$T26)/SUMIF($C$4:$T$4,$V$2,$C26:$T26)-1</f>
        <v>7.9772608055134198E-2</v>
      </c>
      <c r="V26" s="45">
        <f ca="1">SUMIF($C$4:$T$4,$U$2,$C26:$T26)-SUMIF($C$4:$T$4,$V$2,$C26:$T26)</f>
        <v>24.539562800000226</v>
      </c>
    </row>
    <row r="27" spans="1:22" s="62" customFormat="1" x14ac:dyDescent="0.2">
      <c r="A27" s="61"/>
      <c r="B27" s="62" t="s">
        <v>227</v>
      </c>
      <c r="C27" s="63">
        <v>-189.11782555000008</v>
      </c>
      <c r="D27" s="63">
        <v>-452.28300000000002</v>
      </c>
      <c r="E27" s="63">
        <v>-95.810490452914323</v>
      </c>
      <c r="F27" s="63">
        <v>-325.03816925999996</v>
      </c>
      <c r="G27" s="63">
        <v>-251.11500000000001</v>
      </c>
      <c r="H27" s="63">
        <v>-138.96199999999999</v>
      </c>
      <c r="I27" s="63">
        <v>-243.24199999999999</v>
      </c>
      <c r="J27" s="63">
        <v>-248.01400000000001</v>
      </c>
      <c r="K27" s="63"/>
      <c r="L27" s="63">
        <f t="shared" ca="1" si="14"/>
        <v>-452.28300000000002</v>
      </c>
      <c r="M27" s="63">
        <f t="shared" ca="1" si="14"/>
        <v>-325.03816925999996</v>
      </c>
      <c r="N27" s="63">
        <f t="shared" ca="1" si="14"/>
        <v>-138.96199999999999</v>
      </c>
      <c r="O27" s="63">
        <f t="shared" ca="1" si="14"/>
        <v>-248.01400000000001</v>
      </c>
      <c r="P27" s="63"/>
      <c r="Q27" s="63">
        <f t="shared" ca="1" si="14"/>
        <v>-325.03816925999996</v>
      </c>
      <c r="R27" s="63">
        <f t="shared" ca="1" si="14"/>
        <v>-248.01400000000001</v>
      </c>
      <c r="S27" s="63">
        <f t="shared" ca="1" si="14"/>
        <v>-248.01400000000001</v>
      </c>
      <c r="U27" s="80">
        <f ca="1">SUMIF($C$4:$T$4,$U$2,$C27:$T27)/SUMIF($C$4:$T$4,$V$2,$C27:$T27)-1</f>
        <v>-0.2369696132468303</v>
      </c>
      <c r="V27" s="47">
        <f ca="1">SUMIF($C$4:$T$4,$U$2,$C27:$T27)-SUMIF($C$4:$T$4,$V$2,$C27:$T27)</f>
        <v>77.024169259999951</v>
      </c>
    </row>
    <row r="28" spans="1:22" s="62" customFormat="1" x14ac:dyDescent="0.2">
      <c r="A28" s="61"/>
      <c r="B28" s="62" t="s">
        <v>228</v>
      </c>
      <c r="C28" s="63">
        <v>-365.38620124999994</v>
      </c>
      <c r="D28" s="63">
        <v>-476.52300000000002</v>
      </c>
      <c r="E28" s="63">
        <v>-679.74744401708574</v>
      </c>
      <c r="F28" s="63">
        <v>-625.23446185547846</v>
      </c>
      <c r="G28" s="63">
        <v>-564.14</v>
      </c>
      <c r="H28" s="63">
        <v>-640.85599999999999</v>
      </c>
      <c r="I28" s="63">
        <v>-595.92700000000002</v>
      </c>
      <c r="J28" s="63">
        <v>-400.87</v>
      </c>
      <c r="K28" s="63"/>
      <c r="L28" s="63">
        <f t="shared" ca="1" si="14"/>
        <v>-476.52300000000002</v>
      </c>
      <c r="M28" s="63">
        <f t="shared" ca="1" si="14"/>
        <v>-625.23446185547846</v>
      </c>
      <c r="N28" s="63">
        <f t="shared" ca="1" si="14"/>
        <v>-640.85599999999999</v>
      </c>
      <c r="O28" s="63">
        <f t="shared" ca="1" si="14"/>
        <v>-400.87</v>
      </c>
      <c r="P28" s="63"/>
      <c r="Q28" s="63">
        <f t="shared" ca="1" si="14"/>
        <v>-625.23446185547846</v>
      </c>
      <c r="R28" s="63">
        <f t="shared" ca="1" si="14"/>
        <v>-400.87</v>
      </c>
      <c r="S28" s="63">
        <f t="shared" ca="1" si="14"/>
        <v>-400.87</v>
      </c>
      <c r="U28" s="80">
        <f ca="1">SUMIF($C$4:$T$4,$U$2,$C28:$T28)/SUMIF($C$4:$T$4,$V$2,$C28:$T28)-1</f>
        <v>-0.35884852090469033</v>
      </c>
      <c r="V28" s="47">
        <f ca="1">SUMIF($C$4:$T$4,$U$2,$C28:$T28)-SUMIF($C$4:$T$4,$V$2,$C28:$T28)</f>
        <v>224.36446185547845</v>
      </c>
    </row>
    <row r="29" spans="1:22" s="10" customFormat="1" x14ac:dyDescent="0.2">
      <c r="A29" s="29"/>
      <c r="B29" s="22" t="s">
        <v>226</v>
      </c>
      <c r="C29" s="45">
        <f>SUM(C26:C28)</f>
        <v>-184.62989491000019</v>
      </c>
      <c r="D29" s="45">
        <f t="shared" ref="D29" si="15">SUM(D26:D28)</f>
        <v>-536.77800000000002</v>
      </c>
      <c r="E29" s="45">
        <f t="shared" ref="E29" si="16">SUM(E26:E28)</f>
        <v>-460.94165120000008</v>
      </c>
      <c r="F29" s="45">
        <f t="shared" ref="F29" si="17">SUM(F26:F28)</f>
        <v>-642.65372033547851</v>
      </c>
      <c r="G29" s="45">
        <f t="shared" ref="G29" si="18">SUM(G26:G28)</f>
        <v>-526.45747593999988</v>
      </c>
      <c r="H29" s="45">
        <f t="shared" ref="H29" si="19">SUM(H26:H28)</f>
        <v>-604.47647593999977</v>
      </c>
      <c r="I29" s="45">
        <f t="shared" ref="I29" si="20">SUM(I26:I28)</f>
        <v>-652.64847593999991</v>
      </c>
      <c r="J29" s="45">
        <f t="shared" ref="J29" si="21">SUM(J26:J28)</f>
        <v>-316.72552641999988</v>
      </c>
      <c r="K29" s="46"/>
      <c r="L29" s="45">
        <f t="shared" ca="1" si="14"/>
        <v>-536.77800000000002</v>
      </c>
      <c r="M29" s="45">
        <f t="shared" ca="1" si="14"/>
        <v>-642.65372033547851</v>
      </c>
      <c r="N29" s="45">
        <f t="shared" ca="1" si="14"/>
        <v>-604.47647593999977</v>
      </c>
      <c r="O29" s="45">
        <f t="shared" ca="1" si="14"/>
        <v>-316.72552641999988</v>
      </c>
      <c r="P29" s="46"/>
      <c r="Q29" s="45">
        <f t="shared" ca="1" si="14"/>
        <v>-642.65372033547851</v>
      </c>
      <c r="R29" s="45">
        <f t="shared" ca="1" si="14"/>
        <v>-316.72552641999988</v>
      </c>
      <c r="S29" s="45">
        <f t="shared" ca="1" si="14"/>
        <v>-316.72552641999988</v>
      </c>
      <c r="U29" s="81">
        <f ca="1">SUMIF($C$4:$T$4,$U$2,$C29:$T29)/SUMIF($C$4:$T$4,$V$2,$C29:$T29)-1</f>
        <v>-0.50715989591616673</v>
      </c>
      <c r="V29" s="45">
        <f ca="1">SUMIF($C$4:$T$4,$U$2,$C29:$T29)-SUMIF($C$4:$T$4,$V$2,$C29:$T29)</f>
        <v>325.92819391547863</v>
      </c>
    </row>
    <row r="30" spans="1:22" x14ac:dyDescent="0.2">
      <c r="U30" s="8"/>
      <c r="V30" s="8"/>
    </row>
    <row r="31" spans="1:22" s="18" customFormat="1" ht="15" x14ac:dyDescent="0.2">
      <c r="A31" s="27"/>
      <c r="B31" s="19" t="s">
        <v>229</v>
      </c>
      <c r="C31" s="20"/>
      <c r="D31" s="20"/>
      <c r="E31" s="20"/>
      <c r="F31" s="20"/>
      <c r="G31" s="20"/>
      <c r="H31" s="20"/>
      <c r="I31" s="20"/>
      <c r="J31" s="20"/>
      <c r="K31" s="17"/>
      <c r="L31" s="20"/>
      <c r="M31" s="20"/>
      <c r="N31" s="20"/>
      <c r="O31" s="20"/>
      <c r="P31" s="17"/>
      <c r="Q31" s="21"/>
      <c r="R31" s="21"/>
      <c r="S31" s="21"/>
      <c r="U31" s="21"/>
      <c r="V31" s="21"/>
    </row>
    <row r="32" spans="1:22" x14ac:dyDescent="0.2">
      <c r="U32" s="8"/>
      <c r="V32" s="8"/>
    </row>
    <row r="33" spans="1:22" s="62" customFormat="1" x14ac:dyDescent="0.2">
      <c r="A33" s="61"/>
      <c r="B33" s="62" t="s">
        <v>230</v>
      </c>
      <c r="C33" s="63">
        <v>218.38674574743294</v>
      </c>
      <c r="D33" s="63">
        <v>223.49999999999994</v>
      </c>
      <c r="E33" s="63">
        <v>277.572</v>
      </c>
      <c r="F33" s="63">
        <v>313.779</v>
      </c>
      <c r="G33" s="63">
        <v>357.08631356314174</v>
      </c>
      <c r="H33" s="63">
        <v>420.43299999999999</v>
      </c>
      <c r="I33" s="63">
        <v>461.22199999999998</v>
      </c>
      <c r="J33" s="63">
        <v>471.27699999999999</v>
      </c>
      <c r="K33" s="63"/>
      <c r="L33" s="63">
        <f t="shared" ref="L33:S41" ca="1" si="22">SUMIF($B$8:$K$8,L$8,$B33:$J33)</f>
        <v>223.49999999999994</v>
      </c>
      <c r="M33" s="63">
        <f t="shared" ca="1" si="22"/>
        <v>313.779</v>
      </c>
      <c r="N33" s="63">
        <f t="shared" ca="1" si="22"/>
        <v>420.43299999999999</v>
      </c>
      <c r="O33" s="63">
        <f t="shared" ca="1" si="22"/>
        <v>471.27699999999999</v>
      </c>
      <c r="P33" s="63"/>
      <c r="Q33" s="63">
        <f t="shared" ca="1" si="22"/>
        <v>313.779</v>
      </c>
      <c r="R33" s="63">
        <f t="shared" ca="1" si="22"/>
        <v>471.27699999999999</v>
      </c>
      <c r="S33" s="63">
        <f t="shared" ca="1" si="22"/>
        <v>471.27699999999999</v>
      </c>
      <c r="U33" s="80">
        <f ca="1">SUMIF($C$4:$T$4,$U$2,$C33:$T33)/SUMIF($C$4:$T$4,$V$2,$C33:$T33)-1</f>
        <v>0.50193926298445724</v>
      </c>
      <c r="V33" s="47">
        <f ca="1">SUMIF($C$4:$T$4,$U$2,$C33:$T33)-SUMIF($C$4:$T$4,$V$2,$C33:$T33)</f>
        <v>157.49799999999999</v>
      </c>
    </row>
    <row r="34" spans="1:22" s="62" customFormat="1" x14ac:dyDescent="0.2">
      <c r="A34" s="61"/>
      <c r="B34" s="62" t="s">
        <v>242</v>
      </c>
      <c r="C34" s="63">
        <v>1783.6494853169024</v>
      </c>
      <c r="D34" s="63">
        <v>1797.1407426584512</v>
      </c>
      <c r="E34" s="63">
        <v>1774.693489401843</v>
      </c>
      <c r="F34" s="63">
        <v>1791.5033883224642</v>
      </c>
      <c r="G34" s="63">
        <v>1832.5562426584513</v>
      </c>
      <c r="H34" s="63">
        <v>1902.4994999999999</v>
      </c>
      <c r="I34" s="63">
        <v>1932.8912467433918</v>
      </c>
      <c r="J34" s="63">
        <v>1779.628645664013</v>
      </c>
      <c r="K34" s="63"/>
      <c r="L34" s="63">
        <f t="shared" ca="1" si="22"/>
        <v>1797.1407426584512</v>
      </c>
      <c r="M34" s="63">
        <f t="shared" ca="1" si="22"/>
        <v>1791.5033883224642</v>
      </c>
      <c r="N34" s="63">
        <f t="shared" ca="1" si="22"/>
        <v>1902.4994999999999</v>
      </c>
      <c r="O34" s="63">
        <f t="shared" ca="1" si="22"/>
        <v>1779.628645664013</v>
      </c>
      <c r="P34" s="63"/>
      <c r="Q34" s="63">
        <f t="shared" ca="1" si="22"/>
        <v>1791.5033883224642</v>
      </c>
      <c r="R34" s="63">
        <f t="shared" ca="1" si="22"/>
        <v>1779.628645664013</v>
      </c>
      <c r="S34" s="63">
        <f t="shared" ca="1" si="22"/>
        <v>1779.628645664013</v>
      </c>
      <c r="U34" s="80">
        <f ca="1">SUMIF($C$4:$T$4,$U$2,$C34:$T34)/SUMIF($C$4:$T$4,$V$2,$C34:$T34)-1</f>
        <v>-6.6283674012865834E-3</v>
      </c>
      <c r="V34" s="47">
        <f ca="1">SUMIF($C$4:$T$4,$U$2,$C34:$T34)-SUMIF($C$4:$T$4,$V$2,$C34:$T34)</f>
        <v>-11.874742658451169</v>
      </c>
    </row>
    <row r="35" spans="1:22" s="34" customFormat="1" x14ac:dyDescent="0.2">
      <c r="A35" s="32"/>
      <c r="B35" s="33" t="s">
        <v>231</v>
      </c>
      <c r="C35" s="68">
        <f>C33/C34</f>
        <v>0.12243815141102793</v>
      </c>
      <c r="D35" s="68">
        <f t="shared" ref="D35:J35" si="23">D33/D34</f>
        <v>0.12436421627689756</v>
      </c>
      <c r="E35" s="68">
        <f t="shared" si="23"/>
        <v>0.15640559998535586</v>
      </c>
      <c r="F35" s="68">
        <f t="shared" si="23"/>
        <v>0.17514842676006198</v>
      </c>
      <c r="G35" s="68">
        <f t="shared" si="23"/>
        <v>0.19485694640679843</v>
      </c>
      <c r="H35" s="68">
        <f t="shared" si="23"/>
        <v>0.22098980840730839</v>
      </c>
      <c r="I35" s="68">
        <f t="shared" si="23"/>
        <v>0.23861766707106996</v>
      </c>
      <c r="J35" s="68">
        <f t="shared" si="23"/>
        <v>0.26481760739705201</v>
      </c>
      <c r="K35" s="67"/>
      <c r="L35" s="68">
        <f t="shared" ca="1" si="22"/>
        <v>0.12436421627689756</v>
      </c>
      <c r="M35" s="68">
        <f t="shared" ca="1" si="22"/>
        <v>0.17514842676006198</v>
      </c>
      <c r="N35" s="68">
        <f t="shared" ca="1" si="22"/>
        <v>0.22098980840730839</v>
      </c>
      <c r="O35" s="68">
        <f t="shared" ca="1" si="22"/>
        <v>0.26481760739705201</v>
      </c>
      <c r="P35" s="67"/>
      <c r="Q35" s="68">
        <f t="shared" ca="1" si="22"/>
        <v>0.17514842676006198</v>
      </c>
      <c r="R35" s="68">
        <f t="shared" ca="1" si="22"/>
        <v>0.26481760739705201</v>
      </c>
      <c r="S35" s="68">
        <f t="shared" ca="1" si="22"/>
        <v>0.26481760739705201</v>
      </c>
      <c r="U35" s="81"/>
      <c r="V35" s="76">
        <f ca="1">SUMIF($C$4:$T$4,$U$2,$C35:$T35)*100-SUMIF($C$4:$T$4,$V$2,$C35:$T35)*100</f>
        <v>8.9669180636990049</v>
      </c>
    </row>
    <row r="36" spans="1:22" s="62" customFormat="1" x14ac:dyDescent="0.2">
      <c r="A36" s="61"/>
      <c r="B36" s="62" t="s">
        <v>232</v>
      </c>
      <c r="C36" s="63">
        <v>387.76488039543295</v>
      </c>
      <c r="D36" s="63">
        <v>360.80599999999993</v>
      </c>
      <c r="E36" s="63">
        <v>411.16133333333335</v>
      </c>
      <c r="F36" s="63">
        <v>386.39966710000004</v>
      </c>
      <c r="G36" s="63">
        <v>434.2274470011418</v>
      </c>
      <c r="H36" s="63">
        <v>532.84966709999992</v>
      </c>
      <c r="I36" s="63">
        <v>610.64666709999995</v>
      </c>
      <c r="J36" s="63">
        <v>701.51700000000005</v>
      </c>
      <c r="K36" s="63"/>
      <c r="L36" s="63">
        <f t="shared" ca="1" si="22"/>
        <v>360.80599999999993</v>
      </c>
      <c r="M36" s="63">
        <f t="shared" ca="1" si="22"/>
        <v>386.39966710000004</v>
      </c>
      <c r="N36" s="63">
        <f t="shared" ca="1" si="22"/>
        <v>532.84966709999992</v>
      </c>
      <c r="O36" s="63">
        <f t="shared" ca="1" si="22"/>
        <v>701.51700000000005</v>
      </c>
      <c r="P36" s="63"/>
      <c r="Q36" s="63">
        <f t="shared" ca="1" si="22"/>
        <v>386.39966710000004</v>
      </c>
      <c r="R36" s="63">
        <f t="shared" ca="1" si="22"/>
        <v>701.51700000000005</v>
      </c>
      <c r="S36" s="63">
        <f t="shared" ca="1" si="22"/>
        <v>701.51700000000005</v>
      </c>
      <c r="U36" s="80">
        <f ca="1">SUMIF($C$4:$T$4,$U$2,$C36:$T36)/SUMIF($C$4:$T$4,$V$2,$C36:$T36)-1</f>
        <v>0.81552175048444808</v>
      </c>
      <c r="V36" s="47">
        <f ca="1">SUMIF($C$4:$T$4,$U$2,$C36:$T36)-SUMIF($C$4:$T$4,$V$2,$C36:$T36)</f>
        <v>315.11733290000001</v>
      </c>
    </row>
    <row r="37" spans="1:22" s="62" customFormat="1" x14ac:dyDescent="0.2">
      <c r="A37" s="61"/>
      <c r="B37" s="62" t="s">
        <v>233</v>
      </c>
      <c r="C37" s="63">
        <v>-146.60401405039801</v>
      </c>
      <c r="D37" s="63">
        <v>-115.82577397697239</v>
      </c>
      <c r="E37" s="63">
        <v>-109.44910690946007</v>
      </c>
      <c r="F37" s="63">
        <v>-44.446047734835282</v>
      </c>
      <c r="G37" s="63">
        <v>-49.515774868169707</v>
      </c>
      <c r="H37" s="63">
        <v>-79.851381633278535</v>
      </c>
      <c r="I37" s="63">
        <v>-106.32012853700709</v>
      </c>
      <c r="J37" s="63">
        <v>-188.41696025520849</v>
      </c>
      <c r="K37" s="63"/>
      <c r="L37" s="63">
        <f t="shared" ca="1" si="22"/>
        <v>-115.82577397697239</v>
      </c>
      <c r="M37" s="63">
        <f t="shared" ca="1" si="22"/>
        <v>-44.446047734835282</v>
      </c>
      <c r="N37" s="63">
        <f t="shared" ca="1" si="22"/>
        <v>-79.851381633278535</v>
      </c>
      <c r="O37" s="63">
        <f t="shared" ca="1" si="22"/>
        <v>-188.41696025520849</v>
      </c>
      <c r="P37" s="63"/>
      <c r="Q37" s="63">
        <f t="shared" ca="1" si="22"/>
        <v>-44.446047734835282</v>
      </c>
      <c r="R37" s="63">
        <f t="shared" ca="1" si="22"/>
        <v>-188.41696025520849</v>
      </c>
      <c r="S37" s="63">
        <f t="shared" ca="1" si="22"/>
        <v>-188.41696025520849</v>
      </c>
      <c r="U37" s="80">
        <f ca="1">SUMIF($C$4:$T$4,$U$2,$C37:$T37)/SUMIF($C$4:$T$4,$V$2,$C37:$T37)-1</f>
        <v>3.2392286796635412</v>
      </c>
      <c r="V37" s="47">
        <f ca="1">SUMIF($C$4:$T$4,$U$2,$C37:$T37)-SUMIF($C$4:$T$4,$V$2,$C37:$T37)</f>
        <v>-143.97091252037322</v>
      </c>
    </row>
    <row r="38" spans="1:22" s="10" customFormat="1" x14ac:dyDescent="0.2">
      <c r="A38" s="58"/>
      <c r="B38" s="43" t="s">
        <v>234</v>
      </c>
      <c r="C38" s="48">
        <f>SUM(C36:C37)</f>
        <v>241.16086634503495</v>
      </c>
      <c r="D38" s="48">
        <f t="shared" ref="D38:J38" si="24">SUM(D36:D37)</f>
        <v>244.98022602302754</v>
      </c>
      <c r="E38" s="48">
        <f t="shared" si="24"/>
        <v>301.71222642387329</v>
      </c>
      <c r="F38" s="48">
        <f t="shared" si="24"/>
        <v>341.95361936516474</v>
      </c>
      <c r="G38" s="48">
        <f t="shared" si="24"/>
        <v>384.71167213297207</v>
      </c>
      <c r="H38" s="48">
        <f t="shared" si="24"/>
        <v>452.99828546672137</v>
      </c>
      <c r="I38" s="48">
        <f t="shared" si="24"/>
        <v>504.32653856299282</v>
      </c>
      <c r="J38" s="48">
        <f t="shared" si="24"/>
        <v>513.1000397447915</v>
      </c>
      <c r="K38" s="46"/>
      <c r="L38" s="48">
        <f t="shared" ca="1" si="22"/>
        <v>244.98022602302754</v>
      </c>
      <c r="M38" s="48">
        <f t="shared" ca="1" si="22"/>
        <v>341.95361936516474</v>
      </c>
      <c r="N38" s="48">
        <f t="shared" ca="1" si="22"/>
        <v>452.99828546672137</v>
      </c>
      <c r="O38" s="48">
        <f t="shared" ca="1" si="22"/>
        <v>513.1000397447915</v>
      </c>
      <c r="P38" s="46"/>
      <c r="Q38" s="48">
        <f t="shared" ca="1" si="22"/>
        <v>341.95361936516474</v>
      </c>
      <c r="R38" s="48">
        <f t="shared" ca="1" si="22"/>
        <v>513.1000397447915</v>
      </c>
      <c r="S38" s="48">
        <f t="shared" ca="1" si="22"/>
        <v>513.1000397447915</v>
      </c>
      <c r="U38" s="79">
        <f ca="1">SUMIF($C$4:$T$4,$U$2,$C38:$T38)/SUMIF($C$4:$T$4,$V$2,$C38:$T38)-1</f>
        <v>0.50049600497681324</v>
      </c>
      <c r="V38" s="48">
        <f ca="1">SUMIF($C$4:$T$4,$U$2,$C38:$T38)-SUMIF($C$4:$T$4,$V$2,$C38:$T38)</f>
        <v>171.14642037962676</v>
      </c>
    </row>
    <row r="39" spans="1:22" s="62" customFormat="1" x14ac:dyDescent="0.2">
      <c r="A39" s="61"/>
      <c r="B39" s="62" t="s">
        <v>235</v>
      </c>
      <c r="C39" s="63">
        <v>369.87413188999983</v>
      </c>
      <c r="D39" s="63">
        <v>380.95106594499993</v>
      </c>
      <c r="E39" s="63">
        <v>342.24520757999994</v>
      </c>
      <c r="F39" s="63">
        <v>338.7465213349999</v>
      </c>
      <c r="G39" s="63">
        <v>329.33582797500003</v>
      </c>
      <c r="H39" s="63">
        <v>283.68476203000012</v>
      </c>
      <c r="I39" s="63">
        <v>250.56840366500009</v>
      </c>
      <c r="J39" s="63">
        <v>319.88869218000002</v>
      </c>
      <c r="K39" s="63"/>
      <c r="L39" s="63">
        <f t="shared" ca="1" si="22"/>
        <v>380.95106594499993</v>
      </c>
      <c r="M39" s="63">
        <f t="shared" ca="1" si="22"/>
        <v>338.7465213349999</v>
      </c>
      <c r="N39" s="63">
        <f t="shared" ca="1" si="22"/>
        <v>283.68476203000012</v>
      </c>
      <c r="O39" s="63">
        <f t="shared" ca="1" si="22"/>
        <v>319.88869218000002</v>
      </c>
      <c r="P39" s="63"/>
      <c r="Q39" s="63">
        <f t="shared" ca="1" si="22"/>
        <v>338.7465213349999</v>
      </c>
      <c r="R39" s="63">
        <f t="shared" ca="1" si="22"/>
        <v>319.88869218000002</v>
      </c>
      <c r="S39" s="63">
        <f t="shared" ca="1" si="22"/>
        <v>319.88869218000002</v>
      </c>
      <c r="U39" s="80">
        <f ca="1">SUMIF($C$4:$T$4,$U$2,$C39:$T39)/SUMIF($C$4:$T$4,$V$2,$C39:$T39)-1</f>
        <v>-5.5669440030501782E-2</v>
      </c>
      <c r="V39" s="47">
        <f ca="1">SUMIF($C$4:$T$4,$U$2,$C39:$T39)-SUMIF($C$4:$T$4,$V$2,$C39:$T39)</f>
        <v>-18.857829154999877</v>
      </c>
    </row>
    <row r="40" spans="1:22" s="10" customFormat="1" x14ac:dyDescent="0.2">
      <c r="A40" s="58"/>
      <c r="B40" s="43" t="s">
        <v>236</v>
      </c>
      <c r="C40" s="48">
        <f>C39+C34</f>
        <v>2153.5236172069021</v>
      </c>
      <c r="D40" s="48">
        <f t="shared" ref="D40:J40" si="25">D39+D34</f>
        <v>2178.0918086034512</v>
      </c>
      <c r="E40" s="48">
        <f t="shared" si="25"/>
        <v>2116.9386969818429</v>
      </c>
      <c r="F40" s="48">
        <f t="shared" si="25"/>
        <v>2130.2499096574638</v>
      </c>
      <c r="G40" s="48">
        <f t="shared" si="25"/>
        <v>2161.8920706334511</v>
      </c>
      <c r="H40" s="48">
        <f t="shared" si="25"/>
        <v>2186.1842620299999</v>
      </c>
      <c r="I40" s="48">
        <f t="shared" si="25"/>
        <v>2183.459650408392</v>
      </c>
      <c r="J40" s="48">
        <f t="shared" si="25"/>
        <v>2099.5173378440131</v>
      </c>
      <c r="K40" s="46"/>
      <c r="L40" s="48">
        <f t="shared" ca="1" si="22"/>
        <v>2178.0918086034512</v>
      </c>
      <c r="M40" s="48">
        <f t="shared" ca="1" si="22"/>
        <v>2130.2499096574638</v>
      </c>
      <c r="N40" s="48">
        <f t="shared" ca="1" si="22"/>
        <v>2186.1842620299999</v>
      </c>
      <c r="O40" s="48">
        <f t="shared" ca="1" si="22"/>
        <v>2099.5173378440131</v>
      </c>
      <c r="P40" s="46"/>
      <c r="Q40" s="48">
        <f t="shared" ca="1" si="22"/>
        <v>2130.2499096574638</v>
      </c>
      <c r="R40" s="48">
        <f t="shared" ca="1" si="22"/>
        <v>2099.5173378440131</v>
      </c>
      <c r="S40" s="48">
        <f t="shared" ca="1" si="22"/>
        <v>2099.5173378440131</v>
      </c>
      <c r="U40" s="79">
        <f ca="1">SUMIF($C$4:$T$4,$U$2,$C40:$T40)/SUMIF($C$4:$T$4,$V$2,$C40:$T40)-1</f>
        <v>-1.4426744803097913E-2</v>
      </c>
      <c r="V40" s="48">
        <f ca="1">SUMIF($C$4:$T$4,$U$2,$C40:$T40)-SUMIF($C$4:$T$4,$V$2,$C40:$T40)</f>
        <v>-30.732571813450704</v>
      </c>
    </row>
    <row r="41" spans="1:22" s="34" customFormat="1" x14ac:dyDescent="0.2">
      <c r="A41" s="32"/>
      <c r="B41" s="33" t="s">
        <v>237</v>
      </c>
      <c r="C41" s="68">
        <f>C38/C40</f>
        <v>0.11198431464513869</v>
      </c>
      <c r="D41" s="68">
        <f t="shared" ref="D41:J41" si="26">D38/D40</f>
        <v>0.11247470150493975</v>
      </c>
      <c r="E41" s="68">
        <f t="shared" si="26"/>
        <v>0.14252289254007675</v>
      </c>
      <c r="F41" s="68">
        <f t="shared" si="26"/>
        <v>0.16052277144335125</v>
      </c>
      <c r="G41" s="68">
        <f t="shared" si="26"/>
        <v>0.17795137757281684</v>
      </c>
      <c r="H41" s="68">
        <f t="shared" si="26"/>
        <v>0.20720956295151716</v>
      </c>
      <c r="I41" s="68">
        <f t="shared" si="26"/>
        <v>0.2309758911590897</v>
      </c>
      <c r="J41" s="68">
        <f t="shared" si="26"/>
        <v>0.24438952253268464</v>
      </c>
      <c r="K41" s="67"/>
      <c r="L41" s="68">
        <f t="shared" ca="1" si="22"/>
        <v>0.11247470150493975</v>
      </c>
      <c r="M41" s="68">
        <f t="shared" ca="1" si="22"/>
        <v>0.16052277144335125</v>
      </c>
      <c r="N41" s="68">
        <f t="shared" ca="1" si="22"/>
        <v>0.20720956295151716</v>
      </c>
      <c r="O41" s="68">
        <f t="shared" ca="1" si="22"/>
        <v>0.24438952253268464</v>
      </c>
      <c r="P41" s="67"/>
      <c r="Q41" s="68">
        <f t="shared" ca="1" si="22"/>
        <v>0.16052277144335125</v>
      </c>
      <c r="R41" s="68">
        <f t="shared" ca="1" si="22"/>
        <v>0.24438952253268464</v>
      </c>
      <c r="S41" s="68">
        <f t="shared" ca="1" si="22"/>
        <v>0.24438952253268464</v>
      </c>
      <c r="U41" s="73"/>
      <c r="V41" s="76">
        <f ca="1">SUMIF($C$4:$T$4,$U$2,$C41:$T41)*100-SUMIF($C$4:$T$4,$V$2,$C41:$T41)*100</f>
        <v>8.3866751089333391</v>
      </c>
    </row>
    <row r="42" spans="1:22" x14ac:dyDescent="0.2">
      <c r="B42" s="65" t="s">
        <v>241</v>
      </c>
    </row>
  </sheetData>
  <mergeCells count="1">
    <mergeCell ref="U3:V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874358A6C63648A40435486F6AD252" ma:contentTypeVersion="12" ma:contentTypeDescription="Criar um novo documento." ma:contentTypeScope="" ma:versionID="179c444dc44dfe01b20d8caaca7bbadc">
  <xsd:schema xmlns:xsd="http://www.w3.org/2001/XMLSchema" xmlns:xs="http://www.w3.org/2001/XMLSchema" xmlns:p="http://schemas.microsoft.com/office/2006/metadata/properties" xmlns:ns2="dfb3361b-b950-47fc-b42e-9278b2615147" xmlns:ns3="8f7734db-915a-46cc-ac1b-bbb04cdef939" targetNamespace="http://schemas.microsoft.com/office/2006/metadata/properties" ma:root="true" ma:fieldsID="c6eba529883013dcf96172b3e32a1478" ns2:_="" ns3:_="">
    <xsd:import namespace="dfb3361b-b950-47fc-b42e-9278b2615147"/>
    <xsd:import namespace="8f7734db-915a-46cc-ac1b-bbb04cdef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3361b-b950-47fc-b42e-9278b26151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734db-915a-46cc-ac1b-bbb04cdef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52666A-26B8-4BFC-ACCB-4D259A9034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5B7B2E-8CA3-4297-842C-C5B7F3433E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D9C067-85C5-4834-8078-2DDACA9BE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3361b-b950-47fc-b42e-9278b2615147"/>
    <ds:schemaRef ds:uri="8f7734db-915a-46cc-ac1b-bbb04cdef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Demonstrações financeiras</vt:lpstr>
      <vt:lpstr>Indicadores operacionais</vt:lpstr>
      <vt:lpstr>Indicadores financeiros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Weverton Santos</dc:creator>
  <cp:lastModifiedBy>Weverton Santos</cp:lastModifiedBy>
  <dcterms:created xsi:type="dcterms:W3CDTF">2022-02-08T17:07:22Z</dcterms:created>
  <dcterms:modified xsi:type="dcterms:W3CDTF">2022-03-15T11:50:49Z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0x010100C6874358A6C63648A40435486F6AD252</vt:lpwstr>
  </property>
</Properties>
</file>