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24226"/>
  <xr:revisionPtr revIDLastSave="0" documentId="13_ncr:1_{FE304D0B-6688-41C8-91C8-9C0B9F62465B}" xr6:coauthVersionLast="47" xr6:coauthVersionMax="47" xr10:uidLastSave="{00000000-0000-0000-0000-000000000000}"/>
  <bookViews>
    <workbookView xWindow="-120" yWindow="-120" windowWidth="20730" windowHeight="11160" activeTab="1" xr2:uid="{00000000-000D-0000-FFFF-FFFF00000000}"/>
  </bookViews>
  <sheets>
    <sheet name="Introdução" sheetId="11" r:id="rId1"/>
    <sheet name="DRE" sheetId="4" r:id="rId2"/>
    <sheet name="BP" sheetId="5" r:id="rId3"/>
    <sheet name="FC" sheetId="6" r:id="rId4"/>
    <sheet name="Endividamento" sheetId="12" r:id="rId5"/>
    <sheet name="Operacionais" sheetId="8" r:id="rId6"/>
  </sheets>
  <calcPr calcId="191029" calcMode="autoNoTable"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72" i="6" l="1"/>
  <c r="BJ76" i="6"/>
  <c r="BJ75" i="6"/>
  <c r="BJ70" i="6"/>
  <c r="BJ66" i="6"/>
  <c r="BJ59" i="6"/>
  <c r="BJ47" i="6"/>
  <c r="BJ34" i="6"/>
  <c r="BJ38" i="6"/>
  <c r="BJ37" i="6"/>
  <c r="BJ36" i="6"/>
  <c r="BJ35" i="6"/>
  <c r="BJ33" i="6"/>
  <c r="BJ32" i="6"/>
  <c r="BJ31" i="6"/>
  <c r="BJ30" i="6"/>
  <c r="BJ29" i="6"/>
  <c r="BJ28" i="6"/>
  <c r="BJ26" i="6"/>
  <c r="BJ25" i="6"/>
  <c r="BJ22" i="6"/>
  <c r="BJ20" i="6"/>
  <c r="BJ18" i="6"/>
  <c r="BJ16" i="6"/>
  <c r="BJ15" i="6"/>
  <c r="BJ12" i="6"/>
  <c r="BJ10" i="6"/>
  <c r="BJ7" i="6"/>
  <c r="BC14" i="8"/>
  <c r="BD14" i="8"/>
  <c r="BE14" i="8"/>
  <c r="BF14" i="8"/>
  <c r="BG14" i="8"/>
  <c r="BH14" i="8"/>
  <c r="BI14" i="8"/>
  <c r="BJ14" i="8"/>
  <c r="BJ15" i="8" l="1"/>
  <c r="BJ11" i="12"/>
  <c r="BJ10" i="12"/>
  <c r="BJ8" i="12"/>
  <c r="BJ7" i="12"/>
  <c r="BJ13" i="12"/>
  <c r="BJ12" i="12" l="1"/>
  <c r="BJ14" i="12" s="1"/>
  <c r="BJ15" i="12" s="1"/>
  <c r="BJ68" i="6" l="1"/>
  <c r="BJ53" i="6"/>
  <c r="BJ41" i="6"/>
  <c r="BJ63" i="5"/>
  <c r="BJ61" i="5"/>
  <c r="BJ59" i="5"/>
  <c r="BJ58" i="5"/>
  <c r="BJ55" i="5"/>
  <c r="BJ54" i="5"/>
  <c r="BJ52" i="5"/>
  <c r="BJ50" i="5"/>
  <c r="BJ49" i="5"/>
  <c r="BJ47" i="5"/>
  <c r="BJ46" i="5"/>
  <c r="BJ45" i="5"/>
  <c r="BJ40" i="5"/>
  <c r="BJ43" i="5"/>
  <c r="BJ39" i="5"/>
  <c r="BJ38" i="5"/>
  <c r="BJ36" i="5"/>
  <c r="BJ35" i="5"/>
  <c r="BJ34" i="5"/>
  <c r="BJ33" i="5"/>
  <c r="BI18" i="5"/>
  <c r="BJ18" i="5"/>
  <c r="BJ19" i="5"/>
  <c r="BJ30" i="5"/>
  <c r="BJ29" i="5"/>
  <c r="BJ27" i="5"/>
  <c r="BJ26" i="5"/>
  <c r="BJ25" i="5"/>
  <c r="BJ23" i="5"/>
  <c r="BJ24" i="5"/>
  <c r="BJ21" i="5" l="1"/>
  <c r="BJ22" i="5"/>
  <c r="BJ53" i="5"/>
  <c r="BJ44" i="5"/>
  <c r="BJ32" i="5"/>
  <c r="BJ28" i="5"/>
  <c r="BJ16" i="5"/>
  <c r="BJ15" i="5"/>
  <c r="BJ14" i="5"/>
  <c r="BJ13" i="5"/>
  <c r="BJ12" i="5"/>
  <c r="BJ11" i="5"/>
  <c r="BJ10" i="5"/>
  <c r="BJ9" i="5"/>
  <c r="BJ8" i="5"/>
  <c r="BJ20" i="4"/>
  <c r="BI20" i="4"/>
  <c r="BJ64" i="5" l="1"/>
  <c r="BJ17" i="5"/>
  <c r="BJ31" i="5" s="1"/>
  <c r="BJ7" i="5"/>
  <c r="BJ12" i="4" l="1"/>
  <c r="BJ7" i="4"/>
  <c r="M42" i="5"/>
  <c r="M41" i="5"/>
  <c r="M37" i="5"/>
  <c r="M8" i="8"/>
  <c r="M9" i="8"/>
  <c r="M10" i="8"/>
  <c r="M11" i="8"/>
  <c r="M12" i="8"/>
  <c r="M13" i="8"/>
  <c r="M14" i="8"/>
  <c r="M15" i="8"/>
  <c r="M7" i="8"/>
  <c r="BI59" i="6"/>
  <c r="M58" i="6"/>
  <c r="BI70" i="6"/>
  <c r="B23" i="5"/>
  <c r="C23" i="5"/>
  <c r="D23" i="5"/>
  <c r="E23" i="5"/>
  <c r="F23" i="5"/>
  <c r="G23" i="5"/>
  <c r="H23" i="5"/>
  <c r="I23" i="5"/>
  <c r="J23" i="5"/>
  <c r="K23" i="5"/>
  <c r="L23" i="5"/>
  <c r="M23" i="5"/>
  <c r="BI23" i="5"/>
  <c r="BJ6" i="4" l="1"/>
  <c r="M9" i="12"/>
  <c r="M70" i="6"/>
  <c r="M57" i="6"/>
  <c r="M59" i="6"/>
  <c r="M60" i="6"/>
  <c r="M61" i="6"/>
  <c r="M62" i="6"/>
  <c r="M63" i="6"/>
  <c r="M64" i="6"/>
  <c r="M65" i="6"/>
  <c r="M66" i="6"/>
  <c r="M67" i="6"/>
  <c r="M56" i="6"/>
  <c r="M45" i="6"/>
  <c r="M46" i="6"/>
  <c r="M47" i="6"/>
  <c r="M48" i="6"/>
  <c r="M49" i="6"/>
  <c r="M50" i="6"/>
  <c r="M51" i="6"/>
  <c r="M52" i="6"/>
  <c r="M44" i="6"/>
  <c r="M26" i="6"/>
  <c r="M27" i="6"/>
  <c r="M28" i="6"/>
  <c r="M29" i="6"/>
  <c r="M30" i="6"/>
  <c r="M31" i="6"/>
  <c r="M32" i="6"/>
  <c r="M33" i="6"/>
  <c r="M34" i="6"/>
  <c r="M35" i="6"/>
  <c r="M36" i="6"/>
  <c r="M37" i="6"/>
  <c r="M38" i="6"/>
  <c r="M39" i="6"/>
  <c r="M40" i="6"/>
  <c r="M25" i="6"/>
  <c r="M18" i="6"/>
  <c r="M19" i="6"/>
  <c r="M20" i="6"/>
  <c r="M21" i="6"/>
  <c r="M22" i="6"/>
  <c r="M17" i="6"/>
  <c r="M10" i="6"/>
  <c r="M11" i="6"/>
  <c r="M12" i="6"/>
  <c r="M13" i="6"/>
  <c r="M14" i="6"/>
  <c r="M15" i="6"/>
  <c r="M16" i="6"/>
  <c r="M9" i="6"/>
  <c r="M7" i="6"/>
  <c r="BI72" i="6"/>
  <c r="BI66" i="6"/>
  <c r="BI65" i="6"/>
  <c r="BI68" i="6"/>
  <c r="BI51" i="6"/>
  <c r="BI53" i="6" s="1"/>
  <c r="BI47" i="6"/>
  <c r="BI46" i="6"/>
  <c r="BI11" i="6"/>
  <c r="BI41" i="6"/>
  <c r="BI38" i="6"/>
  <c r="BI37" i="6"/>
  <c r="BI36" i="6"/>
  <c r="BI35" i="6"/>
  <c r="BI34" i="6"/>
  <c r="BI33" i="6"/>
  <c r="BI32" i="6"/>
  <c r="BI31" i="6"/>
  <c r="BI30" i="6"/>
  <c r="BI29" i="6"/>
  <c r="BI28" i="6"/>
  <c r="BI26" i="6"/>
  <c r="BI25" i="6"/>
  <c r="BI22" i="6"/>
  <c r="BI21" i="6"/>
  <c r="BI20" i="6"/>
  <c r="BI19" i="6"/>
  <c r="BI18" i="6"/>
  <c r="BI16" i="6"/>
  <c r="BI15" i="6"/>
  <c r="BI10" i="6"/>
  <c r="BI7" i="6"/>
  <c r="M57" i="5"/>
  <c r="M60" i="5"/>
  <c r="M62" i="5"/>
  <c r="M51" i="5"/>
  <c r="M48" i="5"/>
  <c r="M20" i="5"/>
  <c r="M10" i="5"/>
  <c r="M9" i="5"/>
  <c r="BI63" i="5"/>
  <c r="M63" i="5" s="1"/>
  <c r="BI55" i="5"/>
  <c r="M55" i="5" s="1"/>
  <c r="BI61" i="5"/>
  <c r="M61" i="5" s="1"/>
  <c r="BI59" i="5"/>
  <c r="M59" i="5" s="1"/>
  <c r="BI58" i="5"/>
  <c r="M58" i="5" s="1"/>
  <c r="BI56" i="5"/>
  <c r="M56" i="5" s="1"/>
  <c r="BI54" i="5"/>
  <c r="M54" i="5" s="1"/>
  <c r="BI52" i="5"/>
  <c r="M52" i="5" s="1"/>
  <c r="BI50" i="5"/>
  <c r="M50" i="5" s="1"/>
  <c r="BI49" i="5"/>
  <c r="M49" i="5" s="1"/>
  <c r="BI47" i="5"/>
  <c r="M47" i="5" s="1"/>
  <c r="BI46" i="5"/>
  <c r="BI11" i="12" s="1"/>
  <c r="M11" i="12" s="1"/>
  <c r="BI45" i="5"/>
  <c r="BI8" i="12" s="1"/>
  <c r="M8" i="12" s="1"/>
  <c r="BI43" i="5"/>
  <c r="M43" i="5" s="1"/>
  <c r="BI40" i="5"/>
  <c r="M40" i="5" s="1"/>
  <c r="BI39" i="5"/>
  <c r="M39" i="5" s="1"/>
  <c r="BI38" i="5"/>
  <c r="M38" i="5" s="1"/>
  <c r="BI36" i="5"/>
  <c r="M36" i="5" s="1"/>
  <c r="BI35" i="5"/>
  <c r="M35" i="5" s="1"/>
  <c r="BI34" i="5"/>
  <c r="BI7" i="12" s="1"/>
  <c r="BI33" i="5"/>
  <c r="M33" i="5" s="1"/>
  <c r="BI19" i="5"/>
  <c r="M19" i="5" s="1"/>
  <c r="BI22" i="5"/>
  <c r="BI30" i="5"/>
  <c r="M30" i="5" s="1"/>
  <c r="BI29" i="5"/>
  <c r="M29" i="5" s="1"/>
  <c r="BI27" i="5"/>
  <c r="M27" i="5" s="1"/>
  <c r="BI26" i="5"/>
  <c r="M26" i="5" s="1"/>
  <c r="BI25" i="5"/>
  <c r="M25" i="5" s="1"/>
  <c r="BI24" i="5"/>
  <c r="M24" i="5" s="1"/>
  <c r="BI21" i="5"/>
  <c r="M21" i="5" s="1"/>
  <c r="BI16" i="5"/>
  <c r="M16" i="5" s="1"/>
  <c r="BI15" i="5"/>
  <c r="M15" i="5" s="1"/>
  <c r="BI14" i="5"/>
  <c r="M14" i="5" s="1"/>
  <c r="BI13" i="5"/>
  <c r="M13" i="5" s="1"/>
  <c r="BI12" i="5"/>
  <c r="M12" i="5" s="1"/>
  <c r="BI11" i="5"/>
  <c r="M11" i="5" s="1"/>
  <c r="BI8" i="5"/>
  <c r="M28" i="4"/>
  <c r="M26" i="4"/>
  <c r="M23" i="4"/>
  <c r="M21" i="4"/>
  <c r="M7" i="4"/>
  <c r="BJ29" i="4" l="1"/>
  <c r="BJ27" i="4"/>
  <c r="BJ24" i="4"/>
  <c r="BJ22" i="4"/>
  <c r="BJ17" i="4"/>
  <c r="BJ15" i="4"/>
  <c r="M53" i="6"/>
  <c r="M68" i="6"/>
  <c r="M41" i="6"/>
  <c r="M72" i="6" s="1"/>
  <c r="BI13" i="12"/>
  <c r="M13" i="12" s="1"/>
  <c r="M45" i="5"/>
  <c r="M46" i="5"/>
  <c r="BI10" i="12"/>
  <c r="M10" i="12" s="1"/>
  <c r="M34" i="5"/>
  <c r="M32" i="5" s="1"/>
  <c r="M64" i="5" s="1"/>
  <c r="M8" i="5"/>
  <c r="M7" i="12"/>
  <c r="M12" i="12" s="1"/>
  <c r="BI12" i="12"/>
  <c r="M22" i="5"/>
  <c r="M53" i="5"/>
  <c r="M44" i="5"/>
  <c r="BI28" i="5"/>
  <c r="M28" i="5" s="1"/>
  <c r="M14" i="12" l="1"/>
  <c r="M15" i="12" s="1"/>
  <c r="BI14" i="12"/>
  <c r="BI15" i="12" s="1"/>
  <c r="M18" i="5"/>
  <c r="M17" i="5" s="1"/>
  <c r="BI6" i="4"/>
  <c r="BI12" i="4"/>
  <c r="BI7" i="5" l="1"/>
  <c r="BI17" i="5"/>
  <c r="BI32" i="5"/>
  <c r="BI44" i="5"/>
  <c r="BI53" i="5"/>
  <c r="M6" i="4"/>
  <c r="M24" i="4" s="1"/>
  <c r="M12" i="4"/>
  <c r="BI7" i="4"/>
  <c r="BI15" i="8"/>
  <c r="M7" i="5"/>
  <c r="M31" i="5" s="1"/>
  <c r="BH15" i="8"/>
  <c r="BH13" i="12"/>
  <c r="BH11" i="12"/>
  <c r="BH10" i="12"/>
  <c r="BH8" i="12"/>
  <c r="BH7" i="12"/>
  <c r="BH68" i="6"/>
  <c r="BH53" i="6"/>
  <c r="BH41" i="6"/>
  <c r="BH44" i="5"/>
  <c r="BH53" i="5"/>
  <c r="BH32" i="5"/>
  <c r="BH28" i="5"/>
  <c r="BH18" i="5"/>
  <c r="BH17" i="5" s="1"/>
  <c r="BH7" i="5"/>
  <c r="BH12" i="4"/>
  <c r="BH20" i="4"/>
  <c r="BH31" i="5" l="1"/>
  <c r="BI64" i="5"/>
  <c r="BI31" i="5"/>
  <c r="M17" i="4"/>
  <c r="M27" i="4"/>
  <c r="M22" i="4"/>
  <c r="M29" i="4"/>
  <c r="M15" i="4"/>
  <c r="BI15" i="4"/>
  <c r="BI27" i="4"/>
  <c r="BI17" i="4"/>
  <c r="BI29" i="4"/>
  <c r="BI22" i="4"/>
  <c r="BI24" i="4"/>
  <c r="BH12" i="12"/>
  <c r="BH64" i="5"/>
  <c r="BH14" i="12" l="1"/>
  <c r="BH15" i="12" s="1"/>
  <c r="BH7" i="4"/>
  <c r="BH6" i="4" s="1"/>
  <c r="BG15" i="8"/>
  <c r="BG7" i="12"/>
  <c r="BG8" i="12"/>
  <c r="BG10" i="12"/>
  <c r="BG11" i="12"/>
  <c r="BG12" i="12" s="1"/>
  <c r="BG13" i="12"/>
  <c r="BG53" i="6"/>
  <c r="BG41" i="6"/>
  <c r="BG28" i="5"/>
  <c r="BG18" i="5"/>
  <c r="BG14" i="12" l="1"/>
  <c r="BG15" i="12" s="1"/>
  <c r="BH29" i="4"/>
  <c r="BH24" i="4"/>
  <c r="BH22" i="4"/>
  <c r="BH15" i="4"/>
  <c r="BH17" i="4"/>
  <c r="BH27" i="4"/>
  <c r="BG17" i="5"/>
  <c r="BG68" i="6"/>
  <c r="BG72" i="6" s="1"/>
  <c r="BG53" i="5"/>
  <c r="BG44" i="5"/>
  <c r="BG32" i="5"/>
  <c r="BG7" i="5"/>
  <c r="BG31" i="5" l="1"/>
  <c r="BG64" i="5"/>
  <c r="BG7" i="4" l="1"/>
  <c r="BG12" i="4"/>
  <c r="BG20" i="4"/>
  <c r="BF15" i="8"/>
  <c r="BF13" i="12"/>
  <c r="BF11" i="12"/>
  <c r="BF10" i="12"/>
  <c r="BF8" i="12"/>
  <c r="BF7" i="12"/>
  <c r="BF41" i="6"/>
  <c r="BF68" i="6"/>
  <c r="BF53" i="6"/>
  <c r="BF28" i="5"/>
  <c r="BF53" i="5"/>
  <c r="BF44" i="5"/>
  <c r="BF32" i="5"/>
  <c r="BF18" i="5"/>
  <c r="BF7" i="5"/>
  <c r="BF7" i="4"/>
  <c r="BF12" i="12" l="1"/>
  <c r="BF14" i="12" s="1"/>
  <c r="BF15" i="12" s="1"/>
  <c r="BG6" i="4"/>
  <c r="BG24" i="4" s="1"/>
  <c r="BF72" i="6"/>
  <c r="BF64" i="5"/>
  <c r="BF17" i="5"/>
  <c r="BF31" i="5" s="1"/>
  <c r="BG27" i="4" l="1"/>
  <c r="BG22" i="4"/>
  <c r="BG15" i="4"/>
  <c r="BG17" i="4"/>
  <c r="BG29" i="4"/>
  <c r="BF20" i="4"/>
  <c r="BF12" i="4"/>
  <c r="BF6" i="4" s="1"/>
  <c r="BF15" i="4" s="1"/>
  <c r="BB14"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D14" i="8"/>
  <c r="C14" i="8"/>
  <c r="B14"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D15" i="8"/>
  <c r="C15" i="8"/>
  <c r="B15" i="8"/>
  <c r="L12" i="8"/>
  <c r="L11" i="8"/>
  <c r="L8" i="8"/>
  <c r="L15" i="8" s="1"/>
  <c r="L7" i="8"/>
  <c r="BE7" i="12"/>
  <c r="L7" i="12" s="1"/>
  <c r="BE8" i="12"/>
  <c r="L8" i="12" s="1"/>
  <c r="BE10" i="12"/>
  <c r="L10" i="12" s="1"/>
  <c r="BE11" i="12"/>
  <c r="L11" i="12" s="1"/>
  <c r="BE13" i="12"/>
  <c r="L13" i="12" s="1"/>
  <c r="K7" i="6"/>
  <c r="K16" i="6"/>
  <c r="K15" i="6"/>
  <c r="K14" i="6"/>
  <c r="K13" i="6"/>
  <c r="K12" i="6"/>
  <c r="K11" i="6"/>
  <c r="K10" i="6"/>
  <c r="K9" i="6"/>
  <c r="K21" i="6"/>
  <c r="K20" i="6"/>
  <c r="K19" i="6"/>
  <c r="K18" i="6"/>
  <c r="K40" i="6"/>
  <c r="K39" i="6"/>
  <c r="K38" i="6"/>
  <c r="K37" i="6"/>
  <c r="K36" i="6"/>
  <c r="K35" i="6"/>
  <c r="K34" i="6"/>
  <c r="K33" i="6"/>
  <c r="K32" i="6"/>
  <c r="K31" i="6"/>
  <c r="K30" i="6"/>
  <c r="K29" i="6"/>
  <c r="K28" i="6"/>
  <c r="K27" i="6"/>
  <c r="K26" i="6"/>
  <c r="K25" i="6"/>
  <c r="K52" i="6"/>
  <c r="K51" i="6"/>
  <c r="K50" i="6"/>
  <c r="K49" i="6"/>
  <c r="K48" i="6"/>
  <c r="K47" i="6"/>
  <c r="K46" i="6"/>
  <c r="K45" i="6"/>
  <c r="K67" i="6"/>
  <c r="K66" i="6"/>
  <c r="K65" i="6"/>
  <c r="K64" i="6"/>
  <c r="K63" i="6"/>
  <c r="K62" i="6"/>
  <c r="K61" i="6"/>
  <c r="K60" i="6"/>
  <c r="K59" i="6"/>
  <c r="K58" i="6"/>
  <c r="K57" i="6"/>
  <c r="K56" i="6"/>
  <c r="I7" i="6"/>
  <c r="I16" i="6"/>
  <c r="I15" i="6"/>
  <c r="I14" i="6"/>
  <c r="I13" i="6"/>
  <c r="I12" i="6"/>
  <c r="I11" i="6"/>
  <c r="I10" i="6"/>
  <c r="I9" i="6"/>
  <c r="I21" i="6"/>
  <c r="I20" i="6"/>
  <c r="I19" i="6"/>
  <c r="I18" i="6"/>
  <c r="I40" i="6"/>
  <c r="I38" i="6"/>
  <c r="I37" i="6"/>
  <c r="I36" i="6"/>
  <c r="I35" i="6"/>
  <c r="I34" i="6"/>
  <c r="I33" i="6"/>
  <c r="I32" i="6"/>
  <c r="I31" i="6"/>
  <c r="I30" i="6"/>
  <c r="I29" i="6"/>
  <c r="I28" i="6"/>
  <c r="I27" i="6"/>
  <c r="I26" i="6"/>
  <c r="I25" i="6"/>
  <c r="I52" i="6"/>
  <c r="I51" i="6"/>
  <c r="I50" i="6"/>
  <c r="I49" i="6"/>
  <c r="I48" i="6"/>
  <c r="I46" i="6"/>
  <c r="I45" i="6"/>
  <c r="I44" i="6"/>
  <c r="L70" i="6"/>
  <c r="B68" i="6"/>
  <c r="L67" i="6"/>
  <c r="L66" i="6"/>
  <c r="L65" i="6"/>
  <c r="L64" i="6"/>
  <c r="L63" i="6"/>
  <c r="L62" i="6"/>
  <c r="L61" i="6"/>
  <c r="L60" i="6"/>
  <c r="L59" i="6"/>
  <c r="L58" i="6"/>
  <c r="L57" i="6"/>
  <c r="L56" i="6"/>
  <c r="B53" i="6"/>
  <c r="J51" i="6"/>
  <c r="H51" i="6"/>
  <c r="G51" i="6"/>
  <c r="F51" i="6"/>
  <c r="E51" i="6"/>
  <c r="C51" i="6"/>
  <c r="L52" i="6"/>
  <c r="L51" i="6"/>
  <c r="L50" i="6"/>
  <c r="L49" i="6"/>
  <c r="L48" i="6"/>
  <c r="L47" i="6"/>
  <c r="L46" i="6"/>
  <c r="L45" i="6"/>
  <c r="L44" i="6"/>
  <c r="B41" i="6"/>
  <c r="L40" i="6"/>
  <c r="L39" i="6"/>
  <c r="L38" i="6"/>
  <c r="L37" i="6"/>
  <c r="L36" i="6"/>
  <c r="L35" i="6"/>
  <c r="L34" i="6"/>
  <c r="L33" i="6"/>
  <c r="L32" i="6"/>
  <c r="L31" i="6"/>
  <c r="L30" i="6"/>
  <c r="L29" i="6"/>
  <c r="L28" i="6"/>
  <c r="L27" i="6"/>
  <c r="L26" i="6"/>
  <c r="L25" i="6"/>
  <c r="L21" i="6"/>
  <c r="L20" i="6"/>
  <c r="L19" i="6"/>
  <c r="L18" i="6"/>
  <c r="L16" i="6"/>
  <c r="L15" i="6"/>
  <c r="L14" i="6"/>
  <c r="L13" i="6"/>
  <c r="L12" i="6"/>
  <c r="L11" i="6"/>
  <c r="L10" i="6"/>
  <c r="L9" i="6"/>
  <c r="L7" i="6"/>
  <c r="L63" i="5"/>
  <c r="L62" i="5"/>
  <c r="L55" i="5"/>
  <c r="L61" i="5"/>
  <c r="L60" i="5"/>
  <c r="L59" i="5"/>
  <c r="L58" i="5"/>
  <c r="L57" i="5"/>
  <c r="L56" i="5"/>
  <c r="L54" i="5"/>
  <c r="L52" i="5"/>
  <c r="L51" i="5"/>
  <c r="L50" i="5"/>
  <c r="L49" i="5"/>
  <c r="L48" i="5"/>
  <c r="L47" i="5"/>
  <c r="L46" i="5"/>
  <c r="L45" i="5"/>
  <c r="L43" i="5"/>
  <c r="L42" i="5"/>
  <c r="L41" i="5"/>
  <c r="L40" i="5"/>
  <c r="L39" i="5"/>
  <c r="L38" i="5"/>
  <c r="L37" i="5"/>
  <c r="L36" i="5"/>
  <c r="L35" i="5"/>
  <c r="L34" i="5"/>
  <c r="L33"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L30" i="5"/>
  <c r="L29" i="5"/>
  <c r="L27" i="5"/>
  <c r="L26" i="5"/>
  <c r="L25" i="5"/>
  <c r="L24" i="5"/>
  <c r="L21" i="5"/>
  <c r="L20" i="5"/>
  <c r="L16" i="5"/>
  <c r="L15" i="5"/>
  <c r="L14" i="5"/>
  <c r="L13" i="5"/>
  <c r="L12" i="5"/>
  <c r="L11" i="5"/>
  <c r="L10" i="5"/>
  <c r="L9" i="5"/>
  <c r="L8" i="5"/>
  <c r="BE18" i="5"/>
  <c r="K20" i="5"/>
  <c r="J20" i="5"/>
  <c r="I20" i="5"/>
  <c r="H20" i="5"/>
  <c r="G20" i="5"/>
  <c r="F20" i="5"/>
  <c r="E20" i="5"/>
  <c r="D20" i="5"/>
  <c r="C20" i="5"/>
  <c r="B20" i="5"/>
  <c r="BE28" i="5"/>
  <c r="L28" i="4"/>
  <c r="L23" i="4"/>
  <c r="L21" i="4"/>
  <c r="L19" i="4"/>
  <c r="L18" i="4"/>
  <c r="L14" i="4"/>
  <c r="L13" i="4"/>
  <c r="L11" i="4"/>
  <c r="L10" i="4"/>
  <c r="L9" i="4"/>
  <c r="L8" i="4"/>
  <c r="L7" i="4" s="1"/>
  <c r="BE12" i="4"/>
  <c r="BE7" i="4"/>
  <c r="Q22" i="6"/>
  <c r="BD11" i="12"/>
  <c r="BD10" i="12"/>
  <c r="BD28" i="5"/>
  <c r="BD7" i="5"/>
  <c r="BD44" i="5"/>
  <c r="BD7" i="12"/>
  <c r="BC28" i="5"/>
  <c r="BD17" i="5" l="1"/>
  <c r="BD31" i="5" s="1"/>
  <c r="L14" i="8"/>
  <c r="L28" i="5"/>
  <c r="L44" i="5"/>
  <c r="L18" i="5"/>
  <c r="BC17" i="5"/>
  <c r="L12" i="12"/>
  <c r="L14" i="12" s="1"/>
  <c r="L7" i="5"/>
  <c r="L32" i="5"/>
  <c r="L53" i="5"/>
  <c r="B72" i="6"/>
  <c r="L53" i="6"/>
  <c r="L68" i="6"/>
  <c r="L12" i="4"/>
  <c r="L6" i="4" s="1"/>
  <c r="BF29" i="4"/>
  <c r="BF17" i="4"/>
  <c r="BF22" i="4"/>
  <c r="BF24" i="4"/>
  <c r="BF27" i="4"/>
  <c r="BE12" i="12"/>
  <c r="BE14" i="12" s="1"/>
  <c r="BE15" i="12" s="1"/>
  <c r="K68" i="6"/>
  <c r="BE53" i="5"/>
  <c r="BE44" i="5"/>
  <c r="BE32" i="5"/>
  <c r="BE17" i="5"/>
  <c r="BE7" i="5"/>
  <c r="BE68" i="6"/>
  <c r="BE53" i="6"/>
  <c r="BE41" i="6"/>
  <c r="BE6" i="4"/>
  <c r="BD8" i="12"/>
  <c r="BD12" i="12" s="1"/>
  <c r="BD13" i="12"/>
  <c r="BC7" i="5"/>
  <c r="BD53" i="6"/>
  <c r="BD41" i="6"/>
  <c r="BC53" i="6"/>
  <c r="BD68" i="6"/>
  <c r="BC68" i="6"/>
  <c r="R22" i="6"/>
  <c r="BC53" i="5"/>
  <c r="BC32" i="5"/>
  <c r="BD32" i="5"/>
  <c r="BC44" i="5"/>
  <c r="BD53" i="5"/>
  <c r="L64" i="5" l="1"/>
  <c r="L17" i="5"/>
  <c r="L31" i="5" s="1"/>
  <c r="BE24" i="4"/>
  <c r="BE29" i="4"/>
  <c r="BE27" i="4"/>
  <c r="BE64" i="5"/>
  <c r="BD14" i="12"/>
  <c r="BD64" i="5"/>
  <c r="BE31" i="5"/>
  <c r="L22" i="4"/>
  <c r="L24" i="4"/>
  <c r="L29" i="4"/>
  <c r="BE72" i="6"/>
  <c r="BE22" i="4"/>
  <c r="BC31" i="5"/>
  <c r="BD72" i="6"/>
  <c r="S22" i="6"/>
  <c r="BC64" i="5"/>
  <c r="T22" i="6" l="1"/>
  <c r="U22" i="6" l="1"/>
  <c r="V22" i="6" l="1"/>
  <c r="W22" i="6" l="1"/>
  <c r="BD20" i="4" l="1"/>
  <c r="BD15" i="12" s="1"/>
  <c r="BD12" i="4"/>
  <c r="BD7" i="4"/>
  <c r="BD6" i="4" l="1"/>
  <c r="BD15" i="4" s="1"/>
  <c r="BC20" i="4"/>
  <c r="BC26" i="4" s="1"/>
  <c r="BC12" i="4"/>
  <c r="BC7" i="4"/>
  <c r="BC6" i="4" s="1"/>
  <c r="BD22" i="4" l="1"/>
  <c r="BD17" i="4"/>
  <c r="BC24" i="4"/>
  <c r="BC29" i="4"/>
  <c r="BD29" i="4"/>
  <c r="BD24" i="4"/>
  <c r="BC27" i="4"/>
  <c r="BD27" i="4"/>
  <c r="BC22" i="4"/>
  <c r="BC15" i="4"/>
  <c r="BC17" i="4"/>
  <c r="B34" i="5" l="1"/>
  <c r="BC10" i="12" l="1"/>
  <c r="BC11" i="12"/>
  <c r="BC13" i="12"/>
  <c r="BC7" i="12" l="1"/>
  <c r="BC8" i="12"/>
  <c r="AX68" i="6"/>
  <c r="AX53" i="6"/>
  <c r="BC12" i="12" l="1"/>
  <c r="BC14" i="12" s="1"/>
  <c r="BC15" i="12" s="1"/>
  <c r="BB12" i="4"/>
  <c r="BB11" i="12"/>
  <c r="BB10" i="12"/>
  <c r="BB8" i="12"/>
  <c r="BB7" i="12"/>
  <c r="BB13" i="12"/>
  <c r="BB12" i="12" l="1"/>
  <c r="BB14" i="12" s="1"/>
  <c r="BB7" i="4"/>
  <c r="BB6" i="4" s="1"/>
  <c r="BB20" i="4"/>
  <c r="BB26" i="4" s="1"/>
  <c r="L26" i="4" s="1"/>
  <c r="BB53" i="6"/>
  <c r="BB68" i="6"/>
  <c r="BB15" i="4" l="1"/>
  <c r="BB24" i="4"/>
  <c r="BB29" i="4"/>
  <c r="L27" i="4"/>
  <c r="L15" i="12"/>
  <c r="BB27" i="4"/>
  <c r="BB22" i="4"/>
  <c r="BB17" i="4"/>
  <c r="BB15" i="12"/>
  <c r="BB32" i="5"/>
  <c r="BB44" i="5"/>
  <c r="BB28" i="5"/>
  <c r="BB17" i="5" s="1"/>
  <c r="BB7" i="5"/>
  <c r="BB31" i="5" l="1"/>
  <c r="BB53" i="5"/>
  <c r="BB64" i="5" s="1"/>
  <c r="K60" i="5"/>
  <c r="K51" i="5"/>
  <c r="K37" i="5"/>
  <c r="K63" i="5"/>
  <c r="K62" i="5"/>
  <c r="K55" i="5"/>
  <c r="K61" i="5"/>
  <c r="K59" i="5"/>
  <c r="K58" i="5"/>
  <c r="K57" i="5"/>
  <c r="K54" i="5"/>
  <c r="K52" i="5"/>
  <c r="K50" i="5"/>
  <c r="K49" i="5"/>
  <c r="K47" i="5"/>
  <c r="K45" i="5"/>
  <c r="K42" i="5"/>
  <c r="K40" i="5"/>
  <c r="BA7" i="12"/>
  <c r="K29" i="5"/>
  <c r="K26" i="5"/>
  <c r="K25" i="5"/>
  <c r="K21" i="5"/>
  <c r="K15" i="5"/>
  <c r="K9" i="5"/>
  <c r="K8" i="5"/>
  <c r="K7" i="12" l="1"/>
  <c r="K44" i="5"/>
  <c r="K11" i="5"/>
  <c r="K38" i="5"/>
  <c r="K39" i="5"/>
  <c r="K13" i="5"/>
  <c r="K41" i="5"/>
  <c r="K12" i="5"/>
  <c r="K14" i="5"/>
  <c r="K16" i="5"/>
  <c r="K43" i="5"/>
  <c r="K10" i="5"/>
  <c r="K36" i="5"/>
  <c r="BA28" i="5"/>
  <c r="BA17" i="5" s="1"/>
  <c r="BA53" i="5"/>
  <c r="BA7" i="5"/>
  <c r="BA32" i="5"/>
  <c r="BA13" i="12"/>
  <c r="K13" i="12" s="1"/>
  <c r="BA44" i="5"/>
  <c r="K24" i="5"/>
  <c r="K18" i="5" s="1"/>
  <c r="K33" i="5"/>
  <c r="BA8" i="12"/>
  <c r="K8" i="12" s="1"/>
  <c r="K56" i="5"/>
  <c r="K53" i="5" s="1"/>
  <c r="K30" i="5"/>
  <c r="K28" i="5" s="1"/>
  <c r="K34" i="5"/>
  <c r="BA53" i="6"/>
  <c r="BA68" i="6"/>
  <c r="K7" i="5" l="1"/>
  <c r="K17" i="5"/>
  <c r="K12" i="12"/>
  <c r="BA12" i="12"/>
  <c r="K32" i="5"/>
  <c r="K64" i="5" s="1"/>
  <c r="BA64" i="5"/>
  <c r="BA31" i="5"/>
  <c r="K31" i="5" l="1"/>
  <c r="BA14" i="12"/>
  <c r="BA20" i="4"/>
  <c r="BA12" i="4"/>
  <c r="BA7" i="4"/>
  <c r="BA6" i="4" l="1"/>
  <c r="BA22" i="4" s="1"/>
  <c r="BA26" i="4"/>
  <c r="BA17" i="4" l="1"/>
  <c r="BA24" i="4"/>
  <c r="BA29" i="4"/>
  <c r="BA15" i="4"/>
  <c r="BA27" i="4"/>
  <c r="BA15" i="12"/>
  <c r="AZ13" i="12" l="1"/>
  <c r="AZ7" i="5"/>
  <c r="AZ7" i="12"/>
  <c r="AZ8" i="12"/>
  <c r="AZ53" i="6"/>
  <c r="AZ68" i="6"/>
  <c r="AZ44" i="5"/>
  <c r="AZ53" i="5"/>
  <c r="AZ28" i="5"/>
  <c r="AZ17" i="5" s="1"/>
  <c r="AZ32" i="5"/>
  <c r="AZ12" i="12" l="1"/>
  <c r="AZ64" i="5"/>
  <c r="AZ14" i="12" l="1"/>
  <c r="AZ31" i="5"/>
  <c r="AZ7" i="4"/>
  <c r="AZ20" i="4"/>
  <c r="AZ26" i="4" s="1"/>
  <c r="AZ12" i="4"/>
  <c r="AZ6" i="4" s="1"/>
  <c r="J67" i="6"/>
  <c r="J66" i="6"/>
  <c r="AH68" i="6"/>
  <c r="AF68" i="6"/>
  <c r="AE68" i="6"/>
  <c r="AD68" i="6"/>
  <c r="AC68" i="6"/>
  <c r="AB68" i="6"/>
  <c r="AA68" i="6"/>
  <c r="Z68" i="6"/>
  <c r="Y68" i="6"/>
  <c r="X68" i="6"/>
  <c r="W68" i="6"/>
  <c r="V68" i="6"/>
  <c r="U68" i="6"/>
  <c r="T68" i="6"/>
  <c r="S68" i="6"/>
  <c r="R68" i="6"/>
  <c r="P68" i="6"/>
  <c r="O68" i="6"/>
  <c r="N68" i="6"/>
  <c r="AZ22" i="4" l="1"/>
  <c r="AZ24" i="4"/>
  <c r="AZ29" i="4"/>
  <c r="AZ15" i="12"/>
  <c r="AZ27" i="4"/>
  <c r="AZ15" i="4"/>
  <c r="AZ17" i="4"/>
  <c r="AY12" i="4" l="1"/>
  <c r="AY13" i="12"/>
  <c r="AY7" i="12"/>
  <c r="AY32" i="5"/>
  <c r="AY44" i="5"/>
  <c r="AY53" i="5"/>
  <c r="AY7" i="5"/>
  <c r="AY28" i="5"/>
  <c r="AY17" i="5" s="1"/>
  <c r="AY8" i="12"/>
  <c r="AY68" i="6"/>
  <c r="AY53" i="6"/>
  <c r="AY20" i="4"/>
  <c r="AY26" i="4" s="1"/>
  <c r="AY7" i="4"/>
  <c r="AY12" i="12" l="1"/>
  <c r="AY14" i="12" s="1"/>
  <c r="AY15" i="12" s="1"/>
  <c r="AY6" i="4"/>
  <c r="AY31" i="5"/>
  <c r="AY64" i="5"/>
  <c r="AE23" i="4"/>
  <c r="AY15" i="4" l="1"/>
  <c r="AY24" i="4"/>
  <c r="AY29" i="4"/>
  <c r="AY22" i="4"/>
  <c r="AY17" i="4"/>
  <c r="AY27" i="4"/>
  <c r="K11" i="4"/>
  <c r="K10" i="4"/>
  <c r="K9" i="4"/>
  <c r="K8" i="4" l="1"/>
  <c r="AX7" i="4"/>
  <c r="K12" i="8"/>
  <c r="K11" i="8"/>
  <c r="K8" i="8"/>
  <c r="K15" i="8" s="1"/>
  <c r="K7" i="8"/>
  <c r="K14" i="8" s="1"/>
  <c r="K7" i="4" l="1"/>
  <c r="AV68" i="6" l="1"/>
  <c r="AV53" i="6"/>
  <c r="W41" i="6" l="1"/>
  <c r="V41" i="6"/>
  <c r="U41" i="6"/>
  <c r="T41" i="6"/>
  <c r="S41" i="6"/>
  <c r="R41" i="6"/>
  <c r="P41" i="6"/>
  <c r="O41" i="6"/>
  <c r="N41" i="6"/>
  <c r="B75" i="6"/>
  <c r="Q70" i="6"/>
  <c r="F70" i="6"/>
  <c r="E70" i="6"/>
  <c r="D70" i="6"/>
  <c r="C70" i="6"/>
  <c r="Q65" i="6"/>
  <c r="F65" i="6"/>
  <c r="E65" i="6"/>
  <c r="D65" i="6"/>
  <c r="C65" i="6"/>
  <c r="Q64" i="6"/>
  <c r="F64" i="6"/>
  <c r="E64" i="6"/>
  <c r="D64" i="6"/>
  <c r="C64" i="6"/>
  <c r="Q63" i="6"/>
  <c r="F63" i="6"/>
  <c r="E63" i="6"/>
  <c r="D63" i="6"/>
  <c r="C63" i="6"/>
  <c r="Q62" i="6"/>
  <c r="F62" i="6"/>
  <c r="E62" i="6"/>
  <c r="D62" i="6"/>
  <c r="C62" i="6"/>
  <c r="Q61" i="6"/>
  <c r="F61" i="6"/>
  <c r="E61" i="6"/>
  <c r="D61" i="6"/>
  <c r="C61" i="6"/>
  <c r="Q60" i="6"/>
  <c r="F60" i="6"/>
  <c r="E60" i="6"/>
  <c r="D60" i="6"/>
  <c r="C60" i="6"/>
  <c r="Q59" i="6"/>
  <c r="F59" i="6"/>
  <c r="E59" i="6"/>
  <c r="D59" i="6"/>
  <c r="C59" i="6"/>
  <c r="Q58" i="6"/>
  <c r="J58" i="6"/>
  <c r="I58" i="6"/>
  <c r="H58" i="6"/>
  <c r="G58" i="6"/>
  <c r="F58" i="6"/>
  <c r="E58" i="6"/>
  <c r="D58" i="6"/>
  <c r="C58" i="6"/>
  <c r="AG57" i="6"/>
  <c r="AG68" i="6" s="1"/>
  <c r="Q57" i="6"/>
  <c r="E57" i="6"/>
  <c r="D57" i="6"/>
  <c r="C57" i="6"/>
  <c r="Q56" i="6"/>
  <c r="F56" i="6"/>
  <c r="E56" i="6"/>
  <c r="D56" i="6"/>
  <c r="C56" i="6"/>
  <c r="AH53" i="6"/>
  <c r="AG53" i="6"/>
  <c r="AF53" i="6"/>
  <c r="AE53" i="6"/>
  <c r="AD53" i="6"/>
  <c r="AC53" i="6"/>
  <c r="AB53" i="6"/>
  <c r="AA53" i="6"/>
  <c r="Z53" i="6"/>
  <c r="Y53" i="6"/>
  <c r="X53" i="6"/>
  <c r="W53" i="6"/>
  <c r="V53" i="6"/>
  <c r="U53" i="6"/>
  <c r="T53" i="6"/>
  <c r="S53" i="6"/>
  <c r="R53" i="6"/>
  <c r="P53" i="6"/>
  <c r="O53" i="6"/>
  <c r="N53" i="6"/>
  <c r="Q52" i="6"/>
  <c r="F52" i="6"/>
  <c r="E52" i="6"/>
  <c r="D52" i="6"/>
  <c r="C52" i="6"/>
  <c r="Q50" i="6"/>
  <c r="F50" i="6"/>
  <c r="E50" i="6"/>
  <c r="C50" i="6"/>
  <c r="Q49" i="6"/>
  <c r="F49" i="6"/>
  <c r="E49" i="6"/>
  <c r="D49" i="6"/>
  <c r="C49" i="6"/>
  <c r="Q47" i="6"/>
  <c r="F47" i="6"/>
  <c r="E47" i="6"/>
  <c r="D47" i="6"/>
  <c r="C47" i="6"/>
  <c r="Q46" i="6"/>
  <c r="F46" i="6"/>
  <c r="E46" i="6"/>
  <c r="D46" i="6"/>
  <c r="C46" i="6"/>
  <c r="Q44" i="6"/>
  <c r="F44" i="6"/>
  <c r="E44" i="6"/>
  <c r="D44" i="6"/>
  <c r="C44" i="6"/>
  <c r="H39" i="6"/>
  <c r="Q39" i="6"/>
  <c r="F39" i="6"/>
  <c r="E39" i="6"/>
  <c r="D39" i="6"/>
  <c r="C39" i="6"/>
  <c r="Q38" i="6"/>
  <c r="F38" i="6"/>
  <c r="E38" i="6"/>
  <c r="D38" i="6"/>
  <c r="C38" i="6"/>
  <c r="Q37" i="6"/>
  <c r="F37" i="6"/>
  <c r="E37" i="6"/>
  <c r="D37" i="6"/>
  <c r="C37" i="6"/>
  <c r="Q36" i="6"/>
  <c r="F36" i="6"/>
  <c r="E36" i="6"/>
  <c r="D36" i="6"/>
  <c r="C36" i="6"/>
  <c r="Q35" i="6"/>
  <c r="F35" i="6"/>
  <c r="E35" i="6"/>
  <c r="D35" i="6"/>
  <c r="C35" i="6"/>
  <c r="Q34" i="6"/>
  <c r="F34" i="6"/>
  <c r="E34" i="6"/>
  <c r="D34" i="6"/>
  <c r="C34" i="6"/>
  <c r="Q33" i="6"/>
  <c r="F33" i="6"/>
  <c r="E33" i="6"/>
  <c r="D33" i="6"/>
  <c r="C33" i="6"/>
  <c r="Q32" i="6"/>
  <c r="F32" i="6"/>
  <c r="E32" i="6"/>
  <c r="D32" i="6"/>
  <c r="C32" i="6"/>
  <c r="Q31" i="6"/>
  <c r="F31" i="6"/>
  <c r="E31" i="6"/>
  <c r="D31" i="6"/>
  <c r="C31" i="6"/>
  <c r="Q30" i="6"/>
  <c r="F30" i="6"/>
  <c r="E30" i="6"/>
  <c r="D30" i="6"/>
  <c r="C30" i="6"/>
  <c r="Q29" i="6"/>
  <c r="F29" i="6"/>
  <c r="E29" i="6"/>
  <c r="D29" i="6"/>
  <c r="C29" i="6"/>
  <c r="Q28" i="6"/>
  <c r="F28" i="6"/>
  <c r="E28" i="6"/>
  <c r="D28" i="6"/>
  <c r="C28" i="6"/>
  <c r="Q26" i="6"/>
  <c r="F26" i="6"/>
  <c r="E26" i="6"/>
  <c r="D26" i="6"/>
  <c r="C26" i="6"/>
  <c r="Q25" i="6"/>
  <c r="F25" i="6"/>
  <c r="E25" i="6"/>
  <c r="D25" i="6"/>
  <c r="C25" i="6"/>
  <c r="Q21" i="6"/>
  <c r="F21" i="6"/>
  <c r="E21" i="6"/>
  <c r="D21" i="6"/>
  <c r="C21" i="6"/>
  <c r="Q20" i="6"/>
  <c r="F20" i="6"/>
  <c r="E20" i="6"/>
  <c r="D20" i="6"/>
  <c r="C20" i="6"/>
  <c r="Q19" i="6"/>
  <c r="F19" i="6"/>
  <c r="E19" i="6"/>
  <c r="D19" i="6"/>
  <c r="C19" i="6"/>
  <c r="Q18" i="6"/>
  <c r="F18" i="6"/>
  <c r="E18" i="6"/>
  <c r="D18" i="6"/>
  <c r="C18" i="6"/>
  <c r="Q16" i="6"/>
  <c r="F16" i="6"/>
  <c r="E16" i="6"/>
  <c r="D16" i="6"/>
  <c r="C16" i="6"/>
  <c r="Q15" i="6"/>
  <c r="F15" i="6"/>
  <c r="E15" i="6"/>
  <c r="D15" i="6"/>
  <c r="C15" i="6"/>
  <c r="J11" i="6"/>
  <c r="F11" i="6"/>
  <c r="Q10" i="6"/>
  <c r="F10" i="6"/>
  <c r="E10" i="6"/>
  <c r="D10" i="6"/>
  <c r="C10" i="6"/>
  <c r="Q9" i="6"/>
  <c r="F9" i="6"/>
  <c r="E9" i="6"/>
  <c r="D9" i="6"/>
  <c r="C9" i="6"/>
  <c r="Q7" i="6"/>
  <c r="F7" i="6"/>
  <c r="E7" i="6"/>
  <c r="D7" i="6"/>
  <c r="C7" i="6"/>
  <c r="D53" i="6" l="1"/>
  <c r="C68" i="6"/>
  <c r="F41" i="6"/>
  <c r="C53" i="6"/>
  <c r="D41" i="6"/>
  <c r="C41" i="6"/>
  <c r="C72" i="6" s="1"/>
  <c r="E41" i="6"/>
  <c r="E53" i="6"/>
  <c r="D68" i="6"/>
  <c r="F53" i="6"/>
  <c r="E68" i="6"/>
  <c r="AK68" i="6"/>
  <c r="AO68" i="6"/>
  <c r="AS68" i="6"/>
  <c r="Q68" i="6"/>
  <c r="AL68" i="6"/>
  <c r="AP68" i="6"/>
  <c r="AT68" i="6"/>
  <c r="AI68" i="6"/>
  <c r="AM68" i="6"/>
  <c r="AQ68" i="6"/>
  <c r="AU68" i="6"/>
  <c r="Q41" i="6"/>
  <c r="AJ68" i="6"/>
  <c r="AN68" i="6"/>
  <c r="AR68" i="6"/>
  <c r="AW68" i="6"/>
  <c r="J60" i="6"/>
  <c r="J70" i="6"/>
  <c r="G37" i="6"/>
  <c r="H35" i="6"/>
  <c r="J7" i="6"/>
  <c r="H30" i="6"/>
  <c r="G65" i="6"/>
  <c r="J65" i="6"/>
  <c r="G16" i="6"/>
  <c r="H19" i="6"/>
  <c r="G46" i="6"/>
  <c r="J46" i="6"/>
  <c r="G47" i="6"/>
  <c r="G49" i="6"/>
  <c r="J59" i="6"/>
  <c r="G60" i="6"/>
  <c r="H7" i="6"/>
  <c r="G18" i="6"/>
  <c r="AK53" i="6"/>
  <c r="T72" i="6"/>
  <c r="J15" i="6"/>
  <c r="H18" i="6"/>
  <c r="G28" i="6"/>
  <c r="AR53" i="6"/>
  <c r="H59" i="6"/>
  <c r="H60" i="6"/>
  <c r="H63" i="6"/>
  <c r="J63" i="6"/>
  <c r="H64" i="6"/>
  <c r="I64" i="6"/>
  <c r="J64" i="6"/>
  <c r="H11" i="6"/>
  <c r="H25" i="6"/>
  <c r="G39" i="6"/>
  <c r="I39" i="6"/>
  <c r="H10" i="6"/>
  <c r="G11" i="6"/>
  <c r="G32" i="6"/>
  <c r="G33" i="6"/>
  <c r="G34" i="6"/>
  <c r="H37" i="6"/>
  <c r="G38" i="6"/>
  <c r="H46" i="6"/>
  <c r="I47" i="6"/>
  <c r="I53" i="6" s="1"/>
  <c r="G52" i="6"/>
  <c r="I56" i="6"/>
  <c r="I57" i="6"/>
  <c r="J61" i="6"/>
  <c r="S72" i="6"/>
  <c r="J28" i="6"/>
  <c r="G31" i="6"/>
  <c r="J45" i="6"/>
  <c r="H47" i="6"/>
  <c r="G15" i="6"/>
  <c r="H26" i="6"/>
  <c r="J26" i="6"/>
  <c r="G30" i="6"/>
  <c r="H31" i="6"/>
  <c r="J31" i="6"/>
  <c r="H33" i="6"/>
  <c r="J33" i="6"/>
  <c r="G35" i="6"/>
  <c r="Q53" i="6"/>
  <c r="H50" i="6"/>
  <c r="J50" i="6"/>
  <c r="G61" i="6"/>
  <c r="G62" i="6"/>
  <c r="H62" i="6"/>
  <c r="G63" i="6"/>
  <c r="G64" i="6"/>
  <c r="H16" i="6"/>
  <c r="J16" i="6"/>
  <c r="H20" i="6"/>
  <c r="J20" i="6"/>
  <c r="G25" i="6"/>
  <c r="G26" i="6"/>
  <c r="H28" i="6"/>
  <c r="H34" i="6"/>
  <c r="AS53" i="6"/>
  <c r="J47" i="6"/>
  <c r="H49" i="6"/>
  <c r="J49" i="6"/>
  <c r="W72" i="6"/>
  <c r="H56" i="6"/>
  <c r="G9" i="6"/>
  <c r="H9" i="6"/>
  <c r="J9" i="6"/>
  <c r="G19" i="6"/>
  <c r="G20" i="6"/>
  <c r="G21" i="6"/>
  <c r="H21" i="6"/>
  <c r="G29" i="6"/>
  <c r="G36" i="6"/>
  <c r="H38" i="6"/>
  <c r="AI53" i="6"/>
  <c r="AQ53" i="6"/>
  <c r="AU53" i="6"/>
  <c r="AO53" i="6"/>
  <c r="AJ53" i="6"/>
  <c r="G50" i="6"/>
  <c r="AN53" i="6"/>
  <c r="F57" i="6"/>
  <c r="F68" i="6" s="1"/>
  <c r="F72" i="6" s="1"/>
  <c r="G57" i="6"/>
  <c r="H57" i="6"/>
  <c r="J57" i="6"/>
  <c r="G59" i="6"/>
  <c r="B76" i="6"/>
  <c r="C75" i="6" s="1"/>
  <c r="P72" i="6"/>
  <c r="H15" i="6"/>
  <c r="AM53" i="6"/>
  <c r="H44" i="6"/>
  <c r="O72" i="6"/>
  <c r="G70" i="6"/>
  <c r="I70" i="6"/>
  <c r="G10" i="6"/>
  <c r="J10" i="6"/>
  <c r="H29" i="6"/>
  <c r="J29" i="6"/>
  <c r="H36" i="6"/>
  <c r="J36" i="6"/>
  <c r="G44" i="6"/>
  <c r="J56" i="6"/>
  <c r="H61" i="6"/>
  <c r="I61" i="6"/>
  <c r="U72" i="6"/>
  <c r="G7" i="6"/>
  <c r="J35" i="6"/>
  <c r="J37" i="6"/>
  <c r="AW53" i="6"/>
  <c r="H65" i="6"/>
  <c r="I65" i="6"/>
  <c r="R72" i="6"/>
  <c r="V72" i="6"/>
  <c r="J19" i="6"/>
  <c r="J21" i="6"/>
  <c r="H32" i="6"/>
  <c r="J32" i="6"/>
  <c r="J39" i="6"/>
  <c r="AL53" i="6"/>
  <c r="AP53" i="6"/>
  <c r="AT53" i="6"/>
  <c r="J44" i="6"/>
  <c r="H52" i="6"/>
  <c r="J52" i="6"/>
  <c r="G56" i="6"/>
  <c r="I60" i="6"/>
  <c r="I62" i="6"/>
  <c r="J62" i="6"/>
  <c r="N72" i="6"/>
  <c r="J18" i="6"/>
  <c r="J25" i="6"/>
  <c r="J30" i="6"/>
  <c r="J34" i="6"/>
  <c r="J38" i="6"/>
  <c r="I59" i="6"/>
  <c r="I63" i="6"/>
  <c r="H70" i="6"/>
  <c r="E72" i="6" l="1"/>
  <c r="G41" i="6"/>
  <c r="D72" i="6"/>
  <c r="G68" i="6"/>
  <c r="H53" i="6"/>
  <c r="J53" i="6"/>
  <c r="I68" i="6"/>
  <c r="J41" i="6"/>
  <c r="H68" i="6"/>
  <c r="J68" i="6"/>
  <c r="G53" i="6"/>
  <c r="H41" i="6"/>
  <c r="N76" i="6"/>
  <c r="O75" i="6" s="1"/>
  <c r="O76" i="6" s="1"/>
  <c r="P75" i="6" s="1"/>
  <c r="P76" i="6" s="1"/>
  <c r="Q75" i="6" s="1"/>
  <c r="C76" i="6"/>
  <c r="D75" i="6" s="1"/>
  <c r="Q72" i="6"/>
  <c r="G72" i="6" l="1"/>
  <c r="J72" i="6"/>
  <c r="H72" i="6"/>
  <c r="Q76" i="6"/>
  <c r="R75" i="6" s="1"/>
  <c r="R76" i="6" s="1"/>
  <c r="S75" i="6" s="1"/>
  <c r="S76" i="6" s="1"/>
  <c r="T75" i="6" s="1"/>
  <c r="T76" i="6" s="1"/>
  <c r="U75" i="6" s="1"/>
  <c r="U76" i="6" s="1"/>
  <c r="V75" i="6" s="1"/>
  <c r="V76" i="6" s="1"/>
  <c r="W75" i="6" s="1"/>
  <c r="W76" i="6" s="1"/>
  <c r="X75" i="6" s="1"/>
  <c r="D76" i="6"/>
  <c r="E75" i="6" s="1"/>
  <c r="E76" i="6" s="1"/>
  <c r="F75" i="6" s="1"/>
  <c r="F76" i="6" s="1"/>
  <c r="G75" i="6" s="1"/>
  <c r="G76" i="6" l="1"/>
  <c r="H75" i="6" s="1"/>
  <c r="H76" i="6" s="1"/>
  <c r="I75" i="6" s="1"/>
  <c r="K14" i="4" l="1"/>
  <c r="K13" i="4"/>
  <c r="K12" i="4" l="1"/>
  <c r="AX12" i="4"/>
  <c r="AX6" i="4" l="1"/>
  <c r="AX29" i="4" s="1"/>
  <c r="J60" i="5"/>
  <c r="J51" i="5"/>
  <c r="J37" i="5"/>
  <c r="J30" i="5"/>
  <c r="J29" i="5"/>
  <c r="J28" i="5" s="1"/>
  <c r="J26" i="5"/>
  <c r="J25" i="5"/>
  <c r="J24" i="5"/>
  <c r="J21" i="5"/>
  <c r="J15" i="5"/>
  <c r="J9" i="5"/>
  <c r="J8" i="5"/>
  <c r="J18" i="5" l="1"/>
  <c r="J17" i="5" s="1"/>
  <c r="J16" i="5"/>
  <c r="J11" i="5"/>
  <c r="J10" i="5"/>
  <c r="J12" i="5"/>
  <c r="J13" i="5"/>
  <c r="J14" i="5"/>
  <c r="K6" i="4"/>
  <c r="J7" i="5" l="1"/>
  <c r="J31" i="5" s="1"/>
  <c r="K29" i="4"/>
  <c r="J63" i="5"/>
  <c r="J62" i="5"/>
  <c r="J55" i="5"/>
  <c r="J61" i="5"/>
  <c r="J59" i="5"/>
  <c r="J58" i="5"/>
  <c r="J57" i="5"/>
  <c r="J56" i="5"/>
  <c r="J54" i="5"/>
  <c r="J52" i="5"/>
  <c r="J50" i="5"/>
  <c r="J49" i="5"/>
  <c r="J47" i="5"/>
  <c r="J42" i="5"/>
  <c r="J40" i="5"/>
  <c r="J53" i="5" l="1"/>
  <c r="J39" i="5"/>
  <c r="J38" i="5"/>
  <c r="J41" i="5"/>
  <c r="J33" i="5"/>
  <c r="J43" i="5"/>
  <c r="J36" i="5"/>
  <c r="AW7" i="12"/>
  <c r="J34" i="5"/>
  <c r="AW8" i="12"/>
  <c r="J8" i="12" s="1"/>
  <c r="J45" i="5"/>
  <c r="J44" i="5" s="1"/>
  <c r="AW53" i="5"/>
  <c r="AW28" i="5"/>
  <c r="AW17" i="5" s="1"/>
  <c r="AW7" i="5"/>
  <c r="AW32" i="5"/>
  <c r="AW13" i="12"/>
  <c r="J13" i="12" s="1"/>
  <c r="AW44" i="5"/>
  <c r="J7" i="12" l="1"/>
  <c r="J12" i="12" s="1"/>
  <c r="AW12" i="12"/>
  <c r="J32" i="5"/>
  <c r="J64" i="5" s="1"/>
  <c r="AW64" i="5"/>
  <c r="AW23" i="4"/>
  <c r="AW20" i="4" l="1"/>
  <c r="AW26" i="4" s="1"/>
  <c r="AW28" i="4" s="1"/>
  <c r="J14" i="12"/>
  <c r="AW14" i="12"/>
  <c r="AW31" i="5"/>
  <c r="AW12" i="4"/>
  <c r="AW7" i="4"/>
  <c r="AW6" i="4" l="1"/>
  <c r="AW29" i="4" s="1"/>
  <c r="AW15" i="4" l="1"/>
  <c r="AW24" i="4"/>
  <c r="AW17" i="4"/>
  <c r="AW22" i="4"/>
  <c r="AV13" i="12"/>
  <c r="AW27" i="4"/>
  <c r="AW15" i="12"/>
  <c r="AV7" i="12"/>
  <c r="AV8" i="12"/>
  <c r="AV53" i="5"/>
  <c r="AV28" i="5"/>
  <c r="AV17" i="5" s="1"/>
  <c r="AV7" i="5"/>
  <c r="AV12" i="12" l="1"/>
  <c r="AV14" i="12" s="1"/>
  <c r="AV32" i="5"/>
  <c r="AV31" i="5"/>
  <c r="AV44" i="5"/>
  <c r="AV64" i="5" l="1"/>
  <c r="AV23" i="4"/>
  <c r="AV12" i="4" l="1"/>
  <c r="AV7" i="4"/>
  <c r="AV20" i="4"/>
  <c r="AV26" i="4" s="1"/>
  <c r="AV28" i="4" s="1"/>
  <c r="AV6" i="4" l="1"/>
  <c r="AV29" i="4" s="1"/>
  <c r="J7" i="8"/>
  <c r="AV15" i="4" l="1"/>
  <c r="AV24" i="4"/>
  <c r="AV17" i="4"/>
  <c r="AV27" i="4"/>
  <c r="AV22" i="4"/>
  <c r="AV15" i="12"/>
  <c r="AU8" i="12" l="1"/>
  <c r="AU7" i="12" l="1"/>
  <c r="AU12" i="12" s="1"/>
  <c r="AU13" i="12" l="1"/>
  <c r="AU14" i="12" s="1"/>
  <c r="AU32" i="5"/>
  <c r="AU53" i="5"/>
  <c r="AU44" i="5"/>
  <c r="AU64" i="5" l="1"/>
  <c r="AU28" i="5" l="1"/>
  <c r="AU17" i="5" s="1"/>
  <c r="AU7" i="5"/>
  <c r="AU31" i="5" l="1"/>
  <c r="AU23" i="4" l="1"/>
  <c r="AU12" i="4" l="1"/>
  <c r="AU7" i="4"/>
  <c r="AU20" i="4"/>
  <c r="AU26" i="4" s="1"/>
  <c r="AU28" i="4" s="1"/>
  <c r="AU6" i="4" l="1"/>
  <c r="AU29" i="4" s="1"/>
  <c r="AU15" i="12"/>
  <c r="AU15" i="4" l="1"/>
  <c r="AU24" i="4"/>
  <c r="AU22" i="4"/>
  <c r="AU27" i="4"/>
  <c r="AU17" i="4"/>
  <c r="AT28" i="5"/>
  <c r="AT17" i="5" s="1"/>
  <c r="J12" i="8"/>
  <c r="J11" i="8"/>
  <c r="J14" i="8" s="1"/>
  <c r="J8" i="8"/>
  <c r="AT8" i="12"/>
  <c r="AT7" i="12"/>
  <c r="AT13" i="12"/>
  <c r="AT23" i="4"/>
  <c r="J19" i="4"/>
  <c r="J18" i="4"/>
  <c r="J16" i="4"/>
  <c r="J14" i="4"/>
  <c r="J13" i="4"/>
  <c r="J11" i="4"/>
  <c r="J10" i="4"/>
  <c r="J9" i="4"/>
  <c r="J8" i="4"/>
  <c r="AT12" i="12" l="1"/>
  <c r="AT14" i="12" s="1"/>
  <c r="J15" i="8"/>
  <c r="J12" i="4"/>
  <c r="J21" i="4"/>
  <c r="J23" i="4" s="1"/>
  <c r="J7" i="4"/>
  <c r="AT53" i="5"/>
  <c r="AT7" i="4"/>
  <c r="AT32" i="5"/>
  <c r="AT44" i="5"/>
  <c r="AT20" i="4"/>
  <c r="AT26" i="4" s="1"/>
  <c r="AT28" i="4" s="1"/>
  <c r="AT7" i="5"/>
  <c r="AT12" i="4"/>
  <c r="J6" i="4" l="1"/>
  <c r="J22" i="4" s="1"/>
  <c r="AT15" i="12"/>
  <c r="J20" i="4"/>
  <c r="J26" i="4" s="1"/>
  <c r="J28" i="4" s="1"/>
  <c r="AT31" i="5"/>
  <c r="AT6" i="4"/>
  <c r="AT64" i="5"/>
  <c r="I60" i="5"/>
  <c r="I51" i="5"/>
  <c r="I37" i="5"/>
  <c r="AT17" i="4" l="1"/>
  <c r="AT24" i="4"/>
  <c r="AT29" i="4"/>
  <c r="J29" i="4"/>
  <c r="J24" i="4"/>
  <c r="J17" i="4"/>
  <c r="J15" i="4"/>
  <c r="J27" i="4"/>
  <c r="J15" i="12"/>
  <c r="AT27" i="4"/>
  <c r="AT22" i="4"/>
  <c r="AT15" i="4"/>
  <c r="I30" i="5" l="1"/>
  <c r="I29" i="5"/>
  <c r="I26" i="5"/>
  <c r="I25" i="5"/>
  <c r="I24" i="5"/>
  <c r="I21" i="5"/>
  <c r="I15" i="5"/>
  <c r="I9" i="5"/>
  <c r="I8" i="5"/>
  <c r="I18" i="5" l="1"/>
  <c r="I28" i="5"/>
  <c r="I16" i="5"/>
  <c r="I12" i="5"/>
  <c r="I11" i="5"/>
  <c r="I13" i="5"/>
  <c r="I10" i="5"/>
  <c r="I14" i="5"/>
  <c r="AS13" i="12"/>
  <c r="I13" i="12" s="1"/>
  <c r="I17" i="5" l="1"/>
  <c r="I7" i="5"/>
  <c r="I63" i="5"/>
  <c r="I62" i="5"/>
  <c r="I55" i="5"/>
  <c r="I61" i="5"/>
  <c r="I59" i="5"/>
  <c r="I58" i="5"/>
  <c r="I57" i="5"/>
  <c r="I56" i="5"/>
  <c r="I54" i="5"/>
  <c r="I52" i="5"/>
  <c r="I50" i="5"/>
  <c r="I49" i="5"/>
  <c r="I47" i="5"/>
  <c r="I42" i="5"/>
  <c r="I40" i="5"/>
  <c r="AS28" i="5"/>
  <c r="AS17" i="5" s="1"/>
  <c r="AS7" i="5"/>
  <c r="AS23" i="4"/>
  <c r="I31" i="5" l="1"/>
  <c r="I53" i="5"/>
  <c r="I38" i="5"/>
  <c r="I39" i="5"/>
  <c r="I36" i="5"/>
  <c r="I41" i="5"/>
  <c r="I33" i="5"/>
  <c r="I43" i="5"/>
  <c r="AS12" i="4"/>
  <c r="AS7" i="12"/>
  <c r="I34" i="5"/>
  <c r="AS8" i="12"/>
  <c r="I8" i="12" s="1"/>
  <c r="I45" i="5"/>
  <c r="I44" i="5" s="1"/>
  <c r="AS20" i="4"/>
  <c r="AS26" i="4" s="1"/>
  <c r="AS28" i="4" s="1"/>
  <c r="AS32" i="5"/>
  <c r="AS7" i="4"/>
  <c r="AS44" i="5"/>
  <c r="AS53" i="5"/>
  <c r="I32" i="5" l="1"/>
  <c r="I64" i="5" s="1"/>
  <c r="AS12" i="12"/>
  <c r="AS6" i="4"/>
  <c r="AS29" i="4" s="1"/>
  <c r="AS64" i="5"/>
  <c r="AS31" i="5"/>
  <c r="I7" i="12"/>
  <c r="I12" i="12" s="1"/>
  <c r="AS15" i="4" l="1"/>
  <c r="AS24" i="4"/>
  <c r="AS22" i="4"/>
  <c r="AS17" i="4"/>
  <c r="AS14" i="12"/>
  <c r="AS15" i="12" s="1"/>
  <c r="I14" i="12"/>
  <c r="AS27" i="4"/>
  <c r="AR28" i="5" l="1"/>
  <c r="AR17" i="5" s="1"/>
  <c r="AR7" i="12"/>
  <c r="AR8" i="12"/>
  <c r="AR7" i="5"/>
  <c r="AR44" i="5"/>
  <c r="AR13" i="12"/>
  <c r="AR53" i="5"/>
  <c r="AR32" i="5"/>
  <c r="AR12" i="12" l="1"/>
  <c r="AR14" i="12" s="1"/>
  <c r="AR31" i="5"/>
  <c r="AR64" i="5"/>
  <c r="AR23" i="4"/>
  <c r="AR20" i="4" l="1"/>
  <c r="AR26" i="4" s="1"/>
  <c r="AR28" i="4" s="1"/>
  <c r="AR7" i="4"/>
  <c r="AR12" i="4"/>
  <c r="AR6" i="4" l="1"/>
  <c r="AR29" i="4" s="1"/>
  <c r="AR15" i="12"/>
  <c r="AR15" i="4" l="1"/>
  <c r="AR24" i="4"/>
  <c r="AR22" i="4"/>
  <c r="AR17" i="4"/>
  <c r="AR27" i="4"/>
  <c r="AQ13" i="12" l="1"/>
  <c r="AQ8" i="12"/>
  <c r="AQ7" i="12"/>
  <c r="AQ28" i="5"/>
  <c r="AQ17" i="5" s="1"/>
  <c r="AQ23" i="4"/>
  <c r="AQ12" i="12" l="1"/>
  <c r="AQ14" i="12" s="1"/>
  <c r="AQ44" i="5"/>
  <c r="AQ53" i="5"/>
  <c r="AQ7" i="5"/>
  <c r="AQ32" i="5"/>
  <c r="AQ64" i="5" l="1"/>
  <c r="AQ31" i="5"/>
  <c r="AQ7" i="4"/>
  <c r="AQ20" i="4"/>
  <c r="AQ26" i="4" s="1"/>
  <c r="AQ28" i="4" s="1"/>
  <c r="AQ12" i="4"/>
  <c r="AQ6" i="4" l="1"/>
  <c r="AQ15" i="12"/>
  <c r="AQ27" i="4" l="1"/>
  <c r="AQ24" i="4"/>
  <c r="AQ29" i="4"/>
  <c r="AQ15" i="4"/>
  <c r="AQ22" i="4"/>
  <c r="AQ17" i="4"/>
  <c r="I12" i="8" l="1"/>
  <c r="I11" i="8"/>
  <c r="I8" i="8"/>
  <c r="I7" i="8"/>
  <c r="I14" i="8" s="1"/>
  <c r="AP8" i="12"/>
  <c r="AP7" i="12"/>
  <c r="AP12" i="12" s="1"/>
  <c r="AP23" i="4"/>
  <c r="I19" i="4"/>
  <c r="I18" i="4"/>
  <c r="I16" i="4"/>
  <c r="I14" i="4"/>
  <c r="I13" i="4"/>
  <c r="I12" i="4" s="1"/>
  <c r="I11" i="4"/>
  <c r="I10" i="4"/>
  <c r="I9" i="4"/>
  <c r="I15" i="8" l="1"/>
  <c r="I21" i="4"/>
  <c r="I23" i="4" s="1"/>
  <c r="I8" i="4"/>
  <c r="I7" i="4" s="1"/>
  <c r="AP13" i="12"/>
  <c r="AP14" i="12" s="1"/>
  <c r="AP44" i="5"/>
  <c r="AP28" i="5"/>
  <c r="AP17" i="5" s="1"/>
  <c r="AP32" i="5"/>
  <c r="AP20" i="4"/>
  <c r="AP26" i="4" s="1"/>
  <c r="AP28" i="4" s="1"/>
  <c r="AP7" i="5"/>
  <c r="AP53" i="5"/>
  <c r="I20" i="4" l="1"/>
  <c r="I26" i="4" s="1"/>
  <c r="I28" i="4" s="1"/>
  <c r="AP31" i="5"/>
  <c r="AP64" i="5"/>
  <c r="AP7" i="4" l="1"/>
  <c r="AP12" i="4"/>
  <c r="I6" i="4" s="1"/>
  <c r="I24" i="4" s="1"/>
  <c r="H13" i="4"/>
  <c r="I29" i="4" l="1"/>
  <c r="I22" i="4"/>
  <c r="I15" i="4"/>
  <c r="I17" i="4"/>
  <c r="I27" i="4"/>
  <c r="AP6" i="4"/>
  <c r="AP15" i="12"/>
  <c r="H60" i="5"/>
  <c r="H51" i="5"/>
  <c r="H37" i="5"/>
  <c r="H30" i="5"/>
  <c r="H29" i="5"/>
  <c r="H26" i="5"/>
  <c r="H25" i="5"/>
  <c r="H24" i="5"/>
  <c r="H21" i="5"/>
  <c r="H15" i="5"/>
  <c r="H9" i="5"/>
  <c r="H28" i="5" l="1"/>
  <c r="AP15" i="4"/>
  <c r="AP24" i="4"/>
  <c r="AP29" i="4"/>
  <c r="H18" i="5"/>
  <c r="H13" i="5"/>
  <c r="H11" i="5"/>
  <c r="H14" i="5"/>
  <c r="H16" i="5"/>
  <c r="H12" i="5"/>
  <c r="H10" i="5"/>
  <c r="H8" i="5"/>
  <c r="AO13" i="12"/>
  <c r="AP17" i="4"/>
  <c r="AP27" i="4"/>
  <c r="AP22" i="4"/>
  <c r="H17" i="5" l="1"/>
  <c r="H7" i="5"/>
  <c r="H31" i="5" s="1"/>
  <c r="H63" i="5"/>
  <c r="H62" i="5"/>
  <c r="H55" i="5"/>
  <c r="H61" i="5"/>
  <c r="H59" i="5"/>
  <c r="H58" i="5"/>
  <c r="H57" i="5"/>
  <c r="H54" i="5"/>
  <c r="H52" i="5"/>
  <c r="H50" i="5"/>
  <c r="H49" i="5"/>
  <c r="H47" i="5"/>
  <c r="H42" i="5"/>
  <c r="H40" i="5"/>
  <c r="AO28" i="5"/>
  <c r="AO17" i="5" s="1"/>
  <c r="H13" i="12"/>
  <c r="H36" i="5" l="1"/>
  <c r="H38" i="5"/>
  <c r="H41" i="5"/>
  <c r="H39" i="5"/>
  <c r="H43" i="5"/>
  <c r="AO44" i="5"/>
  <c r="AO8" i="12"/>
  <c r="H8" i="12" s="1"/>
  <c r="H45" i="5"/>
  <c r="H44" i="5" s="1"/>
  <c r="AO53" i="5"/>
  <c r="H56" i="5"/>
  <c r="H53" i="5" s="1"/>
  <c r="AO7" i="12"/>
  <c r="H34" i="5"/>
  <c r="AO32" i="5"/>
  <c r="H33" i="5"/>
  <c r="AO7" i="5"/>
  <c r="AO23" i="4"/>
  <c r="H32" i="5" l="1"/>
  <c r="H64" i="5" s="1"/>
  <c r="AO12" i="12"/>
  <c r="H7" i="12"/>
  <c r="H12" i="12" s="1"/>
  <c r="AO64" i="5"/>
  <c r="AO12" i="4"/>
  <c r="AO7" i="4"/>
  <c r="AO20" i="4"/>
  <c r="AO26" i="4" s="1"/>
  <c r="AO28" i="4" s="1"/>
  <c r="AO14" i="12" l="1"/>
  <c r="AO15" i="12" s="1"/>
  <c r="H14" i="12"/>
  <c r="AO6" i="4"/>
  <c r="AO31" i="5"/>
  <c r="AO15" i="4" l="1"/>
  <c r="AO24" i="4"/>
  <c r="AO29" i="4"/>
  <c r="AO17" i="4"/>
  <c r="AO27" i="4"/>
  <c r="AO22" i="4"/>
  <c r="AN13" i="12" l="1"/>
  <c r="AN8" i="12"/>
  <c r="AN7" i="12"/>
  <c r="AN7" i="5"/>
  <c r="AN28" i="5"/>
  <c r="AN17" i="5" s="1"/>
  <c r="AN12" i="12" l="1"/>
  <c r="AN14" i="12" s="1"/>
  <c r="AN44" i="5"/>
  <c r="AN53" i="5"/>
  <c r="AN31" i="5"/>
  <c r="AN32" i="5"/>
  <c r="AN23" i="4"/>
  <c r="AN7" i="4" l="1"/>
  <c r="AN12" i="4"/>
  <c r="AN64" i="5"/>
  <c r="AN20" i="4"/>
  <c r="AN26" i="4" s="1"/>
  <c r="AN28" i="4" s="1"/>
  <c r="AL23" i="4"/>
  <c r="AL13" i="12" l="1"/>
  <c r="AN6" i="4"/>
  <c r="AN15" i="12"/>
  <c r="H12" i="8"/>
  <c r="H11" i="8"/>
  <c r="H8" i="8"/>
  <c r="H15" i="8" s="1"/>
  <c r="H7" i="8"/>
  <c r="H14" i="8" s="1"/>
  <c r="AM7" i="12"/>
  <c r="AM23" i="4"/>
  <c r="AN15" i="4" l="1"/>
  <c r="AN24" i="4"/>
  <c r="AN29" i="4"/>
  <c r="H21" i="4"/>
  <c r="H23" i="4" s="1"/>
  <c r="AM13" i="12"/>
  <c r="AN17" i="4"/>
  <c r="AN22" i="4"/>
  <c r="AN27" i="4"/>
  <c r="AM44" i="5"/>
  <c r="AM28" i="5"/>
  <c r="AM17" i="5" s="1"/>
  <c r="AM53" i="5"/>
  <c r="AM7" i="5"/>
  <c r="AM8" i="12"/>
  <c r="AM12" i="12" s="1"/>
  <c r="AM32" i="5"/>
  <c r="AM64" i="5" l="1"/>
  <c r="AM31" i="5"/>
  <c r="AM14" i="12"/>
  <c r="H19" i="4" l="1"/>
  <c r="H18" i="4"/>
  <c r="H16" i="4"/>
  <c r="H14" i="4"/>
  <c r="H12" i="4" s="1"/>
  <c r="H11" i="4"/>
  <c r="H10" i="4"/>
  <c r="H9" i="4"/>
  <c r="AM7" i="4" l="1"/>
  <c r="H8" i="4"/>
  <c r="H7" i="4" s="1"/>
  <c r="AM12" i="4"/>
  <c r="AL28" i="5"/>
  <c r="AL17" i="5" s="1"/>
  <c r="AL44" i="5"/>
  <c r="AL7" i="12"/>
  <c r="AL53" i="5"/>
  <c r="AL12" i="4"/>
  <c r="AM6" i="4" l="1"/>
  <c r="H6" i="4"/>
  <c r="AL32" i="5"/>
  <c r="AL7" i="5"/>
  <c r="AL8" i="12"/>
  <c r="AL12" i="12" s="1"/>
  <c r="AL7" i="4"/>
  <c r="AL6" i="4" s="1"/>
  <c r="AL20" i="4"/>
  <c r="AL26" i="4" s="1"/>
  <c r="AL28" i="4" s="1"/>
  <c r="AL29" i="4" s="1"/>
  <c r="AL15" i="4" l="1"/>
  <c r="AL24" i="4"/>
  <c r="AM15" i="4"/>
  <c r="AM24" i="4"/>
  <c r="H24" i="4"/>
  <c r="AM17" i="4"/>
  <c r="H22" i="4"/>
  <c r="H17" i="4"/>
  <c r="H15" i="4"/>
  <c r="AL27" i="4"/>
  <c r="AL31" i="5"/>
  <c r="AL64" i="5"/>
  <c r="AL22" i="4"/>
  <c r="AL17" i="4"/>
  <c r="AL14" i="12" l="1"/>
  <c r="AL15" i="12" s="1"/>
  <c r="G9" i="5"/>
  <c r="G60" i="5"/>
  <c r="G51" i="5"/>
  <c r="G37" i="5"/>
  <c r="G63" i="5" l="1"/>
  <c r="AK7" i="12"/>
  <c r="AK13" i="12"/>
  <c r="AK23" i="4"/>
  <c r="G7" i="12" l="1"/>
  <c r="G10" i="5"/>
  <c r="G14" i="5"/>
  <c r="G29" i="5"/>
  <c r="G36" i="5"/>
  <c r="G41" i="5"/>
  <c r="G47" i="5"/>
  <c r="G54" i="5"/>
  <c r="G58" i="5"/>
  <c r="G13" i="5"/>
  <c r="G26" i="5"/>
  <c r="G40" i="5"/>
  <c r="G52" i="5"/>
  <c r="G61" i="5"/>
  <c r="G11" i="5"/>
  <c r="G15" i="5"/>
  <c r="G24" i="5"/>
  <c r="G30" i="5"/>
  <c r="G38" i="5"/>
  <c r="G42" i="5"/>
  <c r="G49" i="5"/>
  <c r="G55" i="5"/>
  <c r="G59" i="5"/>
  <c r="G13" i="12"/>
  <c r="G8" i="5"/>
  <c r="G21" i="5"/>
  <c r="G34" i="5"/>
  <c r="AK8" i="12"/>
  <c r="G8" i="12" s="1"/>
  <c r="G45" i="5"/>
  <c r="G57" i="5"/>
  <c r="G12" i="5"/>
  <c r="G16" i="5"/>
  <c r="G25" i="5"/>
  <c r="G33" i="5"/>
  <c r="G39" i="5"/>
  <c r="G43" i="5"/>
  <c r="G50" i="5"/>
  <c r="G56" i="5"/>
  <c r="G62" i="5"/>
  <c r="AK53" i="5"/>
  <c r="AK44" i="5"/>
  <c r="AK32" i="5"/>
  <c r="AK28" i="5"/>
  <c r="AK17" i="5" s="1"/>
  <c r="AK7" i="5"/>
  <c r="G32" i="5" l="1"/>
  <c r="G18" i="5"/>
  <c r="G44" i="5"/>
  <c r="G28" i="5"/>
  <c r="G7" i="5"/>
  <c r="G53" i="5"/>
  <c r="AK12" i="12"/>
  <c r="G12" i="12"/>
  <c r="AK64" i="5"/>
  <c r="G17" i="5" l="1"/>
  <c r="G31" i="5" s="1"/>
  <c r="G64" i="5"/>
  <c r="AK31" i="5"/>
  <c r="AK14" i="12"/>
  <c r="G14" i="12"/>
  <c r="AK7" i="4" l="1"/>
  <c r="AK12" i="4"/>
  <c r="AJ23" i="4"/>
  <c r="AJ12" i="4" l="1"/>
  <c r="AJ7" i="4"/>
  <c r="AK6" i="4"/>
  <c r="AK24" i="4" s="1"/>
  <c r="AJ8" i="12"/>
  <c r="AJ7" i="12"/>
  <c r="AJ12" i="12" s="1"/>
  <c r="AJ13" i="12"/>
  <c r="AJ14" i="12" l="1"/>
  <c r="AJ44" i="5"/>
  <c r="AJ7" i="5"/>
  <c r="AJ32" i="5"/>
  <c r="AJ53" i="5"/>
  <c r="AK15" i="4"/>
  <c r="AK17" i="4"/>
  <c r="AJ6" i="4"/>
  <c r="AJ24" i="4" s="1"/>
  <c r="AJ28" i="5"/>
  <c r="AJ17" i="5" s="1"/>
  <c r="AJ64" i="5" l="1"/>
  <c r="AJ31" i="5"/>
  <c r="AJ22" i="4"/>
  <c r="AJ17" i="4"/>
  <c r="AJ15" i="4"/>
  <c r="G12" i="8"/>
  <c r="G11" i="8"/>
  <c r="G8" i="8"/>
  <c r="G7" i="8"/>
  <c r="AI8" i="12"/>
  <c r="AI13" i="12"/>
  <c r="G15" i="8" l="1"/>
  <c r="G14" i="8"/>
  <c r="AI32" i="5"/>
  <c r="AI7" i="12"/>
  <c r="AI12" i="12" l="1"/>
  <c r="AI14" i="12" s="1"/>
  <c r="AI53" i="5"/>
  <c r="AI44" i="5"/>
  <c r="AI28" i="5"/>
  <c r="AI17" i="5" s="1"/>
  <c r="AI7" i="5"/>
  <c r="E9" i="4"/>
  <c r="AI23" i="4"/>
  <c r="G18" i="4"/>
  <c r="AI31" i="5" l="1"/>
  <c r="AI64" i="5"/>
  <c r="AI20" i="4" l="1"/>
  <c r="AI12" i="4"/>
  <c r="AI7" i="4"/>
  <c r="AI26" i="4" l="1"/>
  <c r="AI6" i="4"/>
  <c r="F12" i="8"/>
  <c r="F11" i="8"/>
  <c r="F8" i="8"/>
  <c r="F15" i="8" s="1"/>
  <c r="F7" i="8"/>
  <c r="F21" i="5"/>
  <c r="F24" i="5"/>
  <c r="F25" i="5"/>
  <c r="F26" i="5"/>
  <c r="F29" i="5"/>
  <c r="F30" i="5"/>
  <c r="F33" i="5"/>
  <c r="F34" i="5"/>
  <c r="F36" i="5"/>
  <c r="F37" i="5"/>
  <c r="F38" i="5"/>
  <c r="F39" i="5"/>
  <c r="F40" i="5"/>
  <c r="F41" i="5"/>
  <c r="F42" i="5"/>
  <c r="F43" i="5"/>
  <c r="F45" i="5"/>
  <c r="F47" i="5"/>
  <c r="F49" i="5"/>
  <c r="F50" i="5"/>
  <c r="F51" i="5"/>
  <c r="F52" i="5"/>
  <c r="F54" i="5"/>
  <c r="F56" i="5"/>
  <c r="F57" i="5"/>
  <c r="F58" i="5"/>
  <c r="F59" i="5"/>
  <c r="F60" i="5"/>
  <c r="F61" i="5"/>
  <c r="F55" i="5"/>
  <c r="F62" i="5"/>
  <c r="F63" i="5"/>
  <c r="F8" i="5"/>
  <c r="F10" i="5"/>
  <c r="F11" i="5"/>
  <c r="F12" i="5"/>
  <c r="F13" i="5"/>
  <c r="F14" i="5"/>
  <c r="F15" i="5"/>
  <c r="F16" i="5"/>
  <c r="F7" i="5" l="1"/>
  <c r="F44" i="5"/>
  <c r="F18" i="5"/>
  <c r="F53" i="5"/>
  <c r="F32" i="5"/>
  <c r="F28" i="5"/>
  <c r="AI15" i="4"/>
  <c r="AI24" i="4"/>
  <c r="AI15" i="12"/>
  <c r="AI28" i="4"/>
  <c r="AI29" i="4" s="1"/>
  <c r="F14" i="8"/>
  <c r="AI27" i="4"/>
  <c r="AI22" i="4"/>
  <c r="AI17" i="4"/>
  <c r="AH16" i="4"/>
  <c r="G16" i="4" s="1"/>
  <c r="AH21" i="4"/>
  <c r="AH19" i="4"/>
  <c r="G19" i="4" s="1"/>
  <c r="F64" i="5" l="1"/>
  <c r="F17" i="5"/>
  <c r="F31" i="5" s="1"/>
  <c r="G21" i="4"/>
  <c r="G23" i="4" s="1"/>
  <c r="AH23" i="4"/>
  <c r="AH14" i="4"/>
  <c r="G14" i="4" s="1"/>
  <c r="AH13" i="4"/>
  <c r="G13" i="4" s="1"/>
  <c r="G12" i="4" s="1"/>
  <c r="AH11" i="4"/>
  <c r="G11" i="4" s="1"/>
  <c r="AH10" i="4"/>
  <c r="G10" i="4" s="1"/>
  <c r="AH9" i="4"/>
  <c r="G9" i="4" s="1"/>
  <c r="AH8" i="4"/>
  <c r="G8" i="4" s="1"/>
  <c r="AG8" i="4"/>
  <c r="AH7" i="12"/>
  <c r="AH8" i="12"/>
  <c r="AH13" i="12"/>
  <c r="AH12" i="12" l="1"/>
  <c r="AH14" i="12" s="1"/>
  <c r="G7" i="4"/>
  <c r="AH44" i="5"/>
  <c r="AH28" i="5"/>
  <c r="AH17" i="5" s="1"/>
  <c r="AG7" i="5" l="1"/>
  <c r="AG28" i="5"/>
  <c r="AG17" i="5" s="1"/>
  <c r="AH53" i="5"/>
  <c r="AH32" i="5"/>
  <c r="AH7" i="5"/>
  <c r="AH7" i="4"/>
  <c r="AH12" i="4"/>
  <c r="G6" i="4" s="1"/>
  <c r="G24" i="4" l="1"/>
  <c r="G15" i="4"/>
  <c r="G22" i="4"/>
  <c r="G17" i="4"/>
  <c r="AH64" i="5"/>
  <c r="AH31" i="5"/>
  <c r="AH6" i="4"/>
  <c r="AH15" i="4" l="1"/>
  <c r="AH24" i="4"/>
  <c r="AG31" i="5"/>
  <c r="AH22" i="4"/>
  <c r="AG13" i="12" l="1"/>
  <c r="F13" i="12" s="1"/>
  <c r="AG8" i="12"/>
  <c r="F8" i="12" s="1"/>
  <c r="AG7" i="12"/>
  <c r="AG53" i="5"/>
  <c r="AF53" i="5"/>
  <c r="AG44" i="5"/>
  <c r="AG32" i="5"/>
  <c r="AG21" i="4"/>
  <c r="AG19" i="4"/>
  <c r="AG18" i="4"/>
  <c r="AG16" i="4"/>
  <c r="AG14" i="4"/>
  <c r="AG13" i="4"/>
  <c r="AG11" i="4"/>
  <c r="AG10" i="4"/>
  <c r="AG9" i="4"/>
  <c r="F7" i="12" l="1"/>
  <c r="F12" i="12" s="1"/>
  <c r="AG12" i="12"/>
  <c r="AG23" i="4"/>
  <c r="AG7" i="4"/>
  <c r="AG12" i="4"/>
  <c r="AG64" i="5"/>
  <c r="AG20" i="4"/>
  <c r="AG26" i="4" s="1"/>
  <c r="AG28" i="4" s="1"/>
  <c r="AE44" i="5"/>
  <c r="AD44" i="5"/>
  <c r="AC44" i="5"/>
  <c r="AB44" i="5"/>
  <c r="AA44" i="5"/>
  <c r="Z44" i="5"/>
  <c r="Y44" i="5"/>
  <c r="X44" i="5"/>
  <c r="W44" i="5"/>
  <c r="V44" i="5"/>
  <c r="U44" i="5"/>
  <c r="T44" i="5"/>
  <c r="S44" i="5"/>
  <c r="R44" i="5"/>
  <c r="Q44" i="5"/>
  <c r="P44" i="5"/>
  <c r="O44" i="5"/>
  <c r="AF44" i="5"/>
  <c r="AF28" i="5"/>
  <c r="AF17" i="5" s="1"/>
  <c r="AF21" i="4"/>
  <c r="AF19" i="4"/>
  <c r="F19" i="4" s="1"/>
  <c r="AF18" i="4"/>
  <c r="AF16" i="4"/>
  <c r="F16" i="4" s="1"/>
  <c r="AF14" i="4"/>
  <c r="F14" i="4" s="1"/>
  <c r="AF13" i="4"/>
  <c r="F13" i="4" s="1"/>
  <c r="AF11" i="4"/>
  <c r="F11" i="4" s="1"/>
  <c r="AF10" i="4"/>
  <c r="F10" i="4" s="1"/>
  <c r="AF9" i="4"/>
  <c r="F9" i="4" s="1"/>
  <c r="AF8" i="4"/>
  <c r="F8" i="4" s="1"/>
  <c r="AF32" i="5"/>
  <c r="AF7" i="5"/>
  <c r="AF13" i="12"/>
  <c r="AF8" i="12"/>
  <c r="AF7" i="12"/>
  <c r="F12" i="4" l="1"/>
  <c r="AF12" i="12"/>
  <c r="AF14" i="12" s="1"/>
  <c r="AF23" i="4"/>
  <c r="F7" i="4"/>
  <c r="AG14" i="12"/>
  <c r="AG15" i="12" s="1"/>
  <c r="F14" i="12"/>
  <c r="AG6" i="4"/>
  <c r="AG17" i="4" s="1"/>
  <c r="AF7" i="4"/>
  <c r="AF12" i="4"/>
  <c r="AF20" i="4"/>
  <c r="AF26" i="4" s="1"/>
  <c r="AF28" i="4" s="1"/>
  <c r="AF31" i="5"/>
  <c r="AF64" i="5"/>
  <c r="AG24" i="4" l="1"/>
  <c r="AG29" i="4"/>
  <c r="AF15" i="12"/>
  <c r="AG15" i="4"/>
  <c r="AG27" i="4"/>
  <c r="AG22" i="4"/>
  <c r="AF6" i="4"/>
  <c r="AF17" i="4" s="1"/>
  <c r="AF24" i="4" l="1"/>
  <c r="AF29" i="4"/>
  <c r="AF22" i="4"/>
  <c r="AF15" i="4"/>
  <c r="AF27" i="4"/>
  <c r="AE13" i="12"/>
  <c r="AE8" i="12"/>
  <c r="AE7" i="12"/>
  <c r="AE12" i="12" s="1"/>
  <c r="AE53" i="5"/>
  <c r="AE32" i="5"/>
  <c r="AE28" i="5"/>
  <c r="AE17" i="5" s="1"/>
  <c r="AE7" i="5"/>
  <c r="AE20" i="4"/>
  <c r="AE12" i="4"/>
  <c r="AE7" i="4"/>
  <c r="F20" i="4" l="1"/>
  <c r="AE26" i="4"/>
  <c r="AE28" i="4" s="1"/>
  <c r="AE14" i="12"/>
  <c r="AE6" i="4"/>
  <c r="AE64" i="5"/>
  <c r="AE31" i="5"/>
  <c r="AE22" i="4" l="1"/>
  <c r="AE24" i="4"/>
  <c r="AE29" i="4"/>
  <c r="AE27" i="4"/>
  <c r="AE15" i="4"/>
  <c r="AE17" i="4"/>
  <c r="AE15" i="12"/>
  <c r="AD13" i="12" l="1"/>
  <c r="AD8" i="12"/>
  <c r="AD7" i="12"/>
  <c r="AD12" i="12" s="1"/>
  <c r="AD14" i="12" l="1"/>
  <c r="AD28" i="5"/>
  <c r="AD17" i="5" s="1"/>
  <c r="AD53" i="5" l="1"/>
  <c r="AD32" i="5"/>
  <c r="AD7" i="5"/>
  <c r="AD64" i="5" l="1"/>
  <c r="AD31" i="5"/>
  <c r="AD18" i="4" l="1"/>
  <c r="AD12" i="4"/>
  <c r="AD7" i="4"/>
  <c r="AD21" i="4" l="1"/>
  <c r="F18" i="4"/>
  <c r="F6" i="4"/>
  <c r="AD6" i="4"/>
  <c r="AA18" i="4"/>
  <c r="F17" i="4" l="1"/>
  <c r="AD23" i="4"/>
  <c r="AD24" i="4" s="1"/>
  <c r="AD26" i="4"/>
  <c r="AD28" i="4" s="1"/>
  <c r="AD29" i="4" s="1"/>
  <c r="F21" i="4"/>
  <c r="F15" i="4"/>
  <c r="AD22" i="4"/>
  <c r="AD15" i="4"/>
  <c r="AD17" i="4"/>
  <c r="F26" i="4" l="1"/>
  <c r="F28" i="4" s="1"/>
  <c r="F29" i="4" s="1"/>
  <c r="F23" i="4"/>
  <c r="F24" i="4" s="1"/>
  <c r="AD27" i="4"/>
  <c r="AD15" i="12"/>
  <c r="F22" i="4"/>
  <c r="E12" i="8"/>
  <c r="E11" i="8"/>
  <c r="E8" i="8"/>
  <c r="E15" i="8" s="1"/>
  <c r="E7" i="8"/>
  <c r="E14" i="8" l="1"/>
  <c r="F15" i="12"/>
  <c r="F27" i="4"/>
  <c r="E60" i="5" l="1"/>
  <c r="E51" i="5"/>
  <c r="E37" i="5"/>
  <c r="AC12" i="4"/>
  <c r="E19" i="4"/>
  <c r="E16" i="4"/>
  <c r="E14" i="4"/>
  <c r="E13" i="4"/>
  <c r="E11" i="4"/>
  <c r="E10" i="4"/>
  <c r="E8" i="4"/>
  <c r="E55" i="5"/>
  <c r="E61" i="5"/>
  <c r="E59" i="5"/>
  <c r="E58" i="5"/>
  <c r="E57" i="5"/>
  <c r="E56" i="5"/>
  <c r="E54" i="5"/>
  <c r="E43" i="5"/>
  <c r="E42" i="5"/>
  <c r="E41" i="5"/>
  <c r="E40" i="5"/>
  <c r="E39" i="5"/>
  <c r="E38" i="5"/>
  <c r="E34" i="5"/>
  <c r="E33" i="5"/>
  <c r="E30" i="5"/>
  <c r="E29" i="5"/>
  <c r="E26" i="5"/>
  <c r="E25" i="5"/>
  <c r="E21" i="5"/>
  <c r="E16" i="5"/>
  <c r="E15" i="5"/>
  <c r="E14" i="5"/>
  <c r="E13" i="5"/>
  <c r="E12" i="5"/>
  <c r="E11" i="5"/>
  <c r="E10" i="5"/>
  <c r="AC13" i="12"/>
  <c r="E13" i="12" s="1"/>
  <c r="E63" i="5"/>
  <c r="E50" i="5"/>
  <c r="E49" i="5"/>
  <c r="E47" i="5"/>
  <c r="AC8" i="12"/>
  <c r="E8" i="12" s="1"/>
  <c r="AB7" i="12"/>
  <c r="AB13" i="12"/>
  <c r="AB8" i="12"/>
  <c r="E28" i="5" l="1"/>
  <c r="E12" i="4"/>
  <c r="AB12" i="12"/>
  <c r="AC32" i="5"/>
  <c r="AC7" i="5"/>
  <c r="AC28" i="5"/>
  <c r="AC17" i="5" s="1"/>
  <c r="AC53" i="5"/>
  <c r="AC7" i="4"/>
  <c r="AC6" i="4" s="1"/>
  <c r="E8" i="5"/>
  <c r="E7" i="5" s="1"/>
  <c r="E24" i="5"/>
  <c r="E18" i="5" s="1"/>
  <c r="E36" i="5"/>
  <c r="E32" i="5" s="1"/>
  <c r="AC7" i="12"/>
  <c r="AC12" i="12" s="1"/>
  <c r="E45" i="5"/>
  <c r="E44" i="5" s="1"/>
  <c r="E62" i="5"/>
  <c r="E53" i="5" s="1"/>
  <c r="AB14" i="12"/>
  <c r="E7" i="4"/>
  <c r="AC21" i="4"/>
  <c r="AB28" i="5"/>
  <c r="AB17" i="5" s="1"/>
  <c r="E17" i="5" l="1"/>
  <c r="E31" i="5" s="1"/>
  <c r="E64" i="5"/>
  <c r="AC23" i="4"/>
  <c r="AC24" i="4" s="1"/>
  <c r="AC26" i="4"/>
  <c r="AC28" i="4" s="1"/>
  <c r="AC29" i="4" s="1"/>
  <c r="AC64" i="5"/>
  <c r="E7" i="12"/>
  <c r="E12" i="12" s="1"/>
  <c r="AC17" i="4"/>
  <c r="AC15" i="4"/>
  <c r="AC22" i="4"/>
  <c r="AC27" i="4" l="1"/>
  <c r="AC31" i="5"/>
  <c r="AC14" i="12"/>
  <c r="AC15" i="12" s="1"/>
  <c r="E14" i="12"/>
  <c r="AB53" i="5" l="1"/>
  <c r="AB32" i="5"/>
  <c r="AB7" i="5"/>
  <c r="AB21" i="4"/>
  <c r="AB12" i="4"/>
  <c r="AB7" i="4"/>
  <c r="AB23" i="4" l="1"/>
  <c r="AB24" i="4" s="1"/>
  <c r="AB26" i="4"/>
  <c r="AB28" i="4" s="1"/>
  <c r="AB6" i="4"/>
  <c r="AB22" i="4" s="1"/>
  <c r="AB31" i="5"/>
  <c r="AB64" i="5"/>
  <c r="AB29" i="4" l="1"/>
  <c r="AB15" i="12"/>
  <c r="AB15" i="4"/>
  <c r="AB17" i="4"/>
  <c r="AB27" i="4"/>
  <c r="AA13" i="12"/>
  <c r="AA8" i="12"/>
  <c r="AA7" i="12"/>
  <c r="AA12" i="12" s="1"/>
  <c r="AA14" i="12" l="1"/>
  <c r="AA53" i="5"/>
  <c r="AA32" i="5"/>
  <c r="AA28" i="5"/>
  <c r="AA17" i="5" s="1"/>
  <c r="AA7" i="5"/>
  <c r="AA20" i="4"/>
  <c r="AA21" i="4" s="1"/>
  <c r="AA7" i="4"/>
  <c r="AA12" i="4"/>
  <c r="AA23" i="4" l="1"/>
  <c r="AA24" i="4" s="1"/>
  <c r="AA26" i="4"/>
  <c r="AA28" i="4" s="1"/>
  <c r="AA6" i="4"/>
  <c r="AA64" i="5"/>
  <c r="AA31" i="5"/>
  <c r="Z13" i="12"/>
  <c r="Z8" i="12"/>
  <c r="Z7" i="12"/>
  <c r="Z28" i="5"/>
  <c r="Z17" i="5" s="1"/>
  <c r="Z53" i="5"/>
  <c r="Z32" i="5"/>
  <c r="Z7" i="5"/>
  <c r="Z20" i="4"/>
  <c r="E20" i="4" s="1"/>
  <c r="Z12" i="12" l="1"/>
  <c r="AA29" i="4"/>
  <c r="AA27" i="4"/>
  <c r="AA15" i="12"/>
  <c r="Z31" i="5"/>
  <c r="AA22" i="4"/>
  <c r="Z64" i="5"/>
  <c r="AA17" i="4"/>
  <c r="AA15" i="4"/>
  <c r="Q7" i="12"/>
  <c r="U7" i="12"/>
  <c r="Y7" i="12"/>
  <c r="N7" i="12"/>
  <c r="O7" i="12"/>
  <c r="P7" i="12"/>
  <c r="P12" i="12" s="1"/>
  <c r="R7" i="12"/>
  <c r="S7" i="12"/>
  <c r="T7" i="12"/>
  <c r="V7" i="12"/>
  <c r="W7" i="12"/>
  <c r="X7" i="12"/>
  <c r="Q8" i="12"/>
  <c r="B8" i="12" s="1"/>
  <c r="U8" i="12"/>
  <c r="C8" i="12" s="1"/>
  <c r="Y8" i="12"/>
  <c r="D8" i="12" s="1"/>
  <c r="N8" i="12"/>
  <c r="O8" i="12"/>
  <c r="P8" i="12"/>
  <c r="R8" i="12"/>
  <c r="S8" i="12"/>
  <c r="T8" i="12"/>
  <c r="V8" i="12"/>
  <c r="W8" i="12"/>
  <c r="X8" i="12"/>
  <c r="Q13" i="12"/>
  <c r="B13" i="12" s="1"/>
  <c r="U13" i="12"/>
  <c r="Y13" i="12"/>
  <c r="D13" i="12" s="1"/>
  <c r="N13" i="12"/>
  <c r="O13" i="12"/>
  <c r="P13" i="12"/>
  <c r="R13" i="12"/>
  <c r="S13" i="12"/>
  <c r="T13" i="12"/>
  <c r="V13" i="12"/>
  <c r="W13" i="12"/>
  <c r="X13" i="12"/>
  <c r="N7" i="4"/>
  <c r="N12" i="4"/>
  <c r="O7" i="4"/>
  <c r="O12" i="4"/>
  <c r="P7" i="4"/>
  <c r="P12" i="4"/>
  <c r="Q7" i="4"/>
  <c r="Q12" i="4"/>
  <c r="R7" i="4"/>
  <c r="R12" i="4"/>
  <c r="S7" i="4"/>
  <c r="S12" i="4"/>
  <c r="T7" i="4"/>
  <c r="T12" i="4"/>
  <c r="U7" i="4"/>
  <c r="U12" i="4"/>
  <c r="D8" i="4"/>
  <c r="D9" i="4"/>
  <c r="D10" i="4"/>
  <c r="V12" i="4"/>
  <c r="W12" i="4"/>
  <c r="X12" i="4"/>
  <c r="Y12" i="4"/>
  <c r="D11" i="4"/>
  <c r="V7" i="4"/>
  <c r="W7" i="4"/>
  <c r="X7" i="4"/>
  <c r="Y7" i="4"/>
  <c r="Z7" i="4"/>
  <c r="B8" i="4"/>
  <c r="C8" i="4"/>
  <c r="B9" i="4"/>
  <c r="C9" i="4"/>
  <c r="B10" i="4"/>
  <c r="C10" i="4"/>
  <c r="B11" i="4"/>
  <c r="C11" i="4"/>
  <c r="Z12" i="4"/>
  <c r="E6" i="4" s="1"/>
  <c r="B13" i="4"/>
  <c r="C13" i="4"/>
  <c r="D13" i="4"/>
  <c r="B14" i="4"/>
  <c r="C14" i="4"/>
  <c r="D14" i="4"/>
  <c r="B16" i="4"/>
  <c r="C16" i="4"/>
  <c r="D16" i="4"/>
  <c r="B18" i="4"/>
  <c r="C18" i="4"/>
  <c r="D18" i="4"/>
  <c r="N18" i="4"/>
  <c r="O18" i="4"/>
  <c r="P18" i="4"/>
  <c r="S18" i="4"/>
  <c r="T18" i="4"/>
  <c r="W18" i="4"/>
  <c r="X18" i="4"/>
  <c r="Z18" i="4"/>
  <c r="B19" i="4"/>
  <c r="C19" i="4"/>
  <c r="D19" i="4"/>
  <c r="N19" i="4"/>
  <c r="O19" i="4"/>
  <c r="P19" i="4"/>
  <c r="S19" i="4"/>
  <c r="T19" i="4"/>
  <c r="V19" i="4"/>
  <c r="W19" i="4"/>
  <c r="X19" i="4"/>
  <c r="B20" i="4"/>
  <c r="C20" i="4"/>
  <c r="D20" i="4"/>
  <c r="N20" i="4"/>
  <c r="O20" i="4"/>
  <c r="P20" i="4"/>
  <c r="S20" i="4"/>
  <c r="T20" i="4"/>
  <c r="V20" i="4"/>
  <c r="W20" i="4"/>
  <c r="X20" i="4"/>
  <c r="R21" i="4"/>
  <c r="Q7" i="5"/>
  <c r="U7" i="5"/>
  <c r="Y7" i="5"/>
  <c r="N16" i="5"/>
  <c r="O16" i="5"/>
  <c r="P16" i="5"/>
  <c r="R7" i="5"/>
  <c r="S7" i="5"/>
  <c r="T7" i="5"/>
  <c r="V7" i="5"/>
  <c r="W7" i="5"/>
  <c r="X7" i="5"/>
  <c r="B8" i="5"/>
  <c r="C8" i="5"/>
  <c r="D8" i="5"/>
  <c r="B10" i="5"/>
  <c r="C10" i="5"/>
  <c r="D10" i="5"/>
  <c r="B11" i="5"/>
  <c r="C11" i="5"/>
  <c r="D11" i="5"/>
  <c r="B12" i="5"/>
  <c r="C12" i="5"/>
  <c r="D12" i="5"/>
  <c r="B13" i="5"/>
  <c r="C13" i="5"/>
  <c r="D13" i="5"/>
  <c r="B14" i="5"/>
  <c r="C14" i="5"/>
  <c r="D14" i="5"/>
  <c r="B15" i="5"/>
  <c r="C15" i="5"/>
  <c r="D15" i="5"/>
  <c r="B16" i="5"/>
  <c r="C16" i="5"/>
  <c r="D16" i="5"/>
  <c r="Q26" i="5"/>
  <c r="Q28" i="5"/>
  <c r="U28" i="5"/>
  <c r="U17" i="5" s="1"/>
  <c r="Y28" i="5"/>
  <c r="Y17" i="5" s="1"/>
  <c r="N28" i="5"/>
  <c r="N17" i="5" s="1"/>
  <c r="O28" i="5"/>
  <c r="O17" i="5" s="1"/>
  <c r="P28" i="5"/>
  <c r="P17" i="5" s="1"/>
  <c r="R26" i="5"/>
  <c r="R28" i="5"/>
  <c r="S26" i="5"/>
  <c r="S28" i="5"/>
  <c r="T26" i="5"/>
  <c r="T28" i="5"/>
  <c r="V28" i="5"/>
  <c r="V17" i="5" s="1"/>
  <c r="W28" i="5"/>
  <c r="W17" i="5" s="1"/>
  <c r="X28" i="5"/>
  <c r="X17" i="5" s="1"/>
  <c r="B21" i="5"/>
  <c r="C21" i="5"/>
  <c r="D21" i="5"/>
  <c r="B24" i="5"/>
  <c r="C24" i="5"/>
  <c r="D24" i="5"/>
  <c r="B25" i="5"/>
  <c r="C25" i="5"/>
  <c r="D25" i="5"/>
  <c r="C26" i="5"/>
  <c r="D26" i="5"/>
  <c r="B29" i="5"/>
  <c r="C29" i="5"/>
  <c r="D29" i="5"/>
  <c r="B30" i="5"/>
  <c r="C30" i="5"/>
  <c r="D30" i="5"/>
  <c r="Q32" i="5"/>
  <c r="U32" i="5"/>
  <c r="Y32" i="5"/>
  <c r="N43" i="5"/>
  <c r="O32" i="5"/>
  <c r="P32" i="5"/>
  <c r="R32" i="5"/>
  <c r="S32" i="5"/>
  <c r="T32" i="5"/>
  <c r="V32" i="5"/>
  <c r="W32" i="5"/>
  <c r="X32" i="5"/>
  <c r="B33" i="5"/>
  <c r="C33" i="5"/>
  <c r="D33" i="5"/>
  <c r="C34" i="5"/>
  <c r="D34" i="5"/>
  <c r="B36" i="5"/>
  <c r="C36" i="5"/>
  <c r="D36" i="5"/>
  <c r="B37" i="5"/>
  <c r="C37" i="5"/>
  <c r="D37" i="5"/>
  <c r="B38" i="5"/>
  <c r="C38" i="5"/>
  <c r="D38" i="5"/>
  <c r="B39" i="5"/>
  <c r="C39" i="5"/>
  <c r="D39" i="5"/>
  <c r="B40" i="5"/>
  <c r="C40" i="5"/>
  <c r="D40" i="5"/>
  <c r="B41" i="5"/>
  <c r="C41" i="5"/>
  <c r="D41" i="5"/>
  <c r="B42" i="5"/>
  <c r="C42" i="5"/>
  <c r="D42" i="5"/>
  <c r="B43" i="5"/>
  <c r="C43" i="5"/>
  <c r="D43" i="5"/>
  <c r="N47" i="5"/>
  <c r="N44" i="5" s="1"/>
  <c r="B45" i="5"/>
  <c r="C45" i="5"/>
  <c r="D45" i="5"/>
  <c r="B47" i="5"/>
  <c r="C47" i="5"/>
  <c r="D47" i="5"/>
  <c r="B49" i="5"/>
  <c r="C49" i="5"/>
  <c r="D49" i="5"/>
  <c r="B50" i="5"/>
  <c r="C50" i="5"/>
  <c r="D50" i="5"/>
  <c r="B51" i="5"/>
  <c r="C51" i="5"/>
  <c r="D51" i="5"/>
  <c r="Q63" i="5"/>
  <c r="B63" i="5" s="1"/>
  <c r="U53" i="5"/>
  <c r="Y53" i="5"/>
  <c r="N53" i="5"/>
  <c r="O59" i="5"/>
  <c r="O53" i="5" s="1"/>
  <c r="P59" i="5"/>
  <c r="P53" i="5" s="1"/>
  <c r="R57" i="5"/>
  <c r="R59" i="5"/>
  <c r="R61" i="5"/>
  <c r="R63" i="5"/>
  <c r="S63" i="5"/>
  <c r="S53" i="5" s="1"/>
  <c r="T63" i="5"/>
  <c r="T53" i="5" s="1"/>
  <c r="V53" i="5"/>
  <c r="W53" i="5"/>
  <c r="X53" i="5"/>
  <c r="B54" i="5"/>
  <c r="C54" i="5"/>
  <c r="D54" i="5"/>
  <c r="B56" i="5"/>
  <c r="C56" i="5"/>
  <c r="D56" i="5"/>
  <c r="B57" i="5"/>
  <c r="C57" i="5"/>
  <c r="D57" i="5"/>
  <c r="B58" i="5"/>
  <c r="C58" i="5"/>
  <c r="D58" i="5"/>
  <c r="B59" i="5"/>
  <c r="C59" i="5"/>
  <c r="D59" i="5"/>
  <c r="B60" i="5"/>
  <c r="C60" i="5"/>
  <c r="D60" i="5"/>
  <c r="B61" i="5"/>
  <c r="C61" i="5"/>
  <c r="D61" i="5"/>
  <c r="B55" i="5"/>
  <c r="C55" i="5"/>
  <c r="D55" i="5"/>
  <c r="C63" i="5"/>
  <c r="D63" i="5"/>
  <c r="R12" i="12" l="1"/>
  <c r="R14" i="12" s="1"/>
  <c r="B28" i="5"/>
  <c r="D12" i="4"/>
  <c r="R17" i="5"/>
  <c r="B53" i="5"/>
  <c r="C44" i="5"/>
  <c r="C28" i="5"/>
  <c r="D53" i="5"/>
  <c r="B44" i="5"/>
  <c r="S12" i="12"/>
  <c r="S14" i="12" s="1"/>
  <c r="C53" i="5"/>
  <c r="T17" i="5"/>
  <c r="T31" i="5" s="1"/>
  <c r="O12" i="12"/>
  <c r="O14" i="12" s="1"/>
  <c r="D32" i="5"/>
  <c r="D18" i="5"/>
  <c r="D7" i="5"/>
  <c r="C12" i="4"/>
  <c r="X12" i="12"/>
  <c r="X14" i="12" s="1"/>
  <c r="N12" i="12"/>
  <c r="N14" i="12" s="1"/>
  <c r="C32" i="5"/>
  <c r="C18" i="5"/>
  <c r="S17" i="5"/>
  <c r="S31" i="5" s="1"/>
  <c r="C7" i="5"/>
  <c r="B12" i="4"/>
  <c r="W12" i="12"/>
  <c r="W14" i="12" s="1"/>
  <c r="D7" i="12"/>
  <c r="D12" i="12" s="1"/>
  <c r="Y12" i="12"/>
  <c r="Y14" i="12" s="1"/>
  <c r="D44" i="5"/>
  <c r="B32" i="5"/>
  <c r="D28" i="5"/>
  <c r="B18" i="5"/>
  <c r="B26" i="5"/>
  <c r="Q17" i="5"/>
  <c r="B7" i="5"/>
  <c r="V12" i="12"/>
  <c r="V14" i="12" s="1"/>
  <c r="C7" i="12"/>
  <c r="C12" i="12" s="1"/>
  <c r="U12" i="12"/>
  <c r="T12" i="12"/>
  <c r="T14" i="12" s="1"/>
  <c r="B7" i="12"/>
  <c r="B12" i="12" s="1"/>
  <c r="Q12" i="12"/>
  <c r="Q14" i="12" s="1"/>
  <c r="N32" i="5"/>
  <c r="N64" i="5" s="1"/>
  <c r="P7" i="5"/>
  <c r="O7" i="5"/>
  <c r="N7" i="5"/>
  <c r="R23" i="4"/>
  <c r="R26" i="4"/>
  <c r="R28" i="4" s="1"/>
  <c r="X6" i="4"/>
  <c r="X15" i="4" s="1"/>
  <c r="T6" i="4"/>
  <c r="T17" i="4" s="1"/>
  <c r="P6" i="4"/>
  <c r="P17" i="4" s="1"/>
  <c r="U6" i="4"/>
  <c r="U17" i="4" s="1"/>
  <c r="S6" i="4"/>
  <c r="S17" i="4" s="1"/>
  <c r="O64" i="5"/>
  <c r="Z6" i="4"/>
  <c r="Z17" i="4" s="1"/>
  <c r="W64" i="5"/>
  <c r="W21" i="4"/>
  <c r="Q6" i="4"/>
  <c r="Q17" i="4" s="1"/>
  <c r="O21" i="4"/>
  <c r="Z21" i="4"/>
  <c r="E18" i="4"/>
  <c r="N31" i="5"/>
  <c r="S64" i="5"/>
  <c r="W31" i="5"/>
  <c r="P14" i="12"/>
  <c r="E15" i="4"/>
  <c r="E17" i="4"/>
  <c r="Z14" i="12"/>
  <c r="T21" i="4"/>
  <c r="P21" i="4"/>
  <c r="C21" i="4"/>
  <c r="R31" i="5"/>
  <c r="X31" i="5"/>
  <c r="X64" i="5"/>
  <c r="V64" i="5"/>
  <c r="P64" i="5"/>
  <c r="S21" i="4"/>
  <c r="B21" i="4"/>
  <c r="D7" i="4"/>
  <c r="Y6" i="4"/>
  <c r="Y15" i="4" s="1"/>
  <c r="W6" i="4"/>
  <c r="U64" i="5"/>
  <c r="D21" i="4"/>
  <c r="D23" i="4" s="1"/>
  <c r="B7" i="4"/>
  <c r="N6" i="4"/>
  <c r="C13" i="12"/>
  <c r="Y19" i="4"/>
  <c r="Y18" i="4"/>
  <c r="U18" i="4"/>
  <c r="X21" i="4"/>
  <c r="Y20" i="4"/>
  <c r="U19" i="4"/>
  <c r="R6" i="4"/>
  <c r="R15" i="4" s="1"/>
  <c r="C7" i="4"/>
  <c r="O6" i="4"/>
  <c r="Q53" i="5"/>
  <c r="Y64" i="5"/>
  <c r="U20" i="4"/>
  <c r="V21" i="4"/>
  <c r="Q18" i="4"/>
  <c r="N21" i="4"/>
  <c r="T64" i="5"/>
  <c r="R53" i="5"/>
  <c r="R64" i="5" s="1"/>
  <c r="V31" i="5"/>
  <c r="Q20" i="4"/>
  <c r="V6" i="4"/>
  <c r="Q19" i="4"/>
  <c r="B64" i="5" l="1"/>
  <c r="C17" i="5"/>
  <c r="C31" i="5" s="1"/>
  <c r="C64" i="5"/>
  <c r="R29" i="4"/>
  <c r="B17" i="5"/>
  <c r="B31" i="5" s="1"/>
  <c r="D17" i="5"/>
  <c r="D31" i="5" s="1"/>
  <c r="R24" i="4"/>
  <c r="D64" i="5"/>
  <c r="R15" i="12"/>
  <c r="P31" i="5"/>
  <c r="O31" i="5"/>
  <c r="T23" i="4"/>
  <c r="T24" i="4" s="1"/>
  <c r="T26" i="4"/>
  <c r="T28" i="4" s="1"/>
  <c r="T29" i="4" s="1"/>
  <c r="W23" i="4"/>
  <c r="W24" i="4" s="1"/>
  <c r="W26" i="4"/>
  <c r="W28" i="4" s="1"/>
  <c r="W29" i="4" s="1"/>
  <c r="N23" i="4"/>
  <c r="N24" i="4" s="1"/>
  <c r="N26" i="4"/>
  <c r="N28" i="4" s="1"/>
  <c r="N29" i="4" s="1"/>
  <c r="X23" i="4"/>
  <c r="X24" i="4" s="1"/>
  <c r="X26" i="4"/>
  <c r="X28" i="4" s="1"/>
  <c r="X29" i="4" s="1"/>
  <c r="O23" i="4"/>
  <c r="O24" i="4" s="1"/>
  <c r="O26" i="4"/>
  <c r="O28" i="4" s="1"/>
  <c r="O29" i="4" s="1"/>
  <c r="Z23" i="4"/>
  <c r="Z24" i="4" s="1"/>
  <c r="Z26" i="4"/>
  <c r="Z28" i="4" s="1"/>
  <c r="Z29" i="4" s="1"/>
  <c r="S23" i="4"/>
  <c r="S24" i="4" s="1"/>
  <c r="S26" i="4"/>
  <c r="S28" i="4" s="1"/>
  <c r="S29" i="4" s="1"/>
  <c r="V23" i="4"/>
  <c r="V24" i="4" s="1"/>
  <c r="V26" i="4"/>
  <c r="V28" i="4" s="1"/>
  <c r="V29" i="4" s="1"/>
  <c r="P23" i="4"/>
  <c r="P24" i="4" s="1"/>
  <c r="P26" i="4"/>
  <c r="P28" i="4" s="1"/>
  <c r="P29" i="4" s="1"/>
  <c r="B26" i="4"/>
  <c r="B28" i="4" s="1"/>
  <c r="B23" i="4"/>
  <c r="C26" i="4"/>
  <c r="C28" i="4" s="1"/>
  <c r="C23" i="4"/>
  <c r="E21" i="4"/>
  <c r="Y17" i="4"/>
  <c r="X17" i="4"/>
  <c r="Q15" i="4"/>
  <c r="S15" i="4"/>
  <c r="Z15" i="4"/>
  <c r="T22" i="4"/>
  <c r="U15" i="4"/>
  <c r="P22" i="4"/>
  <c r="X22" i="4"/>
  <c r="P15" i="4"/>
  <c r="T15" i="4"/>
  <c r="S22" i="4"/>
  <c r="D14" i="12"/>
  <c r="Y31" i="5"/>
  <c r="U31" i="5"/>
  <c r="Z22" i="4"/>
  <c r="D26" i="4"/>
  <c r="D28" i="4" s="1"/>
  <c r="D6" i="4"/>
  <c r="V17" i="4"/>
  <c r="V15" i="4"/>
  <c r="U21" i="4"/>
  <c r="N17" i="4"/>
  <c r="N15" i="4"/>
  <c r="C14" i="12"/>
  <c r="U14" i="12"/>
  <c r="O17" i="4"/>
  <c r="O15" i="4"/>
  <c r="W17" i="4"/>
  <c r="W15" i="4"/>
  <c r="O22" i="4"/>
  <c r="B14" i="12"/>
  <c r="B6" i="4"/>
  <c r="B17" i="4" s="1"/>
  <c r="W22" i="4"/>
  <c r="V22" i="4"/>
  <c r="Y21" i="4"/>
  <c r="Q64" i="5"/>
  <c r="R22" i="4"/>
  <c r="R17" i="4"/>
  <c r="R27" i="4"/>
  <c r="Q31" i="5"/>
  <c r="C6" i="4"/>
  <c r="C15" i="4" s="1"/>
  <c r="N22" i="4"/>
  <c r="Q21" i="4"/>
  <c r="B24" i="4" l="1"/>
  <c r="C24" i="4"/>
  <c r="C29" i="4"/>
  <c r="B29" i="4"/>
  <c r="W27" i="4"/>
  <c r="O27" i="4"/>
  <c r="O15" i="12"/>
  <c r="T15" i="12"/>
  <c r="D17" i="4"/>
  <c r="D29" i="4"/>
  <c r="D24" i="4"/>
  <c r="B15" i="12"/>
  <c r="P15" i="12"/>
  <c r="P27" i="4"/>
  <c r="T27" i="4"/>
  <c r="S27" i="4"/>
  <c r="X27" i="4"/>
  <c r="V27" i="4"/>
  <c r="Z27" i="4"/>
  <c r="C15" i="12"/>
  <c r="X15" i="12"/>
  <c r="V15" i="12"/>
  <c r="W15" i="12"/>
  <c r="Y22" i="4"/>
  <c r="Y23" i="4"/>
  <c r="Y24" i="4" s="1"/>
  <c r="Y26" i="4"/>
  <c r="Y28" i="4" s="1"/>
  <c r="Y29" i="4" s="1"/>
  <c r="U23" i="4"/>
  <c r="U24" i="4" s="1"/>
  <c r="U26" i="4"/>
  <c r="U28" i="4" s="1"/>
  <c r="U29" i="4" s="1"/>
  <c r="E26" i="4"/>
  <c r="E28" i="4" s="1"/>
  <c r="E29" i="4" s="1"/>
  <c r="E23" i="4"/>
  <c r="E24" i="4" s="1"/>
  <c r="Q23" i="4"/>
  <c r="Q24" i="4" s="1"/>
  <c r="Q26" i="4"/>
  <c r="Q28" i="4" s="1"/>
  <c r="Q29" i="4" s="1"/>
  <c r="E22" i="4"/>
  <c r="B27" i="4"/>
  <c r="U22" i="4"/>
  <c r="D27" i="4"/>
  <c r="Z15" i="12"/>
  <c r="D15" i="4"/>
  <c r="D15" i="12"/>
  <c r="S15" i="12"/>
  <c r="D22" i="4"/>
  <c r="B22" i="4"/>
  <c r="B15" i="4"/>
  <c r="N27" i="4"/>
  <c r="N15" i="12"/>
  <c r="C27" i="4"/>
  <c r="C17" i="4"/>
  <c r="C22" i="4"/>
  <c r="Q22" i="4"/>
  <c r="E27" i="4" l="1"/>
  <c r="U15" i="12"/>
  <c r="E15" i="12"/>
  <c r="U27" i="4"/>
  <c r="Q27" i="4"/>
  <c r="Q15" i="12"/>
  <c r="Y27" i="4"/>
  <c r="Y15" i="12"/>
  <c r="AH20" i="4" l="1"/>
  <c r="AH26" i="4" s="1"/>
  <c r="AH28" i="4" s="1"/>
  <c r="AH29" i="4" s="1"/>
  <c r="AH17" i="4"/>
  <c r="AH27" i="4" l="1"/>
  <c r="AH15" i="12" l="1"/>
  <c r="AJ20" i="4"/>
  <c r="AJ26" i="4" s="1"/>
  <c r="AJ28" i="4" s="1"/>
  <c r="AJ29" i="4" s="1"/>
  <c r="AK20" i="4"/>
  <c r="AK26" i="4" s="1"/>
  <c r="AK28" i="4" s="1"/>
  <c r="AK29" i="4" s="1"/>
  <c r="AK22" i="4"/>
  <c r="AJ15" i="12" l="1"/>
  <c r="G20" i="4"/>
  <c r="G26" i="4" s="1"/>
  <c r="AK27" i="4"/>
  <c r="AK15" i="12"/>
  <c r="G15" i="12" l="1"/>
  <c r="G28" i="4"/>
  <c r="G29" i="4" s="1"/>
  <c r="AJ27" i="4"/>
  <c r="G27" i="4"/>
  <c r="AM22" i="4"/>
  <c r="AM20" i="4"/>
  <c r="H20" i="4" l="1"/>
  <c r="H26" i="4" s="1"/>
  <c r="AM26" i="4"/>
  <c r="AM15" i="12" l="1"/>
  <c r="AM28" i="4"/>
  <c r="AM29" i="4" s="1"/>
  <c r="H15" i="12"/>
  <c r="H28" i="4"/>
  <c r="H29" i="4" s="1"/>
  <c r="H27" i="4"/>
  <c r="AM27" i="4"/>
  <c r="K70" i="6" l="1"/>
  <c r="K44" i="6"/>
  <c r="K53" i="6" s="1"/>
  <c r="AX13" i="12" l="1"/>
  <c r="AX7" i="5"/>
  <c r="AX28" i="5"/>
  <c r="AX17" i="5" s="1"/>
  <c r="AX53" i="5"/>
  <c r="AX32" i="5"/>
  <c r="AX7" i="12"/>
  <c r="AX8" i="12"/>
  <c r="AX44" i="5"/>
  <c r="AX12" i="12" l="1"/>
  <c r="AX64" i="5"/>
  <c r="AX14" i="12" l="1"/>
  <c r="K14" i="12"/>
  <c r="K15" i="12" s="1"/>
  <c r="AX31" i="5"/>
  <c r="K19" i="4" l="1"/>
  <c r="K18" i="4"/>
  <c r="K21" i="4" l="1"/>
  <c r="AX22" i="4" l="1"/>
  <c r="K22" i="4" l="1"/>
  <c r="K16" i="4" l="1"/>
  <c r="K15" i="4" l="1"/>
  <c r="AX17" i="4"/>
  <c r="AX15" i="4"/>
  <c r="AX20" i="4"/>
  <c r="K20" i="4" s="1"/>
  <c r="AX26" i="4" l="1"/>
  <c r="K17" i="4"/>
  <c r="AX27" i="4" l="1"/>
  <c r="AX15" i="12"/>
  <c r="K27" i="4"/>
  <c r="K24" i="4" l="1"/>
  <c r="AX23" i="4"/>
  <c r="AX24" i="4" s="1"/>
  <c r="I41" i="6"/>
  <c r="I72" i="6" s="1"/>
  <c r="I76" i="6" s="1"/>
  <c r="J75" i="6" s="1"/>
  <c r="J76" i="6" s="1"/>
  <c r="K75" i="6" s="1"/>
  <c r="X22" i="6"/>
  <c r="X41" i="6" l="1"/>
  <c r="X72" i="6" s="1"/>
  <c r="X76" i="6" s="1"/>
  <c r="Y75" i="6" s="1"/>
  <c r="Y22" i="6"/>
  <c r="Y41" i="6" l="1"/>
  <c r="Y72" i="6" s="1"/>
  <c r="Y76" i="6" s="1"/>
  <c r="Z75" i="6" s="1"/>
  <c r="K41" i="6"/>
  <c r="K72" i="6" s="1"/>
  <c r="K76" i="6" s="1"/>
  <c r="L75" i="6" s="1"/>
  <c r="Z22" i="6"/>
  <c r="AA22" i="6" l="1"/>
  <c r="Z41" i="6"/>
  <c r="Z72" i="6" s="1"/>
  <c r="Z76" i="6" s="1"/>
  <c r="AA75" i="6" s="1"/>
  <c r="AA41" i="6" l="1"/>
  <c r="AA72" i="6" s="1"/>
  <c r="AA76" i="6" s="1"/>
  <c r="AB75" i="6" s="1"/>
  <c r="AB22" i="6"/>
  <c r="AB41" i="6" l="1"/>
  <c r="AB72" i="6" s="1"/>
  <c r="AB76" i="6" s="1"/>
  <c r="AC75" i="6" s="1"/>
  <c r="AC22" i="6"/>
  <c r="AD22" i="6" l="1"/>
  <c r="AC41" i="6"/>
  <c r="AC72" i="6" s="1"/>
  <c r="AC76" i="6" s="1"/>
  <c r="AD75" i="6" s="1"/>
  <c r="AE22" i="6" l="1"/>
  <c r="AD41" i="6"/>
  <c r="AD72" i="6" s="1"/>
  <c r="AD76" i="6" s="1"/>
  <c r="AE75" i="6" s="1"/>
  <c r="AE41" i="6" l="1"/>
  <c r="AE72" i="6" s="1"/>
  <c r="AE76" i="6" s="1"/>
  <c r="AF75" i="6" s="1"/>
  <c r="AF22" i="6"/>
  <c r="AF41" i="6" l="1"/>
  <c r="AF72" i="6" s="1"/>
  <c r="AF76" i="6" s="1"/>
  <c r="AG75" i="6" s="1"/>
  <c r="AG22" i="6"/>
  <c r="AH22" i="6" l="1"/>
  <c r="AG41" i="6"/>
  <c r="AG72" i="6" s="1"/>
  <c r="AG76" i="6" s="1"/>
  <c r="AH75" i="6" s="1"/>
  <c r="AH41" i="6" l="1"/>
  <c r="AH72" i="6" s="1"/>
  <c r="AH76" i="6" s="1"/>
  <c r="AI75" i="6" s="1"/>
  <c r="AI22" i="6"/>
  <c r="AI41" i="6" l="1"/>
  <c r="AI72" i="6" s="1"/>
  <c r="AI76" i="6" s="1"/>
  <c r="AJ75" i="6" s="1"/>
  <c r="AJ22" i="6"/>
  <c r="AJ41" i="6" l="1"/>
  <c r="AJ72" i="6" s="1"/>
  <c r="AJ76" i="6" s="1"/>
  <c r="AK75" i="6" s="1"/>
  <c r="AK22" i="6"/>
  <c r="AL22" i="6" l="1"/>
  <c r="AK41" i="6"/>
  <c r="AK72" i="6" s="1"/>
  <c r="AK76" i="6" s="1"/>
  <c r="AL75" i="6" s="1"/>
  <c r="AL41" i="6" l="1"/>
  <c r="AL72" i="6" s="1"/>
  <c r="AL76" i="6" s="1"/>
  <c r="AM75" i="6" s="1"/>
  <c r="AM22" i="6"/>
  <c r="AM41" i="6" l="1"/>
  <c r="AM72" i="6" s="1"/>
  <c r="AM76" i="6" s="1"/>
  <c r="AN75" i="6" s="1"/>
  <c r="AN22" i="6"/>
  <c r="AN41" i="6" l="1"/>
  <c r="AN72" i="6" s="1"/>
  <c r="AN76" i="6" s="1"/>
  <c r="AO75" i="6" s="1"/>
  <c r="AO22" i="6"/>
  <c r="AO41" i="6" l="1"/>
  <c r="AO72" i="6" s="1"/>
  <c r="AO76" i="6" s="1"/>
  <c r="AP75" i="6" s="1"/>
  <c r="AP22" i="6"/>
  <c r="AP41" i="6" l="1"/>
  <c r="AP72" i="6" s="1"/>
  <c r="AP76" i="6" s="1"/>
  <c r="AQ75" i="6" s="1"/>
  <c r="AQ22" i="6"/>
  <c r="AQ41" i="6" l="1"/>
  <c r="AQ72" i="6" s="1"/>
  <c r="AQ76" i="6" s="1"/>
  <c r="AR75" i="6" s="1"/>
  <c r="AR22" i="6"/>
  <c r="AR41" i="6" l="1"/>
  <c r="AR72" i="6" s="1"/>
  <c r="AR76" i="6" s="1"/>
  <c r="AS75" i="6" s="1"/>
  <c r="AS22" i="6"/>
  <c r="AS41" i="6" l="1"/>
  <c r="AS72" i="6" s="1"/>
  <c r="AS76" i="6" s="1"/>
  <c r="AT75" i="6" s="1"/>
  <c r="AT22" i="6"/>
  <c r="AT41" i="6" l="1"/>
  <c r="AT72" i="6" s="1"/>
  <c r="AT76" i="6" s="1"/>
  <c r="AU75" i="6" s="1"/>
  <c r="AU22" i="6"/>
  <c r="AU41" i="6" l="1"/>
  <c r="AU72" i="6" s="1"/>
  <c r="AU76" i="6" s="1"/>
  <c r="AV75" i="6" s="1"/>
  <c r="AV22" i="6"/>
  <c r="AV41" i="6" l="1"/>
  <c r="AV72" i="6" s="1"/>
  <c r="AV76" i="6" s="1"/>
  <c r="AW75" i="6" s="1"/>
  <c r="AW22" i="6"/>
  <c r="AW41" i="6" l="1"/>
  <c r="AW72" i="6" s="1"/>
  <c r="AW76" i="6" s="1"/>
  <c r="AX75" i="6" s="1"/>
  <c r="AX22" i="6"/>
  <c r="AX41" i="6" l="1"/>
  <c r="AX72" i="6" s="1"/>
  <c r="AX76" i="6" s="1"/>
  <c r="AY75" i="6" s="1"/>
  <c r="AY22" i="6"/>
  <c r="AY41" i="6" l="1"/>
  <c r="AY72" i="6" s="1"/>
  <c r="AY76" i="6" s="1"/>
  <c r="AZ75" i="6" s="1"/>
  <c r="AZ22" i="6"/>
  <c r="AZ41" i="6" l="1"/>
  <c r="AZ72" i="6" s="1"/>
  <c r="AZ76" i="6" s="1"/>
  <c r="BA75" i="6" s="1"/>
  <c r="BA22" i="6"/>
  <c r="BA41" i="6" l="1"/>
  <c r="BA72" i="6" s="1"/>
  <c r="BA76" i="6" s="1"/>
  <c r="BB75" i="6" s="1"/>
  <c r="BB22" i="6"/>
  <c r="BB41" i="6" l="1"/>
  <c r="BB72" i="6" s="1"/>
  <c r="BB76" i="6" s="1"/>
  <c r="BC75" i="6" s="1"/>
  <c r="BC22" i="6"/>
  <c r="BC41" i="6" s="1"/>
  <c r="BC72" i="6" s="1"/>
  <c r="BC76" i="6" l="1"/>
  <c r="BD75" i="6" s="1"/>
  <c r="BD76" i="6" s="1"/>
  <c r="BE75" i="6" s="1"/>
  <c r="BE76" i="6" s="1"/>
  <c r="BF75" i="6" s="1"/>
  <c r="BF76" i="6" s="1"/>
  <c r="BG75" i="6" s="1"/>
  <c r="BG76" i="6" s="1"/>
  <c r="BH75" i="6" s="1"/>
  <c r="BH76" i="6" s="1"/>
  <c r="BI75" i="6" s="1"/>
  <c r="BI76" i="6" s="1"/>
  <c r="M76" i="6" s="1"/>
  <c r="L22" i="6"/>
  <c r="L41" i="6" s="1"/>
  <c r="L72" i="6" s="1"/>
  <c r="L76" i="6" s="1"/>
  <c r="M75" i="6" s="1"/>
  <c r="L16" i="4"/>
  <c r="L15" i="4" s="1"/>
  <c r="BE20" i="4"/>
  <c r="L20" i="4" s="1"/>
  <c r="BE15" i="4"/>
  <c r="BE17" i="4"/>
  <c r="L17" i="4" l="1"/>
</calcChain>
</file>

<file path=xl/sharedStrings.xml><?xml version="1.0" encoding="utf-8"?>
<sst xmlns="http://schemas.openxmlformats.org/spreadsheetml/2006/main" count="440" uniqueCount="204">
  <si>
    <t>Receitas (despesas) operacionais</t>
  </si>
  <si>
    <t>Resultado financeiro</t>
  </si>
  <si>
    <t>Impostos e contribuições sociais</t>
  </si>
  <si>
    <t>Promoção de Eventos</t>
  </si>
  <si>
    <t>Música ao Vivo</t>
  </si>
  <si>
    <t>Número de Eventos</t>
  </si>
  <si>
    <t>Receita Líquida</t>
  </si>
  <si>
    <t>Música Ao Vivo</t>
  </si>
  <si>
    <t>Eventos Família e Teatro</t>
  </si>
  <si>
    <t>Eventos Esportivos</t>
  </si>
  <si>
    <t>Ticketing, A&amp;B e Venues</t>
  </si>
  <si>
    <t>Patrocínios</t>
  </si>
  <si>
    <t>Lucro Bruto</t>
  </si>
  <si>
    <t>Margem Bruta (%)</t>
  </si>
  <si>
    <t>Margem Líquida (%)</t>
  </si>
  <si>
    <t>Resultado Líquido</t>
  </si>
  <si>
    <t>Ingressos Vendidos (000)</t>
  </si>
  <si>
    <t>Preço Médio (R$)</t>
  </si>
  <si>
    <t>Total - Número de Eventos</t>
  </si>
  <si>
    <t>Total - Ingressos Vendidos (000)</t>
  </si>
  <si>
    <t>(Em R$ milhões, exceto se de outra forma indicado)</t>
  </si>
  <si>
    <t>ATIVO CIRCULANTE</t>
  </si>
  <si>
    <t xml:space="preserve">Caixa e equivalentes de caixa </t>
  </si>
  <si>
    <t xml:space="preserve">Caixa restrito </t>
  </si>
  <si>
    <t>Contas a receber de clientes</t>
  </si>
  <si>
    <t>Estoques</t>
  </si>
  <si>
    <t>Impostos a recuperar</t>
  </si>
  <si>
    <t>Adiantamento a fornecedores</t>
  </si>
  <si>
    <t>Outras contas a receber</t>
  </si>
  <si>
    <t>ATIVO NÃO CIRCULANTE</t>
  </si>
  <si>
    <t>Realizável a longo prazo</t>
  </si>
  <si>
    <t>Imposto de renda e contribuição social diferidos</t>
  </si>
  <si>
    <t>Depósitos judiciais</t>
  </si>
  <si>
    <t>Partes relacionadas</t>
  </si>
  <si>
    <t>Imobilizado</t>
  </si>
  <si>
    <t>Ágio na aquisição de investimentos</t>
  </si>
  <si>
    <t>Outros Intangíveis</t>
  </si>
  <si>
    <t>TOTAL DO ATIVO</t>
  </si>
  <si>
    <t>PASSIVO CIRCULANTE</t>
  </si>
  <si>
    <t>Fornecedores</t>
  </si>
  <si>
    <t>Empréstimos e financiamentos</t>
  </si>
  <si>
    <t>Salários, provisões e encargos sociais</t>
  </si>
  <si>
    <t>Pagamentos baseados em ações</t>
  </si>
  <si>
    <t>Impostos e contribuições a recolher</t>
  </si>
  <si>
    <t>Adiantamentos de clientes</t>
  </si>
  <si>
    <t>Patrocínios - Lei de Incentivo à Cultura</t>
  </si>
  <si>
    <t>Dividendos a pagar</t>
  </si>
  <si>
    <t>Provisão para riscos tributários, cíveis e trabalhistas</t>
  </si>
  <si>
    <t>Outras obrigações</t>
  </si>
  <si>
    <t>PASSIVO NÃO CIRCULANTE</t>
  </si>
  <si>
    <t xml:space="preserve">Empréstimos e financiamentos </t>
  </si>
  <si>
    <t>Adiantamento de clientes</t>
  </si>
  <si>
    <t>PATRIMÔNIO LÍQUIDO</t>
  </si>
  <si>
    <t>Capital social</t>
  </si>
  <si>
    <t>Reserva de capital</t>
  </si>
  <si>
    <t>Reserva legal</t>
  </si>
  <si>
    <t>Reserva de reavaliação</t>
  </si>
  <si>
    <t>Reserva de retenção de lucros</t>
  </si>
  <si>
    <t>Dividendos adicionais propostos</t>
  </si>
  <si>
    <t>TOTAL DO PASSIVO E PATRIMÔNIO LÍQUIDO</t>
  </si>
  <si>
    <t>Gastos com emissão de ações</t>
  </si>
  <si>
    <t>Em R$ milhões, exceto se de outra forma indicado)</t>
  </si>
  <si>
    <t>FLUXO DE CAIXA DAS ATIVIDADES OPERACIONAIS</t>
  </si>
  <si>
    <t>Depreciação e amortização</t>
  </si>
  <si>
    <t>Custo residual de ativo imobilizado baixado</t>
  </si>
  <si>
    <t>Constituição (reversão) de créditos de liquidação duvidosa</t>
  </si>
  <si>
    <t xml:space="preserve">Impostos a recuperar </t>
  </si>
  <si>
    <t>Pagamentos de processos tributários, cíveis e trabalhistas</t>
  </si>
  <si>
    <t>Outras obrigações e contas a pagar</t>
  </si>
  <si>
    <t>FLUXO DE CAIXA DAS ATIVIDADES DE INVESTIMENTO</t>
  </si>
  <si>
    <t>Aquisição de imobilizado e intangível</t>
  </si>
  <si>
    <t>Caixa líquido aplicado nas atividades de investimento</t>
  </si>
  <si>
    <t>FLUXO DE CAIXA DAS ATIVIDADES DE FINANCIAMENTO</t>
  </si>
  <si>
    <t>Gastos na emissão de ações</t>
  </si>
  <si>
    <t>Pagamento de debêntures - principal</t>
  </si>
  <si>
    <t>Pagamento de debêntures - juros</t>
  </si>
  <si>
    <t>VARIAÇÃO CAMBIAL SOBRE CAIXA E EQUIVALENTES DE CAIXA</t>
  </si>
  <si>
    <t>AUMENTO (REDUÇÃO) DO SALDO DE CAIXA E EQUIVALENTES DE CAIXA</t>
  </si>
  <si>
    <t>CAIXA E EQUIVALENTES DE CAIXA</t>
  </si>
  <si>
    <t>Saldo inicial</t>
  </si>
  <si>
    <t>Saldo final</t>
  </si>
  <si>
    <t>1T10</t>
  </si>
  <si>
    <t>2T10</t>
  </si>
  <si>
    <t>3T10</t>
  </si>
  <si>
    <t>4T10</t>
  </si>
  <si>
    <t>1T11</t>
  </si>
  <si>
    <t>2T11</t>
  </si>
  <si>
    <t>3T11</t>
  </si>
  <si>
    <t>4T11</t>
  </si>
  <si>
    <t>1T12</t>
  </si>
  <si>
    <t>2T12</t>
  </si>
  <si>
    <t>3T12</t>
  </si>
  <si>
    <t>4T12</t>
  </si>
  <si>
    <t>Lucro (prejuízo) líquido do exercício</t>
  </si>
  <si>
    <t>Equivalência patrimonial</t>
  </si>
  <si>
    <t xml:space="preserve">Encargos financeiros e variação cambial sobre saldos com controladas, </t>
  </si>
  <si>
    <t>financiamentos, empréstimos, debêntures e obrigações fiscais</t>
  </si>
  <si>
    <t>Constituição (reversão) de provisão para riscos tributários, cíveis e trabalhistas</t>
  </si>
  <si>
    <t>(Aumento) redução nos ativos e aumento (redução) nos passivos operacionais:</t>
  </si>
  <si>
    <t>Custos antecipados</t>
  </si>
  <si>
    <t>Pagamentos de imposto de renda e contribuição social</t>
  </si>
  <si>
    <t>Recebimento de dividendos de controladas</t>
  </si>
  <si>
    <t>Aquisição de participação na controlada Aurolights</t>
  </si>
  <si>
    <t>Aumento de capital  em controladas</t>
  </si>
  <si>
    <t>Aumento de capital - emissão de novas ações</t>
  </si>
  <si>
    <t>Pagamentos de dividendos</t>
  </si>
  <si>
    <t xml:space="preserve">Contratação de empréstimos, financiamentos </t>
  </si>
  <si>
    <t xml:space="preserve">Pagamento de empréstimos, financiamentos </t>
  </si>
  <si>
    <t>Emissão de debêntures</t>
  </si>
  <si>
    <t>Intangível</t>
  </si>
  <si>
    <t>Comentários Gerais:</t>
  </si>
  <si>
    <t>Contato:</t>
  </si>
  <si>
    <t>ri@t4f.com.br</t>
  </si>
  <si>
    <t>Telefones:</t>
  </si>
  <si>
    <t>BALANÇO PATRIMONIAL</t>
  </si>
  <si>
    <t>Exercício encerrado em</t>
  </si>
  <si>
    <t>DEMONSTRAÇÃO DE FLUXO DE CAIXA</t>
  </si>
  <si>
    <t>DEMONSTRAÇÃO DO RESULTADO</t>
  </si>
  <si>
    <t>Ajustes para reconciliar o resultado líquido do exercício com o caixa líquido gerado pelas (aplicado nas) atividades operacionais:</t>
  </si>
  <si>
    <t>Exercício social encerrado</t>
  </si>
  <si>
    <t>Total do Endividamento</t>
  </si>
  <si>
    <t>Endividamento Líquido</t>
  </si>
  <si>
    <t>Disponibilidades e Aplicações Financeiras*</t>
  </si>
  <si>
    <t>Empréstimos e Financiamentos</t>
  </si>
  <si>
    <t>Curto Prazo</t>
  </si>
  <si>
    <t>Longo Prazo</t>
  </si>
  <si>
    <t>EBITDA</t>
  </si>
  <si>
    <t>1T13</t>
  </si>
  <si>
    <t>Margem EBITDA (%)</t>
  </si>
  <si>
    <t>2T13</t>
  </si>
  <si>
    <t>Custo dos Serviços Prestados e Produtos Vendidos</t>
  </si>
  <si>
    <t>Resultados abrangentes</t>
  </si>
  <si>
    <t>Partic. de acionistas não controladores no PL controladas</t>
  </si>
  <si>
    <t>(Caixa) Dívida Líquida</t>
  </si>
  <si>
    <t>(Caixa) Dívida Líquida/EBITDA</t>
  </si>
  <si>
    <t>3T13</t>
  </si>
  <si>
    <t>4T13</t>
  </si>
  <si>
    <t>Aquisição de ações próprias</t>
  </si>
  <si>
    <t>Aquisição de participação na controlada Vicar</t>
  </si>
  <si>
    <t>Caixa líquido aplicado nas atividades operacionais</t>
  </si>
  <si>
    <t>Caixa líquido aplicado nas atividades de financiamento</t>
  </si>
  <si>
    <t>Ações em tesouraria</t>
  </si>
  <si>
    <t>1T14</t>
  </si>
  <si>
    <t>2T14</t>
  </si>
  <si>
    <t>3T14</t>
  </si>
  <si>
    <t>4T14</t>
  </si>
  <si>
    <t>Perdas por redução ao valor recuperavel do ágio</t>
  </si>
  <si>
    <t>1T15</t>
  </si>
  <si>
    <t>2T15</t>
  </si>
  <si>
    <t>3T15</t>
  </si>
  <si>
    <t>4T15</t>
  </si>
  <si>
    <t>1T16</t>
  </si>
  <si>
    <t>Aplicações Financeiras</t>
  </si>
  <si>
    <t>2T16</t>
  </si>
  <si>
    <t>3T16</t>
  </si>
  <si>
    <t>4T16</t>
  </si>
  <si>
    <t>1T17</t>
  </si>
  <si>
    <t>2T17</t>
  </si>
  <si>
    <t>3T17</t>
  </si>
  <si>
    <t>4T17</t>
  </si>
  <si>
    <t>Aplicação Financeira</t>
  </si>
  <si>
    <t>Aplicações financeiras</t>
  </si>
  <si>
    <t>Resultado na incorporação de empresa controlada Aurolights</t>
  </si>
  <si>
    <t>1T18</t>
  </si>
  <si>
    <t>2T18</t>
  </si>
  <si>
    <t>3T18</t>
  </si>
  <si>
    <t xml:space="preserve"> </t>
  </si>
  <si>
    <t>4T18</t>
  </si>
  <si>
    <t>1T19</t>
  </si>
  <si>
    <t>Pagamento de passivos de arrendamento - juros</t>
  </si>
  <si>
    <t>Ganho com valor justo de instrumentos financeiros</t>
  </si>
  <si>
    <t>Perdas com investimentos</t>
  </si>
  <si>
    <t>2T19</t>
  </si>
  <si>
    <t>Pagamento de passivos de arrendamento - principal</t>
  </si>
  <si>
    <t>3T19</t>
  </si>
  <si>
    <t>31 Dezembro de</t>
  </si>
  <si>
    <t>em 31 Dezembro de</t>
  </si>
  <si>
    <t>4T19</t>
  </si>
  <si>
    <t>1T20</t>
  </si>
  <si>
    <t>Bens de direIto de uso</t>
  </si>
  <si>
    <t>Passivo de arrendamento</t>
  </si>
  <si>
    <t>Provisão para perdas em investimentos em controladas</t>
  </si>
  <si>
    <t>Passivo de Arrendamento</t>
  </si>
  <si>
    <t>2T20</t>
  </si>
  <si>
    <t>3T20</t>
  </si>
  <si>
    <t>Efeito de economias hiperinflacionárias</t>
  </si>
  <si>
    <t>Venda de participação na controlada Vicar</t>
  </si>
  <si>
    <t>Adição de ativo imobilizado pela aquisição de controlada</t>
  </si>
  <si>
    <t>(11) 3576-1370</t>
  </si>
  <si>
    <t>4T20</t>
  </si>
  <si>
    <t>EBITDA Ajustado (excl. efeitos não-recorrentes)</t>
  </si>
  <si>
    <t>Margem EBITDA ajustada (excl. efeitos não-recorrentes)</t>
  </si>
  <si>
    <t>Margem Líquida (excl. efeitos não-recorrentes)</t>
  </si>
  <si>
    <t>Resultado Líquido (excl. efeitos não-recorrentes)</t>
  </si>
  <si>
    <t>1T21</t>
  </si>
  <si>
    <t>2T21</t>
  </si>
  <si>
    <t>Dados Financeiros da T4F Entretenimento S.A. (B3: SHOW3)</t>
  </si>
  <si>
    <t>3T21</t>
  </si>
  <si>
    <t>4T21</t>
  </si>
  <si>
    <t>Tributos a recuperar</t>
  </si>
  <si>
    <t>O sumário das demonstrações financeiras relativas aos exercícios sociais encerrados em 31 de dezembro de 2010, 2011, 2012, 2013, 2014, 2015, 2016, 2017, 2018, 2019, 2020 e 2021 foi extraído de nossas demonstrações financeiras consolidadas auditadas pela Deloitte, PricewaterhouseCoopers ou Ernst &amp; Young com referência aos exercícios sociais encerrados em 31 de dezembro de 2010, 2011, 2012, 2013, 2014, 2015, 2016, 2017, 2018, 2019, 2020 e 2021. O sumário das demonstrações financeiras consolidadas para os períodos de três meses foi extraído de nossas demonstrações financeiras consolidadas não auditadas, incluídas nestas Planilhas, as quais foram objeto de revisão limitada pela Ernst &amp; Young. Alguns dos percentuais e outros valores incluídos nestas Planilhas foram arredondados para facilitar a apresentação. Portanto, alguns dos totais constantes das tabelas aqui apresentadas podem não representar uma soma exata dos valores que os precedem. A leitura desse material não substitui a leitura dos Demonstrativos Financeiros Consolidados e Auditados da T4F Entretenimento S.A., disponíveis no site da CVM - Comissão de Valores Mobiliários - www.cvm.gov.br, e no site da T4F S.A. - http://ri.t4f.com.br/</t>
  </si>
  <si>
    <t>*Inclui caixa restrito</t>
  </si>
  <si>
    <t>1T22</t>
  </si>
  <si>
    <t>(Período: 01/01/2010 a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</si>
</sst>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5">
    <numFmt numFmtId="41" formatCode="_(* #,##0_);_(* \(#,##0\);_(* &quot;-&quot;_);_(@_)"/>
    <numFmt numFmtId="43" formatCode="_(* #,##0.00_);_(* \(#,##0.00\);_(* &quot;-&quot;??_);_(@_)"/>
    <numFmt numFmtId="164" formatCode="_-* #,##0_-;\-* #,##0_-;_-* &quot;-&quot;_-;_-@_-"/>
    <numFmt numFmtId="165" formatCode="_-* #,##0.00_-;\-* #,##0.00_-;_-* &quot;-&quot;??_-;_-@_-"/>
    <numFmt numFmtId="166" formatCode="_([$€]* #,##0.00_);_([$€]* \(#,##0.00\);_([$€]* &quot;-&quot;??_);_(@_)"/>
    <numFmt numFmtId="167" formatCode="_(* #,##0_);_(* \(#,##0\);_(* &quot;-&quot;??_);_(@_)"/>
    <numFmt numFmtId="168" formatCode="0.0%"/>
    <numFmt numFmtId="169" formatCode="[$-416]mmmm\-yy;@"/>
    <numFmt numFmtId="170" formatCode="General_)"/>
    <numFmt numFmtId="171" formatCode="_(* #,##0.0_);_(* \(#,##0.0\);_(* &quot;-&quot;?_);@_)"/>
    <numFmt numFmtId="172" formatCode="&quot;\&quot;#,##0.00;[Red]\-&quot;\&quot;#,##0.00"/>
    <numFmt numFmtId="173" formatCode="0.000_)"/>
    <numFmt numFmtId="174" formatCode="_ * #,##0_-\ _F_ ;_ * #,##0\-\ _F_ ;_ * &quot;-&quot;??_-\ _F_ ;_ @_ "/>
    <numFmt numFmtId="175" formatCode="_._.* #,##0.0_)_%;_._.* \(#,##0.0\)_%;_._.* \ .0_)_%"/>
    <numFmt numFmtId="176" formatCode="_._.* #,##0.000_)_%;_._.* \(#,##0.000\)_%;_._.* \ .000_)_%"/>
    <numFmt numFmtId="177" formatCode="&quot;R$&quot;#,##0_);\(&quot;R$&quot;#,##0\)"/>
    <numFmt numFmtId="178" formatCode="_([$€-2]* #,##0.00_);_([$€-2]* \(#,##0.00\);_([$€-2]* &quot;-&quot;??_)"/>
    <numFmt numFmtId="179" formatCode="#,##0.000_ ;[Red]\-#,##0.000\ "/>
    <numFmt numFmtId="180" formatCode="0.0000000000000"/>
    <numFmt numFmtId="181" formatCode="_._.&quot;R$ &quot;* #,##0.0_)_%;_._.&quot;R$ &quot;* \(#,##0.0\)_%;_._.&quot;R$ &quot;* \ .0_)_%"/>
    <numFmt numFmtId="182" formatCode="&quot;R$ &quot;* #,##0.00_);&quot;R$ &quot;* \(#,##0.00\)"/>
    <numFmt numFmtId="183" formatCode="_._.&quot;R$ &quot;* #,##0.000_)_%;_._.&quot;R$ &quot;* \(#,##0.000\)_%;_._.&quot;R$ &quot;* \ .000_)_%"/>
    <numFmt numFmtId="184" formatCode="#,##0.0_);\(#,##0.0\)"/>
    <numFmt numFmtId="185" formatCode="\$#,##0\ ;\(\$#,##0\)"/>
    <numFmt numFmtId="186" formatCode="mmmm\ d\,\ yyyy"/>
    <numFmt numFmtId="187" formatCode=";;;"/>
    <numFmt numFmtId="188" formatCode="#,##0.00_ ;\-#,##0.00\ "/>
    <numFmt numFmtId="189" formatCode="_ * #,##0.00_ ;_ * \-#,##0.00_ ;_ * &quot;-&quot;??_ ;_ @_ "/>
    <numFmt numFmtId="190" formatCode="_ * #,##0_-\ _F_ ;_ * #,##0\-\ _F_ ;_ * &quot;-&quot;_-\ _F_ ;_ @_ "/>
    <numFmt numFmtId="191" formatCode="_ * #,##0.00_-\ _F_ ;_ * #,##0.00\-\ _F_ ;_ * &quot;-&quot;??_-\ _F_ ;_ @_ "/>
    <numFmt numFmtId="192" formatCode="_(* #,##0.0_);_(* \(#,##0.0\);_(* &quot;-&quot;??_);_(@_)"/>
    <numFmt numFmtId="193" formatCode="_(&quot;$&quot;* #,##0.00_);_(&quot;$&quot;* \(#,##0.00\);_(&quot;$&quot;* &quot;-&quot;??_);_(@_)"/>
    <numFmt numFmtId="194" formatCode="#,##0&quot; Pts&quot;;[Red]\-#,##0&quot; Pts&quot;"/>
    <numFmt numFmtId="195" formatCode="_ &quot;$&quot;\ * #,##0.00_ ;_ &quot;$&quot;\ * \-#,##0.00_ ;_ &quot;$&quot;\ * &quot;-&quot;??_ ;_ @_ "/>
    <numFmt numFmtId="196" formatCode="_(&quot;$&quot;* #,##0_);_(&quot;$&quot;* \(#,##0\);_(&quot;$&quot;* &quot;-&quot;_);_(@_)"/>
    <numFmt numFmtId="197" formatCode="0.00_)"/>
    <numFmt numFmtId="198" formatCode="0.000"/>
    <numFmt numFmtId="199" formatCode="_(0_)%;\(0\)%;\ \ _)\%"/>
    <numFmt numFmtId="200" formatCode="_._._(* 0_)%;_._.\(* 0\)%;_._._(* \ _)\%"/>
    <numFmt numFmtId="201" formatCode="#,##0.00\ &quot;Esc.&quot;;\-#,##0.00\ &quot;Esc.&quot;"/>
    <numFmt numFmtId="202" formatCode="0%_);\(0%\)"/>
    <numFmt numFmtId="203" formatCode="_(0.0_)%;\(0.0\)%;\ \ .0_)%"/>
    <numFmt numFmtId="204" formatCode="_._._(* 0.0_)%;_._.\(* 0.0\)%;_._._(* \ .0_)%"/>
    <numFmt numFmtId="205" formatCode="_(0.00_)%;\(0.00\)%;\ \ .00_)%"/>
    <numFmt numFmtId="206" formatCode="_._._(* 0.00_)%;_._.\(* 0.00\)%;_._._(* \ .00_)%"/>
    <numFmt numFmtId="207" formatCode="_(0.000_)%;\(0.000\)%;\ \ .000_)%"/>
    <numFmt numFmtId="208" formatCode="_._._(* 0.000_)%;_._.\(* 0.000\)%;_._._(* \ .000_)%"/>
    <numFmt numFmtId="209" formatCode="dd/mm/yy;@"/>
    <numFmt numFmtId="210" formatCode="d/m/yy\ h:mm;@"/>
    <numFmt numFmtId="211" formatCode="_-&quot;£&quot;* #,##0_-;\-&quot;£&quot;* #,##0_-;_-&quot;£&quot;* &quot;-&quot;_-;_-@_-"/>
    <numFmt numFmtId="212" formatCode="_-&quot;£&quot;* #,##0.00_-;\-&quot;£&quot;* #,##0.00_-;_-&quot;£&quot;* &quot;-&quot;??_-;_-@_-"/>
    <numFmt numFmtId="213" formatCode="_-* #,##0\ &quot;zł&quot;_-;\-* #,##0\ &quot;zł&quot;_-;_-* &quot;-&quot;\ &quot;zł&quot;_-;_-@_-"/>
    <numFmt numFmtId="214" formatCode="_-* #,##0.00\ &quot;zł&quot;_-;\-* #,##0.00\ &quot;zł&quot;_-;_-* &quot;-&quot;??\ &quot;zł&quot;_-;_-@_-"/>
    <numFmt numFmtId="215" formatCode="_(* #,##0_);_(* \(#,##0\);_(* \ _)"/>
    <numFmt numFmtId="216" formatCode="_(* #,##0.0_);_(* \(#,##0.0\);_(* \ .0_)"/>
    <numFmt numFmtId="217" formatCode="_(* #,##0.00_);_(* \(#,##0.00\);_(* \ .00_)"/>
    <numFmt numFmtId="218" formatCode="_(* #,##0.000_);_(* \(#,##0.000\);_(* \ .000_)"/>
    <numFmt numFmtId="219" formatCode="_(&quot;R$ &quot;* #,##0_);_(&quot;R$ &quot;* \(#,##0\);_(&quot;R$ &quot;* \ _)"/>
    <numFmt numFmtId="220" formatCode="_(&quot;R$ &quot;* #,##0.0_);_(&quot;R$ &quot;* \(#,##0.0\);_(&quot;R$ &quot;* \ .0_)"/>
    <numFmt numFmtId="221" formatCode="_(&quot;R$ &quot;* #,##0.00_);_(&quot;R$ &quot;* \(#,##0.00\);_(&quot;R$ &quot;* \ .00_)"/>
    <numFmt numFmtId="222" formatCode="_(&quot;R$ &quot;* #,##0.000_);_(&quot;R$ &quot;* \(#,##0.000\);_(&quot;R$ &quot;* \ .000_)"/>
    <numFmt numFmtId="223" formatCode="_ * #,##0_ ;_ * \-#,##0_ ;_ * &quot;-&quot;_ ;_ @_ "/>
    <numFmt numFmtId="224" formatCode="_-&quot;\&quot;* #,##0_-;&quot;\&quot;\-&quot;\&quot;* #,##0_-;_-&quot;\&quot;* &quot;-&quot;_-;_-@_-"/>
    <numFmt numFmtId="225" formatCode="_-&quot;\&quot;* #,##0.00_-;&quot;\&quot;\-&quot;\&quot;* #,##0.00_-;_-&quot;\&quot;* &quot;-&quot;??_-;_-@_-"/>
    <numFmt numFmtId="226" formatCode="_ &quot;￥&quot;* #,##0_ ;_ &quot;￥&quot;* \-#,##0_ ;_ &quot;￥&quot;* &quot;-&quot;_ ;_ @_ "/>
    <numFmt numFmtId="227" formatCode="_ &quot;￥&quot;* #,##0.00_ ;_ &quot;￥&quot;* \-#,##0.00_ ;_ &quot;￥&quot;* &quot;-&quot;??_ ;_ @_ "/>
    <numFmt numFmtId="228" formatCode="_-* #,##0_-;&quot;\&quot;\-* #,##0_-;_-* &quot;-&quot;_-;_-@_-"/>
    <numFmt numFmtId="229" formatCode="_-* #,##0.00_-;&quot;\&quot;\-* #,##0.00_-;_-* &quot;-&quot;??_-;_-@_-"/>
    <numFmt numFmtId="230" formatCode="_(* #,##0.0_);_(* \(#,##0.0\);_(* &quot;-&quot;_);_(@_)"/>
    <numFmt numFmtId="231" formatCode="_(* #,##0.000_);_(* \(#,##0.000\);_(* &quot;-&quot;_);_(@_)"/>
    <numFmt numFmtId="232" formatCode="_-* #,##0.0_-;\-* #,##0.0_-;_-* &quot;-&quot;??_-;_-@_-"/>
    <numFmt numFmtId="233" formatCode="_-* #,##0_-;\-* #,##0_-;_-* &quot;-&quot;??_-;_-@_-"/>
    <numFmt numFmtId="234" formatCode="_(* #,##0.000_);_(* \(#,##0.000\);_(* &quot;-&quot;??_);_(@_)"/>
    <numFmt numFmtId="235" formatCode="0.0"/>
    <numFmt numFmtId="236" formatCode="0.0_);\(0.0\)"/>
  </numFmts>
  <fonts count="1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i/>
      <sz val="10"/>
      <name val="Book Antiqua"/>
      <family val="1"/>
    </font>
    <font>
      <sz val="11"/>
      <color indexed="8"/>
      <name val="Calibri"/>
      <family val="2"/>
    </font>
    <font>
      <sz val="10"/>
      <color theme="1"/>
      <name val="Calibri"/>
      <family val="2"/>
    </font>
    <font>
      <sz val="11"/>
      <color indexed="9"/>
      <name val="Calibri"/>
      <family val="2"/>
    </font>
    <font>
      <sz val="10"/>
      <color theme="0"/>
      <name val="Calibri"/>
      <family val="2"/>
    </font>
    <font>
      <sz val="9"/>
      <color indexed="10"/>
      <name val="Geneva"/>
      <family val="2"/>
    </font>
    <font>
      <sz val="12"/>
      <name val="Tms Rmn"/>
    </font>
    <font>
      <b/>
      <sz val="12"/>
      <color indexed="8"/>
      <name val="Courier"/>
      <family val="3"/>
    </font>
    <font>
      <sz val="10"/>
      <color indexed="11"/>
      <name val="Arial"/>
      <family val="2"/>
    </font>
    <font>
      <sz val="11"/>
      <color indexed="20"/>
      <name val="Calibri"/>
      <family val="2"/>
    </font>
    <font>
      <sz val="11"/>
      <color indexed="17"/>
      <name val="Calibri"/>
      <family val="2"/>
    </font>
    <font>
      <sz val="10"/>
      <color rgb="FF006100"/>
      <name val="Calibri"/>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0"/>
      <color rgb="FFFA7D00"/>
      <name val="Calibri"/>
      <family val="2"/>
    </font>
    <font>
      <b/>
      <sz val="11"/>
      <color indexed="9"/>
      <name val="Calibri"/>
      <family val="2"/>
    </font>
    <font>
      <sz val="11"/>
      <color indexed="52"/>
      <name val="Calibri"/>
      <family val="2"/>
    </font>
    <font>
      <b/>
      <sz val="10"/>
      <color theme="0"/>
      <name val="Calibri"/>
      <family val="2"/>
    </font>
    <font>
      <sz val="10"/>
      <color rgb="FFFA7D00"/>
      <name val="Calibri"/>
      <family val="2"/>
    </font>
    <font>
      <b/>
      <sz val="10"/>
      <name val="Arial"/>
      <family val="2"/>
    </font>
    <font>
      <b/>
      <sz val="11"/>
      <name val="Arial"/>
      <family val="2"/>
    </font>
    <font>
      <b/>
      <sz val="8"/>
      <name val="Arial"/>
      <family val="2"/>
    </font>
    <font>
      <sz val="11"/>
      <name val="Tms Rmn"/>
      <family val="1"/>
    </font>
    <font>
      <sz val="11"/>
      <name val="Times New Roman"/>
      <family val="1"/>
    </font>
    <font>
      <sz val="11"/>
      <name val="New Times Roman"/>
    </font>
    <font>
      <u val="singleAccounting"/>
      <sz val="11"/>
      <name val="Times New Roman"/>
      <family val="1"/>
    </font>
    <font>
      <sz val="10"/>
      <name val="Comic Sans MS"/>
      <family val="4"/>
    </font>
    <font>
      <sz val="10"/>
      <name val="Times New Roman"/>
      <family val="1"/>
    </font>
    <font>
      <sz val="10"/>
      <color indexed="24"/>
      <name val="Arial"/>
      <family val="2"/>
    </font>
    <font>
      <sz val="10"/>
      <name val="Helv"/>
    </font>
    <font>
      <b/>
      <sz val="14"/>
      <name val="Arial"/>
      <family val="2"/>
    </font>
    <font>
      <sz val="11"/>
      <name val="StoneSerif"/>
    </font>
    <font>
      <b/>
      <sz val="11"/>
      <color indexed="56"/>
      <name val="Calibri"/>
      <family val="2"/>
    </font>
    <font>
      <sz val="11"/>
      <color indexed="62"/>
      <name val="Calibri"/>
      <family val="2"/>
    </font>
    <font>
      <sz val="10"/>
      <color rgb="FF3F3F76"/>
      <name val="Calibri"/>
      <family val="2"/>
    </font>
    <font>
      <b/>
      <i/>
      <sz val="11"/>
      <color indexed="10"/>
      <name val="Arial"/>
      <family val="2"/>
    </font>
    <font>
      <sz val="12"/>
      <name val="Arial"/>
      <family val="2"/>
    </font>
    <font>
      <sz val="10"/>
      <name val="Bookman Old Style"/>
      <family val="1"/>
    </font>
    <font>
      <i/>
      <sz val="11"/>
      <color indexed="23"/>
      <name val="Calibri"/>
      <family val="2"/>
    </font>
    <font>
      <u/>
      <sz val="6"/>
      <color indexed="36"/>
      <name val="Arial"/>
      <family val="2"/>
    </font>
    <font>
      <b/>
      <sz val="12"/>
      <name val="Arial"/>
      <family val="2"/>
    </font>
    <font>
      <b/>
      <sz val="15"/>
      <color indexed="56"/>
      <name val="Calibri"/>
      <family val="2"/>
    </font>
    <font>
      <b/>
      <sz val="13"/>
      <color indexed="56"/>
      <name val="Calibri"/>
      <family val="2"/>
    </font>
    <font>
      <u/>
      <sz val="11"/>
      <color indexed="12"/>
      <name val="Calibri"/>
      <family val="2"/>
    </font>
    <font>
      <u/>
      <sz val="9"/>
      <color indexed="12"/>
      <name val="Arial"/>
      <family val="2"/>
    </font>
    <font>
      <sz val="10"/>
      <color rgb="FF9C0006"/>
      <name val="Calibri"/>
      <family val="2"/>
    </font>
    <font>
      <sz val="10"/>
      <name val="Courier"/>
      <family val="3"/>
    </font>
    <font>
      <sz val="10"/>
      <name val="Tahoma"/>
      <family val="2"/>
    </font>
    <font>
      <b/>
      <sz val="10"/>
      <color indexed="16"/>
      <name val="Arial"/>
      <family val="2"/>
    </font>
    <font>
      <sz val="10"/>
      <name val="MS Sans Serif"/>
      <family val="2"/>
    </font>
    <font>
      <sz val="11"/>
      <color indexed="60"/>
      <name val="Calibri"/>
      <family val="2"/>
    </font>
    <font>
      <sz val="10"/>
      <color rgb="FF9C6500"/>
      <name val="Calibri"/>
      <family val="2"/>
    </font>
    <font>
      <sz val="7"/>
      <name val="Small Fonts"/>
      <family val="2"/>
    </font>
    <font>
      <b/>
      <i/>
      <sz val="16"/>
      <name val="Helv"/>
    </font>
    <font>
      <sz val="8"/>
      <name val="Courier New"/>
      <family val="3"/>
    </font>
    <font>
      <sz val="11"/>
      <color theme="1"/>
      <name val="Calibri"/>
      <family val="2"/>
    </font>
    <font>
      <sz val="10"/>
      <color theme="1"/>
      <name val="Arial"/>
      <family val="2"/>
    </font>
    <font>
      <sz val="10"/>
      <name val="Arial CE"/>
    </font>
    <font>
      <sz val="11"/>
      <color indexed="63"/>
      <name val="Calibri"/>
      <family val="2"/>
    </font>
    <font>
      <b/>
      <sz val="11"/>
      <color indexed="63"/>
      <name val="Calibri"/>
      <family val="2"/>
    </font>
    <font>
      <b/>
      <sz val="11"/>
      <color indexed="16"/>
      <name val="Times New Roman"/>
      <family val="1"/>
    </font>
    <font>
      <b/>
      <sz val="10"/>
      <name val="Arial CE"/>
      <family val="2"/>
      <charset val="238"/>
    </font>
    <font>
      <b/>
      <u/>
      <sz val="12"/>
      <color indexed="16"/>
      <name val="Arial"/>
      <family val="2"/>
    </font>
    <font>
      <b/>
      <sz val="10"/>
      <color rgb="FF3F3F3F"/>
      <name val="Calibri"/>
      <family val="2"/>
    </font>
    <font>
      <b/>
      <sz val="10"/>
      <name val="Verdana"/>
      <family val="2"/>
    </font>
    <font>
      <sz val="10"/>
      <name val="Verdana"/>
      <family val="2"/>
    </font>
    <font>
      <sz val="14"/>
      <name val="Verdana"/>
      <family val="2"/>
    </font>
    <font>
      <u/>
      <sz val="9"/>
      <color indexed="36"/>
      <name val="Arial"/>
      <family val="2"/>
    </font>
    <font>
      <sz val="10"/>
      <color indexed="8"/>
      <name val="MS Sans Serif"/>
      <family val="2"/>
    </font>
    <font>
      <sz val="10"/>
      <color indexed="8"/>
      <name val="Arial"/>
      <family val="2"/>
    </font>
    <font>
      <b/>
      <sz val="10"/>
      <color indexed="8"/>
      <name val="Arial"/>
      <family val="2"/>
    </font>
    <font>
      <b/>
      <sz val="10"/>
      <name val="Tahoma"/>
      <family val="2"/>
    </font>
    <font>
      <b/>
      <sz val="10"/>
      <color indexed="16"/>
      <name val="Courier"/>
      <family val="3"/>
    </font>
    <font>
      <sz val="11"/>
      <color indexed="10"/>
      <name val="Calibri"/>
      <family val="2"/>
    </font>
    <font>
      <sz val="10"/>
      <color rgb="FFFF0000"/>
      <name val="Calibri"/>
      <family val="2"/>
    </font>
    <font>
      <i/>
      <sz val="10"/>
      <color rgb="FF7F7F7F"/>
      <name val="Calibri"/>
      <family val="2"/>
    </font>
    <font>
      <b/>
      <sz val="10"/>
      <color indexed="10"/>
      <name val="Arial"/>
      <family val="2"/>
    </font>
    <font>
      <b/>
      <sz val="18"/>
      <color indexed="56"/>
      <name val="Cambria"/>
      <family val="2"/>
    </font>
    <font>
      <b/>
      <sz val="15"/>
      <color theme="3"/>
      <name val="Calibri"/>
      <family val="2"/>
    </font>
    <font>
      <b/>
      <sz val="13"/>
      <color theme="3"/>
      <name val="Calibri"/>
      <family val="2"/>
    </font>
    <font>
      <b/>
      <sz val="11"/>
      <color theme="3"/>
      <name val="Calibri"/>
      <family val="2"/>
    </font>
    <font>
      <b/>
      <sz val="11"/>
      <color indexed="8"/>
      <name val="Calibri"/>
      <family val="2"/>
    </font>
    <font>
      <b/>
      <sz val="10"/>
      <color theme="1"/>
      <name val="Calibri"/>
      <family val="2"/>
    </font>
    <font>
      <b/>
      <sz val="10"/>
      <color indexed="10"/>
      <name val="Wingdings"/>
      <charset val="2"/>
    </font>
    <font>
      <sz val="8"/>
      <color indexed="18"/>
      <name val="Times New Roman"/>
      <family val="1"/>
    </font>
    <font>
      <sz val="10"/>
      <color indexed="8"/>
      <name val="Calibri"/>
      <family val="2"/>
    </font>
    <font>
      <sz val="12"/>
      <name val="宋体"/>
      <charset val="134"/>
    </font>
    <font>
      <sz val="12"/>
      <name val="官帕眉"/>
      <charset val="134"/>
    </font>
    <font>
      <sz val="11"/>
      <name val="Book Antiqua"/>
      <family val="1"/>
    </font>
    <font>
      <sz val="8"/>
      <color theme="1"/>
      <name val="Arial"/>
      <family val="2"/>
    </font>
    <font>
      <sz val="18"/>
      <name val="Arial"/>
      <family val="2"/>
    </font>
    <font>
      <u/>
      <sz val="10"/>
      <color indexed="12"/>
      <name val="Arial"/>
      <family val="2"/>
    </font>
    <font>
      <i/>
      <sz val="10"/>
      <name val="Arial"/>
      <family val="2"/>
    </font>
    <font>
      <sz val="11"/>
      <color theme="1"/>
      <name val="Arial"/>
      <family val="2"/>
    </font>
    <font>
      <b/>
      <sz val="10"/>
      <color indexed="9"/>
      <name val="Arial"/>
      <family val="2"/>
    </font>
    <font>
      <i/>
      <sz val="10"/>
      <color indexed="8"/>
      <name val="Arial"/>
      <family val="2"/>
    </font>
    <font>
      <b/>
      <i/>
      <sz val="8"/>
      <color indexed="8"/>
      <name val="Arial"/>
      <family val="2"/>
    </font>
    <font>
      <i/>
      <sz val="8"/>
      <color indexed="8"/>
      <name val="Arial"/>
      <family val="2"/>
    </font>
    <font>
      <b/>
      <sz val="10"/>
      <color theme="1"/>
      <name val="Calibri"/>
      <family val="2"/>
      <scheme val="minor"/>
    </font>
    <font>
      <sz val="10"/>
      <color theme="1"/>
      <name val="Calibri"/>
      <family val="2"/>
      <scheme val="minor"/>
    </font>
    <font>
      <sz val="10"/>
      <name val="Calibri"/>
      <family val="2"/>
      <scheme val="minor"/>
    </font>
    <font>
      <b/>
      <i/>
      <sz val="10"/>
      <color indexed="8"/>
      <name val="Arial"/>
      <family val="2"/>
    </font>
    <font>
      <i/>
      <sz val="8"/>
      <color theme="1"/>
      <name val="Arial"/>
      <family val="2"/>
    </font>
    <font>
      <b/>
      <i/>
      <sz val="10"/>
      <color indexed="9"/>
      <name val="Arial"/>
      <family val="2"/>
    </font>
    <font>
      <sz val="8"/>
      <name val="Calibri"/>
      <family val="2"/>
      <scheme val="minor"/>
    </font>
  </fonts>
  <fills count="6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60"/>
      </patternFill>
    </fill>
    <fill>
      <patternFill patternType="solid">
        <fgColor indexed="58"/>
      </patternFill>
    </fill>
    <fill>
      <patternFill patternType="solid">
        <fgColor indexed="9"/>
      </patternFill>
    </fill>
    <fill>
      <patternFill patternType="solid">
        <fgColor indexed="58"/>
        <bgColor indexed="64"/>
      </patternFill>
    </fill>
    <fill>
      <patternFill patternType="solid">
        <fgColor indexed="38"/>
        <bgColor indexed="64"/>
      </patternFill>
    </fill>
    <fill>
      <patternFill patternType="solid">
        <fgColor indexed="24"/>
        <bgColor indexed="64"/>
      </patternFill>
    </fill>
  </fills>
  <borders count="6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top/>
      <bottom/>
      <diagonal/>
    </border>
    <border>
      <left style="thin">
        <color indexed="8"/>
      </left>
      <right style="thin">
        <color indexed="8"/>
      </right>
      <top style="thin">
        <color indexed="8"/>
      </top>
      <bottom style="thin">
        <color indexed="8"/>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16"/>
      </right>
      <top/>
      <bottom/>
      <diagonal/>
    </border>
    <border>
      <left style="thin">
        <color indexed="52"/>
      </left>
      <right style="thin">
        <color indexed="52"/>
      </right>
      <top style="thin">
        <color indexed="52"/>
      </top>
      <bottom style="thin">
        <color indexed="52"/>
      </bottom>
      <diagonal/>
    </border>
    <border>
      <left style="thin">
        <color indexed="10"/>
      </left>
      <right style="thin">
        <color indexed="10"/>
      </right>
      <top style="thin">
        <color indexed="10"/>
      </top>
      <bottom style="thin">
        <color indexed="10"/>
      </bottom>
      <diagonal/>
    </border>
    <border>
      <left/>
      <right/>
      <top style="thin">
        <color indexed="62"/>
      </top>
      <bottom style="double">
        <color indexed="62"/>
      </bottom>
      <diagonal/>
    </border>
    <border>
      <left/>
      <right/>
      <top style="thin">
        <color indexed="9"/>
      </top>
      <bottom style="thin">
        <color indexed="9"/>
      </bottom>
      <diagonal/>
    </border>
    <border>
      <left style="thin">
        <color indexed="22"/>
      </left>
      <right style="thin">
        <color indexed="22"/>
      </right>
      <top/>
      <bottom style="thin">
        <color indexed="22"/>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bottom style="thin">
        <color indexed="9"/>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medium">
        <color indexed="64"/>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medium">
        <color indexed="64"/>
      </bottom>
      <diagonal/>
    </border>
    <border>
      <left/>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right style="medium">
        <color indexed="64"/>
      </right>
      <top style="thin">
        <color indexed="22"/>
      </top>
      <bottom/>
      <diagonal/>
    </border>
    <border>
      <left style="medium">
        <color indexed="64"/>
      </left>
      <right style="thin">
        <color indexed="22"/>
      </right>
      <top/>
      <bottom style="thin">
        <color indexed="22"/>
      </bottom>
      <diagonal/>
    </border>
    <border>
      <left/>
      <right style="medium">
        <color theme="1"/>
      </right>
      <top style="thin">
        <color indexed="22"/>
      </top>
      <bottom style="thin">
        <color indexed="22"/>
      </bottom>
      <diagonal/>
    </border>
    <border>
      <left style="thin">
        <color auto="1"/>
      </left>
      <right style="medium">
        <color auto="1"/>
      </right>
      <top style="thin">
        <color indexed="22"/>
      </top>
      <bottom style="thin">
        <color indexed="22"/>
      </bottom>
      <diagonal/>
    </border>
  </borders>
  <cellStyleXfs count="5799">
    <xf numFmtId="0" fontId="0" fillId="0" borderId="0"/>
    <xf numFmtId="43" fontId="1" fillId="0" borderId="0" applyFont="0" applyFill="0" applyBorder="0" applyAlignment="0" applyProtection="0"/>
    <xf numFmtId="166" fontId="18" fillId="0" borderId="0"/>
    <xf numFmtId="166" fontId="1" fillId="0" borderId="0"/>
    <xf numFmtId="0" fontId="18" fillId="0" borderId="0"/>
    <xf numFmtId="169" fontId="19" fillId="0" borderId="0">
      <alignment horizontal="center"/>
    </xf>
    <xf numFmtId="0" fontId="19" fillId="0" borderId="0">
      <alignment horizontal="center"/>
    </xf>
    <xf numFmtId="169" fontId="20" fillId="34" borderId="0" applyNumberFormat="0" applyBorder="0" applyAlignment="0" applyProtection="0"/>
    <xf numFmtId="0" fontId="20" fillId="34" borderId="0" applyNumberFormat="0" applyBorder="0" applyAlignment="0" applyProtection="0"/>
    <xf numFmtId="169" fontId="20" fillId="35" borderId="0" applyNumberFormat="0" applyBorder="0" applyAlignment="0" applyProtection="0"/>
    <xf numFmtId="0" fontId="20" fillId="35" borderId="0" applyNumberFormat="0" applyBorder="0" applyAlignment="0" applyProtection="0"/>
    <xf numFmtId="169" fontId="20" fillId="36" borderId="0" applyNumberFormat="0" applyBorder="0" applyAlignment="0" applyProtection="0"/>
    <xf numFmtId="0" fontId="20" fillId="36" borderId="0" applyNumberFormat="0" applyBorder="0" applyAlignment="0" applyProtection="0"/>
    <xf numFmtId="169" fontId="20" fillId="37" borderId="0" applyNumberFormat="0" applyBorder="0" applyAlignment="0" applyProtection="0"/>
    <xf numFmtId="0" fontId="20" fillId="37" borderId="0" applyNumberFormat="0" applyBorder="0" applyAlignment="0" applyProtection="0"/>
    <xf numFmtId="169" fontId="20" fillId="38" borderId="0" applyNumberFormat="0" applyBorder="0" applyAlignment="0" applyProtection="0"/>
    <xf numFmtId="0" fontId="20" fillId="38" borderId="0" applyNumberFormat="0" applyBorder="0" applyAlignment="0" applyProtection="0"/>
    <xf numFmtId="169" fontId="20" fillId="39" borderId="0" applyNumberFormat="0" applyBorder="0" applyAlignment="0" applyProtection="0"/>
    <xf numFmtId="0" fontId="20" fillId="39"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0" fillId="34"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20" fillId="34"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20" fillId="34"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21" fillId="11" borderId="0" applyNumberFormat="0" applyBorder="0" applyAlignment="0" applyProtection="0"/>
    <xf numFmtId="0" fontId="2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169"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0" fillId="3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20" fillId="3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20" fillId="3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20" fillId="3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21" fillId="15" borderId="0" applyNumberFormat="0" applyBorder="0" applyAlignment="0" applyProtection="0"/>
    <xf numFmtId="0" fontId="2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169"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0" fillId="36"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20" fillId="36"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20" fillId="36"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20" fillId="36"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21" fillId="19" borderId="0" applyNumberFormat="0" applyBorder="0" applyAlignment="0" applyProtection="0"/>
    <xf numFmtId="0" fontId="2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169"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0" fillId="37"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20" fillId="37"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20" fillId="37"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21" fillId="23" borderId="0" applyNumberFormat="0" applyBorder="0" applyAlignment="0" applyProtection="0"/>
    <xf numFmtId="0" fontId="2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169"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0" fillId="38"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20" fillId="38"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20" fillId="38"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20" fillId="38"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21" fillId="27" borderId="0" applyNumberFormat="0" applyBorder="0" applyAlignment="0" applyProtection="0"/>
    <xf numFmtId="0" fontId="2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169"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0" fillId="39"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20" fillId="39"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20" fillId="39"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20" fillId="39"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21" fillId="31" borderId="0" applyNumberFormat="0" applyBorder="0" applyAlignment="0" applyProtection="0"/>
    <xf numFmtId="0" fontId="2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169"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169" fontId="20" fillId="40" borderId="0" applyNumberFormat="0" applyBorder="0" applyAlignment="0" applyProtection="0"/>
    <xf numFmtId="0" fontId="20" fillId="40" borderId="0" applyNumberFormat="0" applyBorder="0" applyAlignment="0" applyProtection="0"/>
    <xf numFmtId="169" fontId="20" fillId="41" borderId="0" applyNumberFormat="0" applyBorder="0" applyAlignment="0" applyProtection="0"/>
    <xf numFmtId="0" fontId="20" fillId="41" borderId="0" applyNumberFormat="0" applyBorder="0" applyAlignment="0" applyProtection="0"/>
    <xf numFmtId="169" fontId="20" fillId="42" borderId="0" applyNumberFormat="0" applyBorder="0" applyAlignment="0" applyProtection="0"/>
    <xf numFmtId="0" fontId="20" fillId="42" borderId="0" applyNumberFormat="0" applyBorder="0" applyAlignment="0" applyProtection="0"/>
    <xf numFmtId="169" fontId="20" fillId="37" borderId="0" applyNumberFormat="0" applyBorder="0" applyAlignment="0" applyProtection="0"/>
    <xf numFmtId="0" fontId="20" fillId="37" borderId="0" applyNumberFormat="0" applyBorder="0" applyAlignment="0" applyProtection="0"/>
    <xf numFmtId="169" fontId="20" fillId="40" borderId="0" applyNumberFormat="0" applyBorder="0" applyAlignment="0" applyProtection="0"/>
    <xf numFmtId="0" fontId="20" fillId="40" borderId="0" applyNumberFormat="0" applyBorder="0" applyAlignment="0" applyProtection="0"/>
    <xf numFmtId="169" fontId="20" fillId="43" borderId="0" applyNumberFormat="0" applyBorder="0" applyAlignment="0" applyProtection="0"/>
    <xf numFmtId="0" fontId="20" fillId="43"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0" fillId="40"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20" fillId="40"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20" fillId="40"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20" fillId="40"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21" fillId="12" borderId="0" applyNumberFormat="0" applyBorder="0" applyAlignment="0" applyProtection="0"/>
    <xf numFmtId="0" fontId="2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169"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0" fillId="41"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20" fillId="41"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20" fillId="41"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20" fillId="41"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21" fillId="16" borderId="0" applyNumberFormat="0" applyBorder="0" applyAlignment="0" applyProtection="0"/>
    <xf numFmtId="0" fontId="2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169"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0" fillId="42"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20" fillId="42"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20" fillId="42"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20" fillId="42"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21" fillId="20" borderId="0" applyNumberFormat="0" applyBorder="0" applyAlignment="0" applyProtection="0"/>
    <xf numFmtId="0" fontId="2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169"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0" fillId="37"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20" fillId="37"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20" fillId="37"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20" fillId="37"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21" fillId="24" borderId="0" applyNumberFormat="0" applyBorder="0" applyAlignment="0" applyProtection="0"/>
    <xf numFmtId="0" fontId="2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169"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0" fillId="40"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20" fillId="40"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20" fillId="40"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20" fillId="40"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21" fillId="28" borderId="0" applyNumberFormat="0" applyBorder="0" applyAlignment="0" applyProtection="0"/>
    <xf numFmtId="0" fontId="2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169"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0" fillId="43"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20" fillId="43"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20" fillId="43"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20" fillId="43"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21" fillId="32" borderId="0" applyNumberFormat="0" applyBorder="0" applyAlignment="0" applyProtection="0"/>
    <xf numFmtId="0" fontId="2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169"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4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17" fillId="1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3" fillId="13"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17" fillId="13" borderId="0" applyNumberFormat="0" applyBorder="0" applyAlignment="0" applyProtection="0"/>
    <xf numFmtId="0" fontId="17" fillId="13" borderId="0" applyNumberFormat="0" applyBorder="0" applyAlignment="0" applyProtection="0"/>
    <xf numFmtId="169" fontId="22" fillId="44" borderId="0" applyNumberFormat="0" applyBorder="0" applyAlignment="0" applyProtection="0"/>
    <xf numFmtId="0" fontId="22" fillId="44" borderId="0" applyNumberFormat="0" applyBorder="0" applyAlignment="0" applyProtection="0"/>
    <xf numFmtId="169" fontId="23" fillId="13" borderId="0" applyNumberFormat="0" applyBorder="0" applyAlignment="0" applyProtection="0"/>
    <xf numFmtId="0" fontId="23" fillId="13" borderId="0" applyNumberFormat="0" applyBorder="0" applyAlignment="0" applyProtection="0"/>
    <xf numFmtId="169" fontId="17" fillId="17"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3" fillId="17" borderId="0" applyNumberFormat="0" applyBorder="0" applyAlignment="0" applyProtection="0"/>
    <xf numFmtId="0" fontId="23"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17" fillId="17" borderId="0" applyNumberFormat="0" applyBorder="0" applyAlignment="0" applyProtection="0"/>
    <xf numFmtId="0" fontId="17" fillId="17" borderId="0" applyNumberFormat="0" applyBorder="0" applyAlignment="0" applyProtection="0"/>
    <xf numFmtId="169" fontId="22" fillId="41" borderId="0" applyNumberFormat="0" applyBorder="0" applyAlignment="0" applyProtection="0"/>
    <xf numFmtId="0" fontId="22" fillId="41" borderId="0" applyNumberFormat="0" applyBorder="0" applyAlignment="0" applyProtection="0"/>
    <xf numFmtId="169" fontId="23" fillId="17" borderId="0" applyNumberFormat="0" applyBorder="0" applyAlignment="0" applyProtection="0"/>
    <xf numFmtId="0" fontId="23" fillId="17" borderId="0" applyNumberFormat="0" applyBorder="0" applyAlignment="0" applyProtection="0"/>
    <xf numFmtId="169" fontId="17" fillId="2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3" fillId="21" borderId="0" applyNumberFormat="0" applyBorder="0" applyAlignment="0" applyProtection="0"/>
    <xf numFmtId="0" fontId="23"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17" fillId="21" borderId="0" applyNumberFormat="0" applyBorder="0" applyAlignment="0" applyProtection="0"/>
    <xf numFmtId="0" fontId="17" fillId="21" borderId="0" applyNumberFormat="0" applyBorder="0" applyAlignment="0" applyProtection="0"/>
    <xf numFmtId="169" fontId="22" fillId="42" borderId="0" applyNumberFormat="0" applyBorder="0" applyAlignment="0" applyProtection="0"/>
    <xf numFmtId="0" fontId="22" fillId="42" borderId="0" applyNumberFormat="0" applyBorder="0" applyAlignment="0" applyProtection="0"/>
    <xf numFmtId="169" fontId="23" fillId="21" borderId="0" applyNumberFormat="0" applyBorder="0" applyAlignment="0" applyProtection="0"/>
    <xf numFmtId="0" fontId="23" fillId="21" borderId="0" applyNumberFormat="0" applyBorder="0" applyAlignment="0" applyProtection="0"/>
    <xf numFmtId="169" fontId="17" fillId="25"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5" borderId="0" applyNumberFormat="0" applyBorder="0" applyAlignment="0" applyProtection="0"/>
    <xf numFmtId="0" fontId="23"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17" fillId="25" borderId="0" applyNumberFormat="0" applyBorder="0" applyAlignment="0" applyProtection="0"/>
    <xf numFmtId="0" fontId="17" fillId="25"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5" borderId="0" applyNumberFormat="0" applyBorder="0" applyAlignment="0" applyProtection="0"/>
    <xf numFmtId="0" fontId="23" fillId="25" borderId="0" applyNumberFormat="0" applyBorder="0" applyAlignment="0" applyProtection="0"/>
    <xf numFmtId="169" fontId="17" fillId="29"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9" borderId="0" applyNumberFormat="0" applyBorder="0" applyAlignment="0" applyProtection="0"/>
    <xf numFmtId="0" fontId="23"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17" fillId="29" borderId="0" applyNumberFormat="0" applyBorder="0" applyAlignment="0" applyProtection="0"/>
    <xf numFmtId="0" fontId="17" fillId="29"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9" borderId="0" applyNumberFormat="0" applyBorder="0" applyAlignment="0" applyProtection="0"/>
    <xf numFmtId="0" fontId="23" fillId="29" borderId="0" applyNumberFormat="0" applyBorder="0" applyAlignment="0" applyProtection="0"/>
    <xf numFmtId="169" fontId="17" fillId="33"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23" fillId="33" borderId="0" applyNumberFormat="0" applyBorder="0" applyAlignment="0" applyProtection="0"/>
    <xf numFmtId="0" fontId="23"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17" fillId="33" borderId="0" applyNumberFormat="0" applyBorder="0" applyAlignment="0" applyProtection="0"/>
    <xf numFmtId="0" fontId="17" fillId="33" borderId="0" applyNumberFormat="0" applyBorder="0" applyAlignment="0" applyProtection="0"/>
    <xf numFmtId="169" fontId="22" fillId="47" borderId="0" applyNumberFormat="0" applyBorder="0" applyAlignment="0" applyProtection="0"/>
    <xf numFmtId="0" fontId="22" fillId="47" borderId="0" applyNumberFormat="0" applyBorder="0" applyAlignment="0" applyProtection="0"/>
    <xf numFmtId="169" fontId="23" fillId="33" borderId="0" applyNumberFormat="0" applyBorder="0" applyAlignment="0" applyProtection="0"/>
    <xf numFmtId="0" fontId="23" fillId="33" borderId="0" applyNumberFormat="0" applyBorder="0" applyAlignment="0" applyProtection="0"/>
    <xf numFmtId="0" fontId="22" fillId="44"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169" fontId="24" fillId="0" borderId="0"/>
    <xf numFmtId="0" fontId="24" fillId="0" borderId="0"/>
    <xf numFmtId="169" fontId="22" fillId="48" borderId="0" applyNumberFormat="0" applyBorder="0" applyAlignment="0" applyProtection="0"/>
    <xf numFmtId="0" fontId="22" fillId="48"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3" fontId="25" fillId="0" borderId="11">
      <alignment horizontal="center"/>
    </xf>
    <xf numFmtId="170" fontId="26" fillId="52" borderId="12">
      <alignment horizontal="center"/>
    </xf>
    <xf numFmtId="3" fontId="27" fillId="0" borderId="0">
      <alignment horizontal="right"/>
    </xf>
    <xf numFmtId="169" fontId="28" fillId="35" borderId="0" applyNumberFormat="0" applyBorder="0" applyAlignment="0" applyProtection="0"/>
    <xf numFmtId="0" fontId="28" fillId="35" borderId="0" applyNumberFormat="0" applyBorder="0" applyAlignment="0" applyProtection="0"/>
    <xf numFmtId="169" fontId="6" fillId="3" borderId="0" applyNumberFormat="0" applyBorder="0" applyAlignment="0" applyProtection="0"/>
    <xf numFmtId="169" fontId="29" fillId="36" borderId="0" applyNumberFormat="0" applyBorder="0" applyAlignment="0" applyProtection="0"/>
    <xf numFmtId="0" fontId="29" fillId="36" borderId="0" applyNumberFormat="0" applyBorder="0" applyAlignment="0" applyProtection="0"/>
    <xf numFmtId="169" fontId="30" fillId="3" borderId="0" applyNumberFormat="0" applyBorder="0" applyAlignment="0" applyProtection="0"/>
    <xf numFmtId="0" fontId="30"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6" fillId="3" borderId="0" applyNumberFormat="0" applyBorder="0" applyAlignment="0" applyProtection="0"/>
    <xf numFmtId="0" fontId="6" fillId="3" borderId="0" applyNumberFormat="0" applyBorder="0" applyAlignment="0" applyProtection="0"/>
    <xf numFmtId="169" fontId="29" fillId="36" borderId="0" applyNumberFormat="0" applyBorder="0" applyAlignment="0" applyProtection="0"/>
    <xf numFmtId="0" fontId="29" fillId="36" borderId="0" applyNumberFormat="0" applyBorder="0" applyAlignment="0" applyProtection="0"/>
    <xf numFmtId="169" fontId="30" fillId="3" borderId="0" applyNumberFormat="0" applyBorder="0" applyAlignment="0" applyProtection="0"/>
    <xf numFmtId="0" fontId="30" fillId="3" borderId="0" applyNumberFormat="0" applyBorder="0" applyAlignment="0" applyProtection="0"/>
    <xf numFmtId="49" fontId="31" fillId="0" borderId="0" applyFont="0" applyFill="0" applyBorder="0" applyAlignment="0" applyProtection="0">
      <alignment horizontal="left"/>
    </xf>
    <xf numFmtId="171" fontId="32" fillId="0" borderId="0" applyAlignment="0" applyProtection="0"/>
    <xf numFmtId="168" fontId="33" fillId="0" borderId="0" applyFill="0" applyBorder="0" applyAlignment="0" applyProtection="0"/>
    <xf numFmtId="168" fontId="33" fillId="0" borderId="0" applyFill="0" applyBorder="0" applyAlignment="0" applyProtection="0"/>
    <xf numFmtId="49" fontId="33" fillId="0" borderId="0" applyNumberFormat="0" applyAlignment="0" applyProtection="0">
      <alignment horizontal="left"/>
    </xf>
    <xf numFmtId="49" fontId="33" fillId="0" borderId="0" applyNumberFormat="0" applyAlignment="0" applyProtection="0">
      <alignment horizontal="left"/>
    </xf>
    <xf numFmtId="49" fontId="34" fillId="0" borderId="13" applyNumberFormat="0" applyAlignment="0" applyProtection="0">
      <alignment horizontal="left" wrapText="1"/>
    </xf>
    <xf numFmtId="49" fontId="34" fillId="0" borderId="0" applyNumberFormat="0" applyAlignment="0" applyProtection="0">
      <alignment horizontal="left" wrapText="1"/>
    </xf>
    <xf numFmtId="49" fontId="35" fillId="0" borderId="0" applyAlignment="0" applyProtection="0">
      <alignment horizontal="left"/>
    </xf>
    <xf numFmtId="0" fontId="29" fillId="36" borderId="0" applyNumberFormat="0" applyBorder="0" applyAlignment="0" applyProtection="0"/>
    <xf numFmtId="169" fontId="36" fillId="53" borderId="14" applyNumberFormat="0" applyAlignment="0" applyProtection="0"/>
    <xf numFmtId="0" fontId="36" fillId="53" borderId="14" applyNumberFormat="0" applyAlignment="0" applyProtection="0"/>
    <xf numFmtId="169" fontId="11" fillId="7" borderId="5" applyNumberFormat="0" applyAlignment="0" applyProtection="0"/>
    <xf numFmtId="169" fontId="36" fillId="53" borderId="14" applyNumberFormat="0" applyAlignment="0" applyProtection="0"/>
    <xf numFmtId="0" fontId="36" fillId="53" borderId="14" applyNumberFormat="0" applyAlignment="0" applyProtection="0"/>
    <xf numFmtId="169" fontId="37" fillId="7" borderId="5" applyNumberFormat="0" applyAlignment="0" applyProtection="0"/>
    <xf numFmtId="0" fontId="37"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11" fillId="7" borderId="5" applyNumberFormat="0" applyAlignment="0" applyProtection="0"/>
    <xf numFmtId="0" fontId="11" fillId="7" borderId="5" applyNumberFormat="0" applyAlignment="0" applyProtection="0"/>
    <xf numFmtId="169" fontId="36" fillId="53" borderId="14" applyNumberFormat="0" applyAlignment="0" applyProtection="0"/>
    <xf numFmtId="0" fontId="36" fillId="53" borderId="14" applyNumberFormat="0" applyAlignment="0" applyProtection="0"/>
    <xf numFmtId="169" fontId="37" fillId="7" borderId="5" applyNumberFormat="0" applyAlignment="0" applyProtection="0"/>
    <xf numFmtId="0" fontId="37" fillId="7" borderId="5" applyNumberFormat="0" applyAlignment="0" applyProtection="0"/>
    <xf numFmtId="169" fontId="24" fillId="0" borderId="0"/>
    <xf numFmtId="0" fontId="24" fillId="0" borderId="0"/>
    <xf numFmtId="0" fontId="38" fillId="54" borderId="15" applyNumberFormat="0" applyAlignment="0" applyProtection="0"/>
    <xf numFmtId="0" fontId="39" fillId="0" borderId="16" applyNumberFormat="0" applyFill="0" applyAlignment="0" applyProtection="0"/>
    <xf numFmtId="169" fontId="13" fillId="8" borderId="8" applyNumberFormat="0" applyAlignment="0" applyProtection="0"/>
    <xf numFmtId="169" fontId="38" fillId="54" borderId="15" applyNumberFormat="0" applyAlignment="0" applyProtection="0"/>
    <xf numFmtId="0" fontId="38" fillId="54" borderId="15" applyNumberFormat="0" applyAlignment="0" applyProtection="0"/>
    <xf numFmtId="169" fontId="40" fillId="8" borderId="8" applyNumberFormat="0" applyAlignment="0" applyProtection="0"/>
    <xf numFmtId="0" fontId="40"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13" fillId="8" borderId="8" applyNumberFormat="0" applyAlignment="0" applyProtection="0"/>
    <xf numFmtId="0" fontId="13" fillId="8" borderId="8" applyNumberFormat="0" applyAlignment="0" applyProtection="0"/>
    <xf numFmtId="169" fontId="38" fillId="54" borderId="15" applyNumberFormat="0" applyAlignment="0" applyProtection="0"/>
    <xf numFmtId="0" fontId="38" fillId="54" borderId="15" applyNumberFormat="0" applyAlignment="0" applyProtection="0"/>
    <xf numFmtId="169" fontId="40" fillId="8" borderId="8" applyNumberFormat="0" applyAlignment="0" applyProtection="0"/>
    <xf numFmtId="0" fontId="40" fillId="8" borderId="8" applyNumberFormat="0" applyAlignment="0" applyProtection="0"/>
    <xf numFmtId="169" fontId="12" fillId="0" borderId="7" applyNumberFormat="0" applyFill="0" applyAlignment="0" applyProtection="0"/>
    <xf numFmtId="169" fontId="39" fillId="0" borderId="16" applyNumberFormat="0" applyFill="0" applyAlignment="0" applyProtection="0"/>
    <xf numFmtId="0" fontId="39" fillId="0" borderId="16" applyNumberFormat="0" applyFill="0" applyAlignment="0" applyProtection="0"/>
    <xf numFmtId="169" fontId="41" fillId="0" borderId="7" applyNumberFormat="0" applyFill="0" applyAlignment="0" applyProtection="0"/>
    <xf numFmtId="0" fontId="41"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12" fillId="0" borderId="7" applyNumberFormat="0" applyFill="0" applyAlignment="0" applyProtection="0"/>
    <xf numFmtId="0" fontId="12" fillId="0" borderId="7" applyNumberFormat="0" applyFill="0" applyAlignment="0" applyProtection="0"/>
    <xf numFmtId="169" fontId="39" fillId="0" borderId="16" applyNumberFormat="0" applyFill="0" applyAlignment="0" applyProtection="0"/>
    <xf numFmtId="0" fontId="39" fillId="0" borderId="16" applyNumberFormat="0" applyFill="0" applyAlignment="0" applyProtection="0"/>
    <xf numFmtId="169" fontId="41" fillId="0" borderId="7" applyNumberFormat="0" applyFill="0" applyAlignment="0" applyProtection="0"/>
    <xf numFmtId="0" fontId="41" fillId="0" borderId="7" applyNumberFormat="0" applyFill="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169" fontId="38" fillId="54" borderId="15" applyNumberFormat="0" applyAlignment="0" applyProtection="0"/>
    <xf numFmtId="0" fontId="38" fillId="54" borderId="15" applyNumberFormat="0" applyAlignment="0" applyProtection="0"/>
    <xf numFmtId="0" fontId="44" fillId="0" borderId="17">
      <alignment horizontal="center"/>
    </xf>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2" fontId="18" fillId="0" borderId="0"/>
    <xf numFmtId="172" fontId="18" fillId="0" borderId="0"/>
    <xf numFmtId="173" fontId="45" fillId="0" borderId="0"/>
    <xf numFmtId="172" fontId="18" fillId="0" borderId="0"/>
    <xf numFmtId="174" fontId="18" fillId="0" borderId="0" applyFont="0" applyFill="0" applyBorder="0" applyAlignment="0" applyProtection="0"/>
    <xf numFmtId="175" fontId="46" fillId="0" borderId="0" applyFont="0" applyFill="0" applyBorder="0" applyAlignment="0" applyProtection="0"/>
    <xf numFmtId="39" fontId="47" fillId="0" borderId="0" applyFont="0" applyFill="0" applyBorder="0" applyAlignment="0" applyProtection="0"/>
    <xf numFmtId="176" fontId="48" fillId="0" borderId="0" applyFont="0" applyFill="0" applyBorder="0" applyAlignment="0" applyProtection="0"/>
    <xf numFmtId="43" fontId="18" fillId="0" borderId="0" applyFont="0" applyFill="0" applyBorder="0" applyAlignment="0" applyProtection="0"/>
    <xf numFmtId="43" fontId="4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9" fillId="0" borderId="0" applyFont="0" applyFill="0" applyBorder="0" applyAlignment="0" applyProtection="0"/>
    <xf numFmtId="167" fontId="1" fillId="0" borderId="0" applyFont="0" applyFill="0" applyBorder="0" applyAlignment="0" applyProtection="0"/>
    <xf numFmtId="43" fontId="49" fillId="0" borderId="0" applyFont="0" applyFill="0" applyBorder="0" applyAlignment="0" applyProtection="0"/>
    <xf numFmtId="0" fontId="50" fillId="0" borderId="0" applyFont="0" applyFill="0" applyBorder="0" applyAlignment="0" applyProtection="0"/>
    <xf numFmtId="177" fontId="50" fillId="0" borderId="0" applyFont="0" applyFill="0" applyBorder="0" applyAlignment="0" applyProtection="0"/>
    <xf numFmtId="43" fontId="18" fillId="0" borderId="0" applyFont="0" applyFill="0" applyBorder="0" applyAlignment="0" applyProtection="0"/>
    <xf numFmtId="43" fontId="49" fillId="0" borderId="0" applyFont="0" applyFill="0" applyBorder="0" applyAlignment="0" applyProtection="0"/>
    <xf numFmtId="43" fontId="18" fillId="0" borderId="0" applyFont="0" applyFill="0" applyBorder="0" applyAlignment="0" applyProtection="0"/>
    <xf numFmtId="165" fontId="20" fillId="0" borderId="0" applyFont="0" applyFill="0" applyBorder="0" applyAlignment="0" applyProtection="0"/>
    <xf numFmtId="178"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3" fontId="51" fillId="0" borderId="0" applyFont="0" applyFill="0" applyBorder="0" applyAlignment="0" applyProtection="0"/>
    <xf numFmtId="0" fontId="52" fillId="0" borderId="0"/>
    <xf numFmtId="0" fontId="52" fillId="0" borderId="0"/>
    <xf numFmtId="3" fontId="18" fillId="0" borderId="0" applyFill="0" applyBorder="0" applyAlignment="0" applyProtection="0"/>
    <xf numFmtId="0" fontId="52" fillId="0" borderId="0"/>
    <xf numFmtId="0" fontId="53" fillId="0" borderId="0" applyFill="0" applyBorder="0" applyAlignment="0" applyProtection="0">
      <protection locked="0"/>
    </xf>
    <xf numFmtId="180" fontId="18" fillId="0" borderId="0" applyFont="0" applyFill="0" applyBorder="0" applyAlignment="0" applyProtection="0"/>
    <xf numFmtId="181" fontId="48" fillId="0" borderId="0" applyFont="0" applyFill="0" applyBorder="0" applyAlignment="0" applyProtection="0"/>
    <xf numFmtId="182" fontId="47" fillId="0" borderId="0" applyFont="0" applyFill="0" applyBorder="0" applyAlignment="0" applyProtection="0"/>
    <xf numFmtId="183" fontId="48" fillId="0" borderId="0" applyFont="0" applyFill="0" applyBorder="0" applyAlignment="0" applyProtection="0"/>
    <xf numFmtId="184" fontId="18" fillId="0" borderId="0" applyFont="0" applyFill="0" applyBorder="0" applyAlignment="0" applyProtection="0"/>
    <xf numFmtId="185" fontId="51" fillId="0" borderId="0" applyFont="0" applyFill="0" applyBorder="0" applyAlignment="0" applyProtection="0"/>
    <xf numFmtId="0" fontId="42" fillId="52" borderId="0" applyNumberFormat="0" applyFont="0" applyFill="0" applyBorder="0" applyProtection="0">
      <alignment horizontal="left"/>
    </xf>
    <xf numFmtId="0" fontId="42" fillId="52" borderId="0" applyNumberFormat="0" applyFont="0" applyFill="0" applyBorder="0" applyProtection="0">
      <alignment horizontal="left"/>
    </xf>
    <xf numFmtId="169" fontId="42" fillId="52" borderId="0" applyNumberFormat="0" applyFont="0" applyFill="0" applyBorder="0" applyProtection="0">
      <alignment horizontal="left"/>
    </xf>
    <xf numFmtId="186" fontId="54" fillId="0" borderId="0" applyFont="0" applyFill="0" applyBorder="0" applyAlignment="0" applyProtection="0"/>
    <xf numFmtId="0" fontId="52" fillId="0" borderId="0"/>
    <xf numFmtId="186" fontId="18" fillId="0" borderId="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55" fillId="0" borderId="0" applyNumberFormat="0" applyFill="0" applyBorder="0" applyAlignment="0" applyProtection="0"/>
    <xf numFmtId="169" fontId="17" fillId="10" borderId="0" applyNumberFormat="0" applyBorder="0" applyAlignment="0" applyProtection="0"/>
    <xf numFmtId="169" fontId="22" fillId="48" borderId="0" applyNumberFormat="0" applyBorder="0" applyAlignment="0" applyProtection="0"/>
    <xf numFmtId="0" fontId="22" fillId="48" borderId="0" applyNumberFormat="0" applyBorder="0" applyAlignment="0" applyProtection="0"/>
    <xf numFmtId="169" fontId="23" fillId="10" borderId="0" applyNumberFormat="0" applyBorder="0" applyAlignment="0" applyProtection="0"/>
    <xf numFmtId="0" fontId="23"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17" fillId="10" borderId="0" applyNumberFormat="0" applyBorder="0" applyAlignment="0" applyProtection="0"/>
    <xf numFmtId="0" fontId="17" fillId="10" borderId="0" applyNumberFormat="0" applyBorder="0" applyAlignment="0" applyProtection="0"/>
    <xf numFmtId="169" fontId="22" fillId="48" borderId="0" applyNumberFormat="0" applyBorder="0" applyAlignment="0" applyProtection="0"/>
    <xf numFmtId="0" fontId="22" fillId="48" borderId="0" applyNumberFormat="0" applyBorder="0" applyAlignment="0" applyProtection="0"/>
    <xf numFmtId="169" fontId="23" fillId="10" borderId="0" applyNumberFormat="0" applyBorder="0" applyAlignment="0" applyProtection="0"/>
    <xf numFmtId="0" fontId="23" fillId="10" borderId="0" applyNumberFormat="0" applyBorder="0" applyAlignment="0" applyProtection="0"/>
    <xf numFmtId="169" fontId="17" fillId="14"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3" fillId="14" borderId="0" applyNumberFormat="0" applyBorder="0" applyAlignment="0" applyProtection="0"/>
    <xf numFmtId="0" fontId="23"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17" fillId="14" borderId="0" applyNumberFormat="0" applyBorder="0" applyAlignment="0" applyProtection="0"/>
    <xf numFmtId="0" fontId="17" fillId="14" borderId="0" applyNumberFormat="0" applyBorder="0" applyAlignment="0" applyProtection="0"/>
    <xf numFmtId="169" fontId="22" fillId="49" borderId="0" applyNumberFormat="0" applyBorder="0" applyAlignment="0" applyProtection="0"/>
    <xf numFmtId="0" fontId="22" fillId="49" borderId="0" applyNumberFormat="0" applyBorder="0" applyAlignment="0" applyProtection="0"/>
    <xf numFmtId="169" fontId="23" fillId="14" borderId="0" applyNumberFormat="0" applyBorder="0" applyAlignment="0" applyProtection="0"/>
    <xf numFmtId="0" fontId="23" fillId="14" borderId="0" applyNumberFormat="0" applyBorder="0" applyAlignment="0" applyProtection="0"/>
    <xf numFmtId="169" fontId="17" fillId="18"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3" fillId="18" borderId="0" applyNumberFormat="0" applyBorder="0" applyAlignment="0" applyProtection="0"/>
    <xf numFmtId="0" fontId="23"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17" fillId="18" borderId="0" applyNumberFormat="0" applyBorder="0" applyAlignment="0" applyProtection="0"/>
    <xf numFmtId="0" fontId="17" fillId="18" borderId="0" applyNumberFormat="0" applyBorder="0" applyAlignment="0" applyProtection="0"/>
    <xf numFmtId="169" fontId="22" fillId="50" borderId="0" applyNumberFormat="0" applyBorder="0" applyAlignment="0" applyProtection="0"/>
    <xf numFmtId="0" fontId="22" fillId="50" borderId="0" applyNumberFormat="0" applyBorder="0" applyAlignment="0" applyProtection="0"/>
    <xf numFmtId="169" fontId="23" fillId="18" borderId="0" applyNumberFormat="0" applyBorder="0" applyAlignment="0" applyProtection="0"/>
    <xf numFmtId="0" fontId="23" fillId="18" borderId="0" applyNumberFormat="0" applyBorder="0" applyAlignment="0" applyProtection="0"/>
    <xf numFmtId="169" fontId="17" fillId="2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2" borderId="0" applyNumberFormat="0" applyBorder="0" applyAlignment="0" applyProtection="0"/>
    <xf numFmtId="0" fontId="23"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17" fillId="22" borderId="0" applyNumberFormat="0" applyBorder="0" applyAlignment="0" applyProtection="0"/>
    <xf numFmtId="0" fontId="17" fillId="22" borderId="0" applyNumberFormat="0" applyBorder="0" applyAlignment="0" applyProtection="0"/>
    <xf numFmtId="169" fontId="22" fillId="45" borderId="0" applyNumberFormat="0" applyBorder="0" applyAlignment="0" applyProtection="0"/>
    <xf numFmtId="0" fontId="22" fillId="45" borderId="0" applyNumberFormat="0" applyBorder="0" applyAlignment="0" applyProtection="0"/>
    <xf numFmtId="169" fontId="23" fillId="22" borderId="0" applyNumberFormat="0" applyBorder="0" applyAlignment="0" applyProtection="0"/>
    <xf numFmtId="0" fontId="23" fillId="22" borderId="0" applyNumberFormat="0" applyBorder="0" applyAlignment="0" applyProtection="0"/>
    <xf numFmtId="169" fontId="17" fillId="26"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6" borderId="0" applyNumberFormat="0" applyBorder="0" applyAlignment="0" applyProtection="0"/>
    <xf numFmtId="0" fontId="23"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17" fillId="26" borderId="0" applyNumberFormat="0" applyBorder="0" applyAlignment="0" applyProtection="0"/>
    <xf numFmtId="0" fontId="17" fillId="26" borderId="0" applyNumberFormat="0" applyBorder="0" applyAlignment="0" applyProtection="0"/>
    <xf numFmtId="169" fontId="22" fillId="46" borderId="0" applyNumberFormat="0" applyBorder="0" applyAlignment="0" applyProtection="0"/>
    <xf numFmtId="0" fontId="22" fillId="46" borderId="0" applyNumberFormat="0" applyBorder="0" applyAlignment="0" applyProtection="0"/>
    <xf numFmtId="169" fontId="23" fillId="26" borderId="0" applyNumberFormat="0" applyBorder="0" applyAlignment="0" applyProtection="0"/>
    <xf numFmtId="0" fontId="23" fillId="26" borderId="0" applyNumberFormat="0" applyBorder="0" applyAlignment="0" applyProtection="0"/>
    <xf numFmtId="169" fontId="17" fillId="30"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169" fontId="23" fillId="30" borderId="0" applyNumberFormat="0" applyBorder="0" applyAlignment="0" applyProtection="0"/>
    <xf numFmtId="0" fontId="23"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17" fillId="30" borderId="0" applyNumberFormat="0" applyBorder="0" applyAlignment="0" applyProtection="0"/>
    <xf numFmtId="0" fontId="17" fillId="30" borderId="0" applyNumberFormat="0" applyBorder="0" applyAlignment="0" applyProtection="0"/>
    <xf numFmtId="169" fontId="22" fillId="51" borderId="0" applyNumberFormat="0" applyBorder="0" applyAlignment="0" applyProtection="0"/>
    <xf numFmtId="0" fontId="22" fillId="51" borderId="0" applyNumberFormat="0" applyBorder="0" applyAlignment="0" applyProtection="0"/>
    <xf numFmtId="169" fontId="23" fillId="30" borderId="0" applyNumberFormat="0" applyBorder="0" applyAlignment="0" applyProtection="0"/>
    <xf numFmtId="0" fontId="23" fillId="30"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51" borderId="0" applyNumberFormat="0" applyBorder="0" applyAlignment="0" applyProtection="0"/>
    <xf numFmtId="169" fontId="9" fillId="6" borderId="5" applyNumberFormat="0" applyAlignment="0" applyProtection="0"/>
    <xf numFmtId="169" fontId="56" fillId="39" borderId="14" applyNumberFormat="0" applyAlignment="0" applyProtection="0"/>
    <xf numFmtId="0" fontId="56" fillId="39" borderId="14" applyNumberFormat="0" applyAlignment="0" applyProtection="0"/>
    <xf numFmtId="169" fontId="57" fillId="6" borderId="5" applyNumberFormat="0" applyAlignment="0" applyProtection="0"/>
    <xf numFmtId="0" fontId="57"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9" fillId="6" borderId="5" applyNumberFormat="0" applyAlignment="0" applyProtection="0"/>
    <xf numFmtId="0" fontId="9" fillId="6" borderId="5" applyNumberFormat="0" applyAlignment="0" applyProtection="0"/>
    <xf numFmtId="169" fontId="56" fillId="39" borderId="14" applyNumberFormat="0" applyAlignment="0" applyProtection="0"/>
    <xf numFmtId="0" fontId="56" fillId="39" borderId="14" applyNumberFormat="0" applyAlignment="0" applyProtection="0"/>
    <xf numFmtId="169" fontId="57" fillId="6" borderId="5" applyNumberFormat="0" applyAlignment="0" applyProtection="0"/>
    <xf numFmtId="0" fontId="57" fillId="6" borderId="5" applyNumberFormat="0" applyAlignment="0" applyProtection="0"/>
    <xf numFmtId="49" fontId="58" fillId="0" borderId="0">
      <alignment wrapText="1"/>
    </xf>
    <xf numFmtId="187" fontId="59" fillId="0" borderId="0"/>
    <xf numFmtId="166" fontId="60" fillId="0" borderId="0" applyFont="0" applyFill="0" applyBorder="0" applyAlignment="0" applyProtection="0"/>
    <xf numFmtId="169" fontId="18"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18"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6" fontId="60" fillId="0" borderId="0" applyFont="0" applyFill="0" applyBorder="0" applyAlignment="0" applyProtection="0"/>
    <xf numFmtId="169" fontId="60" fillId="0" borderId="0" applyFon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2" fontId="51" fillId="0" borderId="0" applyFont="0" applyFill="0" applyBorder="0" applyAlignment="0" applyProtection="0"/>
    <xf numFmtId="0" fontId="52" fillId="0" borderId="0"/>
    <xf numFmtId="0" fontId="62" fillId="0" borderId="0" applyNumberFormat="0" applyFill="0" applyBorder="0" applyAlignment="0" applyProtection="0">
      <alignment vertical="top"/>
      <protection locked="0"/>
    </xf>
    <xf numFmtId="169" fontId="29" fillId="36" borderId="0" applyNumberFormat="0" applyBorder="0" applyAlignment="0" applyProtection="0"/>
    <xf numFmtId="0" fontId="29" fillId="36" borderId="0" applyNumberFormat="0" applyBorder="0" applyAlignment="0" applyProtection="0"/>
    <xf numFmtId="38" fontId="33" fillId="52" borderId="0" applyNumberFormat="0" applyBorder="0" applyAlignment="0" applyProtection="0"/>
    <xf numFmtId="41" fontId="42" fillId="0" borderId="0"/>
    <xf numFmtId="166" fontId="63" fillId="0" borderId="18" applyNumberFormat="0" applyAlignment="0" applyProtection="0">
      <alignment horizontal="left" vertical="center"/>
    </xf>
    <xf numFmtId="0" fontId="63" fillId="0" borderId="18" applyNumberFormat="0" applyAlignment="0" applyProtection="0">
      <alignment horizontal="left" vertical="center"/>
    </xf>
    <xf numFmtId="166" fontId="63" fillId="0" borderId="19">
      <alignment horizontal="left" vertical="center"/>
    </xf>
    <xf numFmtId="0" fontId="63" fillId="0" borderId="19">
      <alignment horizontal="left" vertical="center"/>
    </xf>
    <xf numFmtId="37" fontId="42" fillId="55" borderId="20">
      <alignment horizontal="center" vertical="center" wrapText="1"/>
    </xf>
    <xf numFmtId="169" fontId="64" fillId="0" borderId="21" applyNumberFormat="0" applyFill="0" applyAlignment="0" applyProtection="0"/>
    <xf numFmtId="0" fontId="64" fillId="0" borderId="21"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4" fontId="42" fillId="55" borderId="24">
      <alignment horizontal="center" vertical="center" wrapText="1"/>
    </xf>
    <xf numFmtId="14" fontId="42" fillId="55" borderId="24">
      <alignment horizontal="center" vertical="center" wrapText="1"/>
    </xf>
    <xf numFmtId="0" fontId="43" fillId="0" borderId="0" applyFill="0" applyAlignment="0" applyProtection="0">
      <protection locked="0"/>
    </xf>
    <xf numFmtId="0" fontId="43" fillId="0" borderId="1" applyFill="0" applyAlignment="0" applyProtection="0">
      <protection locked="0"/>
    </xf>
    <xf numFmtId="14" fontId="42" fillId="55" borderId="24">
      <alignment horizontal="center" vertical="center" wrapText="1"/>
    </xf>
    <xf numFmtId="0" fontId="66" fillId="0" borderId="0" applyNumberFormat="0" applyFill="0" applyBorder="0" applyAlignment="0" applyProtection="0">
      <alignment vertical="top"/>
      <protection locked="0"/>
    </xf>
    <xf numFmtId="169"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28" fillId="35" borderId="0" applyNumberFormat="0" applyBorder="0" applyAlignment="0" applyProtection="0"/>
    <xf numFmtId="169" fontId="7" fillId="4" borderId="0" applyNumberFormat="0" applyBorder="0" applyAlignment="0" applyProtection="0"/>
    <xf numFmtId="169" fontId="28" fillId="35" borderId="0" applyNumberFormat="0" applyBorder="0" applyAlignment="0" applyProtection="0"/>
    <xf numFmtId="0" fontId="28" fillId="35" borderId="0" applyNumberFormat="0" applyBorder="0" applyAlignment="0" applyProtection="0"/>
    <xf numFmtId="169" fontId="68" fillId="4" borderId="0" applyNumberFormat="0" applyBorder="0" applyAlignment="0" applyProtection="0"/>
    <xf numFmtId="0" fontId="68"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7" fillId="4" borderId="0" applyNumberFormat="0" applyBorder="0" applyAlignment="0" applyProtection="0"/>
    <xf numFmtId="0" fontId="7" fillId="4" borderId="0" applyNumberFormat="0" applyBorder="0" applyAlignment="0" applyProtection="0"/>
    <xf numFmtId="169" fontId="28" fillId="35" borderId="0" applyNumberFormat="0" applyBorder="0" applyAlignment="0" applyProtection="0"/>
    <xf numFmtId="0" fontId="28" fillId="35" borderId="0" applyNumberFormat="0" applyBorder="0" applyAlignment="0" applyProtection="0"/>
    <xf numFmtId="169" fontId="68" fillId="4" borderId="0" applyNumberFormat="0" applyBorder="0" applyAlignment="0" applyProtection="0"/>
    <xf numFmtId="0" fontId="68" fillId="4" borderId="0" applyNumberFormat="0" applyBorder="0" applyAlignment="0" applyProtection="0"/>
    <xf numFmtId="0" fontId="69" fillId="0" borderId="0"/>
    <xf numFmtId="0" fontId="69" fillId="0" borderId="0"/>
    <xf numFmtId="169" fontId="69" fillId="0" borderId="0"/>
    <xf numFmtId="0" fontId="70" fillId="56" borderId="0">
      <alignment horizontal="left" wrapText="1" indent="2"/>
    </xf>
    <xf numFmtId="0" fontId="70" fillId="56" borderId="0">
      <alignment horizontal="left" wrapText="1" indent="2"/>
    </xf>
    <xf numFmtId="169" fontId="70" fillId="56" borderId="0">
      <alignment horizontal="left" wrapText="1" indent="2"/>
    </xf>
    <xf numFmtId="169" fontId="56" fillId="39" borderId="14" applyNumberFormat="0" applyAlignment="0" applyProtection="0"/>
    <xf numFmtId="10" fontId="33" fillId="56" borderId="25" applyNumberFormat="0" applyBorder="0" applyAlignment="0" applyProtection="0"/>
    <xf numFmtId="0" fontId="56" fillId="39" borderId="14" applyNumberFormat="0" applyAlignment="0" applyProtection="0"/>
    <xf numFmtId="170" fontId="71" fillId="0" borderId="0">
      <alignment horizontal="left"/>
    </xf>
    <xf numFmtId="169" fontId="39" fillId="0" borderId="16" applyNumberFormat="0" applyFill="0" applyAlignment="0" applyProtection="0"/>
    <xf numFmtId="0" fontId="39" fillId="0" borderId="16" applyNumberFormat="0" applyFill="0" applyAlignment="0" applyProtection="0"/>
    <xf numFmtId="0" fontId="53" fillId="0" borderId="0" applyFill="0" applyBorder="0" applyAlignment="0" applyProtection="0"/>
    <xf numFmtId="188"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89" fontId="20" fillId="0" borderId="0" applyFont="0" applyFill="0" applyBorder="0" applyAlignment="0" applyProtection="0"/>
    <xf numFmtId="167" fontId="18" fillId="0" borderId="0" applyFont="0" applyFill="0" applyBorder="0" applyAlignment="0" applyProtection="0"/>
    <xf numFmtId="189" fontId="33" fillId="0" borderId="0" applyFont="0" applyFill="0" applyBorder="0" applyAlignment="0" applyProtection="0"/>
    <xf numFmtId="190" fontId="18" fillId="0" borderId="0" applyFont="0" applyFill="0" applyBorder="0" applyAlignment="0" applyProtection="0"/>
    <xf numFmtId="191" fontId="18" fillId="0" borderId="0" applyFont="0" applyFill="0" applyBorder="0" applyAlignment="0" applyProtection="0"/>
    <xf numFmtId="192" fontId="18" fillId="0" borderId="0" applyFont="0" applyFill="0" applyBorder="0" applyAlignment="0" applyProtection="0"/>
    <xf numFmtId="193" fontId="18" fillId="0" borderId="0" applyFont="0" applyFill="0" applyBorder="0" applyAlignment="0" applyProtection="0"/>
    <xf numFmtId="194" fontId="72" fillId="0" borderId="0" applyFont="0" applyFill="0" applyBorder="0" applyAlignment="0" applyProtection="0"/>
    <xf numFmtId="195" fontId="20" fillId="0" borderId="0" applyFont="0" applyFill="0" applyBorder="0" applyAlignment="0" applyProtection="0"/>
    <xf numFmtId="194" fontId="72" fillId="0" borderId="0" applyFont="0" applyFill="0" applyBorder="0" applyAlignment="0" applyProtection="0"/>
    <xf numFmtId="196" fontId="18" fillId="0" borderId="0" applyFont="0" applyFill="0" applyBorder="0" applyAlignment="0" applyProtection="0"/>
    <xf numFmtId="193" fontId="18" fillId="0" borderId="0" applyFont="0" applyFill="0" applyBorder="0" applyAlignment="0" applyProtection="0"/>
    <xf numFmtId="169" fontId="8"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169" fontId="74" fillId="5" borderId="0" applyNumberFormat="0" applyBorder="0" applyAlignment="0" applyProtection="0"/>
    <xf numFmtId="0" fontId="74"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8" fillId="5" borderId="0" applyNumberFormat="0" applyBorder="0" applyAlignment="0" applyProtection="0"/>
    <xf numFmtId="0" fontId="8"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169" fontId="74" fillId="5" borderId="0" applyNumberFormat="0" applyBorder="0" applyAlignment="0" applyProtection="0"/>
    <xf numFmtId="0" fontId="74" fillId="5" borderId="0" applyNumberFormat="0" applyBorder="0" applyAlignment="0" applyProtection="0"/>
    <xf numFmtId="169" fontId="73" fillId="57" borderId="0" applyNumberFormat="0" applyBorder="0" applyAlignment="0" applyProtection="0"/>
    <xf numFmtId="0" fontId="73" fillId="57" borderId="0" applyNumberFormat="0" applyBorder="0" applyAlignment="0" applyProtection="0"/>
    <xf numFmtId="37" fontId="75" fillId="0" borderId="0"/>
    <xf numFmtId="0" fontId="69" fillId="0" borderId="0"/>
    <xf numFmtId="197" fontId="76" fillId="0" borderId="0"/>
    <xf numFmtId="198" fontId="18" fillId="0" borderId="0"/>
    <xf numFmtId="198" fontId="18" fillId="0" borderId="0"/>
    <xf numFmtId="197" fontId="18" fillId="0" borderId="0"/>
    <xf numFmtId="198"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0" fontId="18" fillId="0" borderId="0"/>
    <xf numFmtId="0" fontId="77" fillId="0" borderId="0" applyNumberFormat="0" applyFill="0" applyBorder="0" applyAlignment="0" applyProtection="0"/>
    <xf numFmtId="0" fontId="77" fillId="0" borderId="0" applyNumberFormat="0" applyFill="0" applyBorder="0" applyAlignment="0" applyProtection="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60"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8" fillId="0" borderId="0"/>
    <xf numFmtId="169" fontId="18" fillId="0" borderId="0"/>
    <xf numFmtId="0" fontId="18" fillId="0" borderId="0"/>
    <xf numFmtId="0" fontId="18" fillId="0" borderId="0"/>
    <xf numFmtId="169" fontId="18" fillId="0" borderId="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0" fontId="78" fillId="0" borderId="0"/>
    <xf numFmtId="169"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77" fillId="0" borderId="0" applyNumberFormat="0" applyFill="0" applyBorder="0" applyAlignment="0" applyProtection="0"/>
    <xf numFmtId="169" fontId="18" fillId="0" borderId="0"/>
    <xf numFmtId="0" fontId="18" fillId="0" borderId="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60" fillId="0" borderId="0"/>
    <xf numFmtId="0" fontId="60" fillId="0" borderId="0"/>
    <xf numFmtId="169" fontId="18"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0" fontId="18" fillId="0" borderId="0"/>
    <xf numFmtId="0" fontId="18" fillId="0" borderId="0"/>
    <xf numFmtId="0" fontId="77" fillId="0" borderId="0" applyNumberFormat="0" applyFill="0" applyBorder="0" applyAlignment="0" applyProtection="0"/>
    <xf numFmtId="169" fontId="77" fillId="0" borderId="0" applyNumberFormat="0" applyFill="0" applyBorder="0" applyAlignment="0" applyProtection="0"/>
    <xf numFmtId="169" fontId="1" fillId="0" borderId="0"/>
    <xf numFmtId="0" fontId="1" fillId="0" borderId="0"/>
    <xf numFmtId="0" fontId="77" fillId="0" borderId="0" applyNumberFormat="0" applyFill="0" applyBorder="0" applyAlignment="0" applyProtection="0"/>
    <xf numFmtId="169" fontId="77" fillId="0" borderId="0" applyNumberFormat="0" applyFill="0" applyBorder="0" applyAlignment="0" applyProtection="0"/>
    <xf numFmtId="169"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6" fontId="77" fillId="0" borderId="0" applyNumberFormat="0" applyFill="0" applyBorder="0" applyAlignment="0" applyProtection="0"/>
    <xf numFmtId="0" fontId="7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60" fillId="0" borderId="0"/>
    <xf numFmtId="0" fontId="60" fillId="0" borderId="0"/>
    <xf numFmtId="0" fontId="7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8" fillId="0" borderId="0"/>
    <xf numFmtId="169" fontId="60"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169" fontId="60" fillId="0" borderId="0"/>
    <xf numFmtId="0" fontId="7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169" fontId="60" fillId="0" borderId="0"/>
    <xf numFmtId="0" fontId="18" fillId="0" borderId="0"/>
    <xf numFmtId="0" fontId="1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60" fillId="0" borderId="0"/>
    <xf numFmtId="0" fontId="7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8" fillId="0" borderId="0"/>
    <xf numFmtId="169" fontId="77" fillId="0" borderId="0" applyNumberFormat="0" applyFill="0" applyBorder="0" applyAlignment="0" applyProtection="0"/>
    <xf numFmtId="0" fontId="18" fillId="0" borderId="0"/>
    <xf numFmtId="0" fontId="77" fillId="0" borderId="0" applyNumberFormat="0" applyFill="0" applyBorder="0" applyAlignment="0" applyProtection="0"/>
    <xf numFmtId="0" fontId="78" fillId="0" borderId="0"/>
    <xf numFmtId="0" fontId="1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78" fillId="0" borderId="0"/>
    <xf numFmtId="0" fontId="7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78" fillId="0" borderId="0"/>
    <xf numFmtId="0" fontId="18" fillId="0" borderId="0"/>
    <xf numFmtId="0" fontId="18" fillId="0" borderId="0"/>
    <xf numFmtId="0" fontId="7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18" fillId="0" borderId="0"/>
    <xf numFmtId="0" fontId="78" fillId="0" borderId="0"/>
    <xf numFmtId="0" fontId="78" fillId="0" borderId="0"/>
    <xf numFmtId="0" fontId="78" fillId="0" borderId="0"/>
    <xf numFmtId="0" fontId="78" fillId="0" borderId="0"/>
    <xf numFmtId="0" fontId="18" fillId="0" borderId="0"/>
    <xf numFmtId="0" fontId="18" fillId="0" borderId="0"/>
    <xf numFmtId="0" fontId="18" fillId="0" borderId="0"/>
    <xf numFmtId="0" fontId="78" fillId="0" borderId="0"/>
    <xf numFmtId="0" fontId="18" fillId="0" borderId="0"/>
    <xf numFmtId="0" fontId="18" fillId="0" borderId="0"/>
    <xf numFmtId="0" fontId="18" fillId="0" borderId="0"/>
    <xf numFmtId="0" fontId="18" fillId="0" borderId="0"/>
    <xf numFmtId="0" fontId="18" fillId="0" borderId="0"/>
    <xf numFmtId="0" fontId="78" fillId="0" borderId="0"/>
    <xf numFmtId="0" fontId="78" fillId="0" borderId="0"/>
    <xf numFmtId="0" fontId="60" fillId="0" borderId="0"/>
    <xf numFmtId="0" fontId="78" fillId="0" borderId="0"/>
    <xf numFmtId="0" fontId="78" fillId="0" borderId="0"/>
    <xf numFmtId="0" fontId="78" fillId="0" borderId="0"/>
    <xf numFmtId="0" fontId="78" fillId="0" borderId="0"/>
    <xf numFmtId="0" fontId="78" fillId="0" borderId="0"/>
    <xf numFmtId="0" fontId="78" fillId="0" borderId="0"/>
    <xf numFmtId="169" fontId="60" fillId="0" borderId="0"/>
    <xf numFmtId="169" fontId="60" fillId="0" borderId="0"/>
    <xf numFmtId="169" fontId="60" fillId="0" borderId="0"/>
    <xf numFmtId="0" fontId="60"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8" fillId="0" borderId="0"/>
    <xf numFmtId="169" fontId="60" fillId="0" borderId="0"/>
    <xf numFmtId="169" fontId="60" fillId="0" borderId="0"/>
    <xf numFmtId="169" fontId="60" fillId="0" borderId="0"/>
    <xf numFmtId="0" fontId="60"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60" fillId="0" borderId="0"/>
    <xf numFmtId="0" fontId="78" fillId="0" borderId="0"/>
    <xf numFmtId="169" fontId="60" fillId="0" borderId="0"/>
    <xf numFmtId="169" fontId="1" fillId="0" borderId="0"/>
    <xf numFmtId="169" fontId="1" fillId="0" borderId="0"/>
    <xf numFmtId="0" fontId="1" fillId="0" borderId="0"/>
    <xf numFmtId="0" fontId="18" fillId="0" borderId="0"/>
    <xf numFmtId="0" fontId="1" fillId="0" borderId="0"/>
    <xf numFmtId="0" fontId="78" fillId="0" borderId="0"/>
    <xf numFmtId="0" fontId="77" fillId="0" borderId="0" applyNumberFormat="0" applyFill="0" applyBorder="0" applyAlignment="0" applyProtection="0"/>
    <xf numFmtId="0" fontId="18" fillId="0" borderId="0"/>
    <xf numFmtId="0" fontId="78" fillId="0" borderId="0"/>
    <xf numFmtId="169" fontId="77" fillId="0" borderId="0" applyNumberFormat="0" applyFill="0" applyBorder="0" applyAlignment="0" applyProtection="0"/>
    <xf numFmtId="0" fontId="18"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9"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1" fillId="0" borderId="0"/>
    <xf numFmtId="0" fontId="1" fillId="0" borderId="0"/>
    <xf numFmtId="0" fontId="18" fillId="0" borderId="0"/>
    <xf numFmtId="0" fontId="1" fillId="0" borderId="0"/>
    <xf numFmtId="169" fontId="1"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8" fillId="0" borderId="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60" fillId="0" borderId="0"/>
    <xf numFmtId="0" fontId="60" fillId="0" borderId="0"/>
    <xf numFmtId="169" fontId="60" fillId="0" borderId="0"/>
    <xf numFmtId="0" fontId="60" fillId="0" borderId="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 fillId="0" borderId="0"/>
    <xf numFmtId="0" fontId="18" fillId="0" borderId="0"/>
    <xf numFmtId="169" fontId="18" fillId="0" borderId="0"/>
    <xf numFmtId="0" fontId="1" fillId="0" borderId="0"/>
    <xf numFmtId="169" fontId="18" fillId="0" borderId="0"/>
    <xf numFmtId="0" fontId="18" fillId="0" borderId="0"/>
    <xf numFmtId="0" fontId="18" fillId="0" borderId="0"/>
    <xf numFmtId="0" fontId="18"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 fillId="0" borderId="0"/>
    <xf numFmtId="169" fontId="77" fillId="0" borderId="0" applyNumberFormat="0" applyFill="0" applyBorder="0" applyAlignment="0" applyProtection="0"/>
    <xf numFmtId="0" fontId="77" fillId="0" borderId="0" applyNumberFormat="0" applyFill="0" applyBorder="0" applyAlignment="0" applyProtection="0"/>
    <xf numFmtId="0" fontId="1" fillId="0" borderId="0"/>
    <xf numFmtId="0" fontId="18" fillId="0" borderId="0"/>
    <xf numFmtId="169" fontId="18" fillId="0" borderId="0"/>
    <xf numFmtId="0"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8" fillId="0" borderId="0"/>
    <xf numFmtId="0" fontId="18" fillId="0" borderId="0"/>
    <xf numFmtId="0" fontId="18" fillId="0" borderId="0"/>
    <xf numFmtId="169" fontId="18"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0" borderId="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9" fontId="1" fillId="0" borderId="0"/>
    <xf numFmtId="0" fontId="1" fillId="0" borderId="0"/>
    <xf numFmtId="0" fontId="1" fillId="0" borderId="0"/>
    <xf numFmtId="169" fontId="1"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80" fillId="0" borderId="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0" fillId="9" borderId="9" applyNumberFormat="0" applyFont="0" applyAlignment="0" applyProtection="0"/>
    <xf numFmtId="169" fontId="18"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8" fillId="58" borderId="26" applyNumberFormat="0" applyFont="0" applyAlignment="0" applyProtection="0"/>
    <xf numFmtId="169" fontId="20"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81" fillId="58" borderId="26" applyNumberFormat="0" applyFont="0" applyAlignment="0" applyProtection="0"/>
    <xf numFmtId="169" fontId="81"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8" fillId="58" borderId="26"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8" fillId="58" borderId="26" applyNumberFormat="0" applyFont="0" applyAlignment="0" applyProtection="0"/>
    <xf numFmtId="169"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58" borderId="26" applyNumberFormat="0" applyFont="0" applyAlignment="0" applyProtection="0"/>
    <xf numFmtId="169"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0" fillId="58" borderId="26"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21" fillId="9" borderId="9" applyNumberFormat="0" applyFont="0" applyAlignment="0" applyProtection="0"/>
    <xf numFmtId="0" fontId="2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2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169" fontId="1" fillId="9" borderId="9" applyNumberFormat="0" applyFont="0" applyAlignment="0" applyProtection="0"/>
    <xf numFmtId="0" fontId="1" fillId="9" borderId="9" applyNumberFormat="0" applyFont="0" applyAlignment="0" applyProtection="0"/>
    <xf numFmtId="0" fontId="21" fillId="9" borderId="9" applyNumberFormat="0" applyFont="0" applyAlignment="0" applyProtection="0"/>
    <xf numFmtId="0" fontId="18" fillId="58" borderId="26" applyNumberFormat="0" applyFont="0" applyAlignment="0" applyProtection="0"/>
    <xf numFmtId="169" fontId="18" fillId="58" borderId="26" applyNumberFormat="0" applyFont="0" applyAlignment="0" applyProtection="0"/>
    <xf numFmtId="0" fontId="18" fillId="58" borderId="26" applyNumberFormat="0" applyFont="0" applyAlignment="0" applyProtection="0"/>
    <xf numFmtId="169" fontId="82" fillId="53" borderId="27" applyNumberFormat="0" applyAlignment="0" applyProtection="0"/>
    <xf numFmtId="0" fontId="82" fillId="53" borderId="27" applyNumberFormat="0" applyAlignment="0" applyProtection="0"/>
    <xf numFmtId="169" fontId="83" fillId="59" borderId="28"/>
    <xf numFmtId="0" fontId="83" fillId="59" borderId="28"/>
    <xf numFmtId="0" fontId="52" fillId="0" borderId="0"/>
    <xf numFmtId="199" fontId="48" fillId="0" borderId="0" applyFont="0" applyFill="0" applyBorder="0" applyAlignment="0" applyProtection="0"/>
    <xf numFmtId="200" fontId="46" fillId="0" borderId="0" applyFont="0" applyFill="0" applyBorder="0" applyAlignment="0" applyProtection="0"/>
    <xf numFmtId="201" fontId="18" fillId="0" borderId="0" applyFont="0" applyFill="0" applyBorder="0" applyAlignment="0" applyProtection="0"/>
    <xf numFmtId="202" fontId="18" fillId="0" borderId="0" applyFont="0" applyFill="0" applyBorder="0" applyAlignment="0" applyProtection="0"/>
    <xf numFmtId="10" fontId="18" fillId="0" borderId="0" applyFont="0" applyFill="0" applyBorder="0" applyAlignment="0" applyProtection="0"/>
    <xf numFmtId="203" fontId="48" fillId="0" borderId="0" applyFont="0" applyFill="0" applyBorder="0" applyAlignment="0" applyProtection="0"/>
    <xf numFmtId="204" fontId="46" fillId="0" borderId="0" applyFont="0" applyFill="0" applyBorder="0" applyAlignment="0" applyProtection="0"/>
    <xf numFmtId="205" fontId="48" fillId="0" borderId="0" applyFont="0" applyFill="0" applyBorder="0" applyAlignment="0" applyProtection="0"/>
    <xf numFmtId="206" fontId="46" fillId="0" borderId="0" applyFont="0" applyFill="0" applyBorder="0" applyAlignment="0" applyProtection="0"/>
    <xf numFmtId="207" fontId="48" fillId="0" borderId="0" applyFont="0" applyFill="0" applyBorder="0" applyAlignment="0" applyProtection="0"/>
    <xf numFmtId="208" fontId="4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169" fontId="84" fillId="0" borderId="0" applyFont="0"/>
    <xf numFmtId="0" fontId="84" fillId="0" borderId="0" applyFont="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7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41" fontId="18" fillId="0" borderId="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8" fillId="0" borderId="24">
      <alignment horizontal="center"/>
    </xf>
    <xf numFmtId="3" fontId="18" fillId="0" borderId="0" applyFont="0" applyFill="0" applyBorder="0" applyAlignment="0" applyProtection="0"/>
    <xf numFmtId="0" fontId="18" fillId="60" borderId="0" applyNumberFormat="0" applyFont="0" applyBorder="0" applyAlignment="0" applyProtection="0"/>
    <xf numFmtId="0" fontId="85" fillId="0" borderId="0">
      <alignment horizontal="left"/>
    </xf>
    <xf numFmtId="169" fontId="10" fillId="7" borderId="6" applyNumberFormat="0" applyAlignment="0" applyProtection="0"/>
    <xf numFmtId="169" fontId="82" fillId="53" borderId="27" applyNumberFormat="0" applyAlignment="0" applyProtection="0"/>
    <xf numFmtId="0" fontId="82" fillId="53" borderId="27" applyNumberFormat="0" applyAlignment="0" applyProtection="0"/>
    <xf numFmtId="169" fontId="86" fillId="7" borderId="6" applyNumberFormat="0" applyAlignment="0" applyProtection="0"/>
    <xf numFmtId="0" fontId="86"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10" fillId="7" borderId="6" applyNumberFormat="0" applyAlignment="0" applyProtection="0"/>
    <xf numFmtId="0" fontId="10" fillId="7" borderId="6" applyNumberFormat="0" applyAlignment="0" applyProtection="0"/>
    <xf numFmtId="169" fontId="82" fillId="53" borderId="27" applyNumberFormat="0" applyAlignment="0" applyProtection="0"/>
    <xf numFmtId="0" fontId="82" fillId="53" borderId="27" applyNumberFormat="0" applyAlignment="0" applyProtection="0"/>
    <xf numFmtId="169" fontId="86" fillId="7" borderId="6" applyNumberFormat="0" applyAlignment="0" applyProtection="0"/>
    <xf numFmtId="0" fontId="86" fillId="7" borderId="6" applyNumberFormat="0" applyAlignment="0" applyProtection="0"/>
    <xf numFmtId="0" fontId="82" fillId="53" borderId="27" applyNumberFormat="0" applyAlignment="0" applyProtection="0"/>
    <xf numFmtId="4" fontId="87" fillId="47" borderId="29" applyNumberFormat="0" applyProtection="0">
      <alignment horizontal="left" vertical="center" indent="1"/>
    </xf>
    <xf numFmtId="4" fontId="88" fillId="61" borderId="30" applyNumberFormat="0" applyProtection="0">
      <alignment horizontal="right" vertical="center"/>
    </xf>
    <xf numFmtId="4" fontId="88" fillId="62" borderId="31" applyNumberFormat="0" applyProtection="0">
      <alignment horizontal="right" vertical="center"/>
    </xf>
    <xf numFmtId="4" fontId="88" fillId="61" borderId="31" applyNumberFormat="0" applyProtection="0">
      <alignment horizontal="left" vertical="center" indent="1"/>
    </xf>
    <xf numFmtId="4" fontId="89" fillId="0" borderId="0" applyNumberFormat="0" applyProtection="0">
      <alignment horizontal="left" vertical="center" indent="1"/>
    </xf>
    <xf numFmtId="166" fontId="18" fillId="58" borderId="0" applyNumberFormat="0" applyFont="0" applyBorder="0" applyAlignment="0" applyProtection="0"/>
    <xf numFmtId="0" fontId="18" fillId="58" borderId="0" applyNumberFormat="0" applyFont="0" applyBorder="0" applyAlignment="0" applyProtection="0"/>
    <xf numFmtId="169" fontId="18" fillId="58" borderId="0" applyNumberFormat="0" applyFont="0" applyBorder="0" applyAlignment="0" applyProtection="0"/>
    <xf numFmtId="166" fontId="18" fillId="63" borderId="0" applyNumberFormat="0" applyFont="0" applyBorder="0" applyAlignment="0" applyProtection="0"/>
    <xf numFmtId="0" fontId="18" fillId="63" borderId="0" applyNumberFormat="0" applyFont="0" applyBorder="0" applyAlignment="0" applyProtection="0"/>
    <xf numFmtId="169" fontId="18" fillId="63" borderId="0" applyNumberFormat="0" applyFont="0" applyBorder="0" applyAlignment="0" applyProtection="0"/>
    <xf numFmtId="166" fontId="18" fillId="53" borderId="0" applyNumberFormat="0" applyFont="0" applyBorder="0" applyAlignment="0" applyProtection="0"/>
    <xf numFmtId="0" fontId="18" fillId="53" borderId="0" applyNumberFormat="0" applyFont="0" applyBorder="0" applyAlignment="0" applyProtection="0"/>
    <xf numFmtId="169" fontId="18" fillId="53" borderId="0" applyNumberFormat="0" applyFont="0" applyBorder="0" applyAlignment="0" applyProtection="0"/>
    <xf numFmtId="166" fontId="18" fillId="0" borderId="0" applyNumberFormat="0" applyFont="0" applyFill="0" applyBorder="0" applyAlignment="0" applyProtection="0"/>
    <xf numFmtId="0" fontId="18" fillId="0" borderId="0" applyNumberFormat="0" applyFont="0" applyFill="0" applyBorder="0" applyAlignment="0" applyProtection="0"/>
    <xf numFmtId="169" fontId="18" fillId="0" borderId="0" applyNumberFormat="0" applyFont="0" applyFill="0" applyBorder="0" applyAlignment="0" applyProtection="0"/>
    <xf numFmtId="166" fontId="18" fillId="53" borderId="0" applyNumberFormat="0" applyFont="0" applyBorder="0" applyAlignment="0" applyProtection="0"/>
    <xf numFmtId="0" fontId="18" fillId="53" borderId="0" applyNumberFormat="0" applyFont="0" applyBorder="0" applyAlignment="0" applyProtection="0"/>
    <xf numFmtId="169" fontId="18" fillId="53" borderId="0" applyNumberFormat="0" applyFont="0" applyBorder="0" applyAlignment="0" applyProtection="0"/>
    <xf numFmtId="166" fontId="18" fillId="0" borderId="0" applyNumberFormat="0" applyFont="0" applyFill="0" applyBorder="0" applyAlignment="0" applyProtection="0"/>
    <xf numFmtId="0" fontId="18" fillId="0" borderId="0" applyNumberFormat="0" applyFont="0" applyFill="0" applyBorder="0" applyAlignment="0" applyProtection="0"/>
    <xf numFmtId="169" fontId="18" fillId="0" borderId="0" applyNumberFormat="0" applyFont="0" applyFill="0" applyBorder="0" applyAlignment="0" applyProtection="0"/>
    <xf numFmtId="166" fontId="18" fillId="0" borderId="0" applyNumberFormat="0" applyFont="0" applyBorder="0" applyAlignment="0" applyProtection="0"/>
    <xf numFmtId="0" fontId="18" fillId="0" borderId="0" applyNumberFormat="0" applyFont="0" applyBorder="0" applyAlignment="0" applyProtection="0"/>
    <xf numFmtId="169" fontId="18" fillId="0" borderId="0" applyNumberFormat="0" applyFont="0" applyBorder="0" applyAlignment="0" applyProtection="0"/>
    <xf numFmtId="38" fontId="7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9" fontId="18" fillId="0" borderId="0" applyFont="0" applyFill="0" applyBorder="0" applyAlignment="0" applyProtection="0"/>
    <xf numFmtId="165" fontId="20"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79" fillId="0" borderId="0" applyFont="0" applyFill="0" applyBorder="0" applyAlignment="0" applyProtection="0"/>
    <xf numFmtId="43" fontId="18"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60"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7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9" fontId="18"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9" fontId="7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210"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0" fontId="20" fillId="0" borderId="0" applyFont="0" applyFill="0" applyBorder="0" applyAlignment="0" applyProtection="0"/>
    <xf numFmtId="169"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169" fontId="18" fillId="64" borderId="0"/>
    <xf numFmtId="0" fontId="91" fillId="0" borderId="0" applyNumberFormat="0" applyFill="0" applyBorder="0" applyAlignment="0" applyProtection="0"/>
    <xf numFmtId="169" fontId="92" fillId="0" borderId="0" applyNumberFormat="0" applyBorder="0" applyAlignment="0"/>
    <xf numFmtId="0" fontId="52" fillId="0" borderId="0"/>
    <xf numFmtId="0" fontId="52" fillId="0" borderId="0"/>
    <xf numFmtId="169" fontId="52" fillId="0" borderId="0"/>
    <xf numFmtId="0" fontId="33" fillId="0" borderId="0"/>
    <xf numFmtId="0" fontId="92" fillId="0" borderId="0" applyNumberFormat="0" applyBorder="0" applyAlignment="0"/>
    <xf numFmtId="0" fontId="92" fillId="0" borderId="0" applyNumberFormat="0" applyBorder="0" applyAlignment="0"/>
    <xf numFmtId="0" fontId="92" fillId="0" borderId="0" applyNumberFormat="0" applyBorder="0" applyAlignment="0"/>
    <xf numFmtId="169" fontId="93" fillId="0" borderId="0" applyNumberFormat="0" applyBorder="0" applyAlignment="0"/>
    <xf numFmtId="0" fontId="52" fillId="0" borderId="0"/>
    <xf numFmtId="0" fontId="52" fillId="0" borderId="0"/>
    <xf numFmtId="169" fontId="52" fillId="0" borderId="0"/>
    <xf numFmtId="0" fontId="33" fillId="0" borderId="0"/>
    <xf numFmtId="0" fontId="93" fillId="0" borderId="0" applyNumberFormat="0" applyBorder="0" applyAlignment="0"/>
    <xf numFmtId="0" fontId="93" fillId="0" borderId="0" applyNumberFormat="0" applyBorder="0" applyAlignment="0"/>
    <xf numFmtId="0" fontId="93" fillId="0" borderId="0" applyNumberFormat="0" applyBorder="0" applyAlignment="0"/>
    <xf numFmtId="0" fontId="33" fillId="0" borderId="0"/>
    <xf numFmtId="0" fontId="33" fillId="0" borderId="0"/>
    <xf numFmtId="0" fontId="43" fillId="0" borderId="0" applyFill="0" applyBorder="0" applyAlignment="0" applyProtection="0"/>
    <xf numFmtId="0" fontId="94" fillId="56" borderId="0">
      <alignment wrapText="1"/>
    </xf>
    <xf numFmtId="0" fontId="94" fillId="56" borderId="0">
      <alignment wrapText="1"/>
    </xf>
    <xf numFmtId="169" fontId="94" fillId="56" borderId="0">
      <alignment wrapText="1"/>
    </xf>
    <xf numFmtId="170" fontId="95" fillId="0" borderId="0"/>
    <xf numFmtId="0" fontId="96" fillId="0" borderId="0" applyNumberFormat="0" applyFill="0" applyBorder="0" applyAlignment="0" applyProtection="0"/>
    <xf numFmtId="169" fontId="14"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9" fontId="97" fillId="0" borderId="0" applyNumberFormat="0" applyFill="0" applyBorder="0" applyAlignment="0" applyProtection="0"/>
    <xf numFmtId="0" fontId="97"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9" fontId="97" fillId="0" borderId="0" applyNumberFormat="0" applyFill="0" applyBorder="0" applyAlignment="0" applyProtection="0"/>
    <xf numFmtId="0" fontId="97" fillId="0" borderId="0" applyNumberFormat="0" applyFill="0" applyBorder="0" applyAlignment="0" applyProtection="0"/>
    <xf numFmtId="169" fontId="15" fillId="0" borderId="0" applyNumberForma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169" fontId="98" fillId="0" borderId="0" applyNumberFormat="0" applyFill="0" applyBorder="0" applyAlignment="0" applyProtection="0"/>
    <xf numFmtId="0" fontId="98"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15" fillId="0" borderId="0" applyNumberFormat="0" applyFill="0" applyBorder="0" applyAlignment="0" applyProtection="0"/>
    <xf numFmtId="0" fontId="15" fillId="0" borderId="0" applyNumberFormat="0" applyFill="0" applyBorder="0" applyAlignment="0" applyProtection="0"/>
    <xf numFmtId="169" fontId="61" fillId="0" borderId="0" applyNumberFormat="0" applyFill="0" applyBorder="0" applyAlignment="0" applyProtection="0"/>
    <xf numFmtId="0" fontId="61" fillId="0" borderId="0" applyNumberFormat="0" applyFill="0" applyBorder="0" applyAlignment="0" applyProtection="0"/>
    <xf numFmtId="169" fontId="98" fillId="0" borderId="0" applyNumberFormat="0" applyFill="0" applyBorder="0" applyAlignment="0" applyProtection="0"/>
    <xf numFmtId="0" fontId="98" fillId="0" borderId="0" applyNumberFormat="0" applyFill="0" applyBorder="0" applyAlignment="0" applyProtection="0"/>
    <xf numFmtId="0" fontId="99" fillId="0" borderId="0" applyFill="0" applyBorder="0" applyProtection="0">
      <alignment horizontal="left"/>
    </xf>
    <xf numFmtId="0" fontId="99" fillId="0" borderId="0" applyFill="0" applyBorder="0" applyProtection="0">
      <alignment horizontal="left" vertical="top"/>
    </xf>
    <xf numFmtId="169" fontId="99" fillId="0" borderId="0" applyFill="0" applyBorder="0" applyProtection="0">
      <alignment horizontal="left" vertical="top"/>
    </xf>
    <xf numFmtId="169" fontId="100" fillId="0" borderId="0" applyNumberFormat="0" applyFill="0" applyBorder="0" applyAlignment="0" applyProtection="0"/>
    <xf numFmtId="0" fontId="100" fillId="0" borderId="0" applyNumberFormat="0" applyFill="0" applyBorder="0" applyAlignment="0" applyProtection="0"/>
    <xf numFmtId="169" fontId="3" fillId="0" borderId="2" applyNumberFormat="0" applyFill="0" applyAlignment="0" applyProtection="0"/>
    <xf numFmtId="169" fontId="64" fillId="0" borderId="21" applyNumberFormat="0" applyFill="0" applyAlignment="0" applyProtection="0"/>
    <xf numFmtId="0" fontId="64" fillId="0" borderId="21" applyNumberFormat="0" applyFill="0" applyAlignment="0" applyProtection="0"/>
    <xf numFmtId="169" fontId="101" fillId="0" borderId="2" applyNumberFormat="0" applyFill="0" applyAlignment="0" applyProtection="0"/>
    <xf numFmtId="0" fontId="101"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3" fillId="0" borderId="2" applyNumberFormat="0" applyFill="0" applyAlignment="0" applyProtection="0"/>
    <xf numFmtId="0" fontId="3" fillId="0" borderId="2" applyNumberFormat="0" applyFill="0" applyAlignment="0" applyProtection="0"/>
    <xf numFmtId="169" fontId="64" fillId="0" borderId="21" applyNumberFormat="0" applyFill="0" applyAlignment="0" applyProtection="0"/>
    <xf numFmtId="0" fontId="64" fillId="0" borderId="21" applyNumberFormat="0" applyFill="0" applyAlignment="0" applyProtection="0"/>
    <xf numFmtId="169" fontId="101" fillId="0" borderId="2" applyNumberFormat="0" applyFill="0" applyAlignment="0" applyProtection="0"/>
    <xf numFmtId="0" fontId="101" fillId="0" borderId="2" applyNumberFormat="0" applyFill="0" applyAlignment="0" applyProtection="0"/>
    <xf numFmtId="169" fontId="100" fillId="0" borderId="0" applyNumberFormat="0" applyFill="0" applyBorder="0" applyAlignment="0" applyProtection="0"/>
    <xf numFmtId="0" fontId="100" fillId="0" borderId="0" applyNumberFormat="0" applyFill="0" applyBorder="0" applyAlignment="0" applyProtection="0"/>
    <xf numFmtId="169" fontId="2" fillId="0" borderId="0" applyNumberFormat="0" applyFill="0" applyBorder="0" applyAlignment="0" applyProtection="0"/>
    <xf numFmtId="169" fontId="4" fillId="0" borderId="3"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102" fillId="0" borderId="3" applyNumberFormat="0" applyFill="0" applyAlignment="0" applyProtection="0"/>
    <xf numFmtId="0" fontId="102"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4" fillId="0" borderId="3" applyNumberFormat="0" applyFill="0" applyAlignment="0" applyProtection="0"/>
    <xf numFmtId="0" fontId="4" fillId="0" borderId="3" applyNumberFormat="0" applyFill="0" applyAlignment="0" applyProtection="0"/>
    <xf numFmtId="169" fontId="65" fillId="0" borderId="22" applyNumberFormat="0" applyFill="0" applyAlignment="0" applyProtection="0"/>
    <xf numFmtId="0" fontId="65" fillId="0" borderId="22" applyNumberFormat="0" applyFill="0" applyAlignment="0" applyProtection="0"/>
    <xf numFmtId="169" fontId="102" fillId="0" borderId="3" applyNumberFormat="0" applyFill="0" applyAlignment="0" applyProtection="0"/>
    <xf numFmtId="0" fontId="102" fillId="0" borderId="3" applyNumberFormat="0" applyFill="0" applyAlignment="0" applyProtection="0"/>
    <xf numFmtId="169" fontId="5" fillId="0" borderId="4"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103" fillId="0" borderId="4" applyNumberFormat="0" applyFill="0" applyAlignment="0" applyProtection="0"/>
    <xf numFmtId="0" fontId="103"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 fillId="0" borderId="4" applyNumberFormat="0" applyFill="0" applyAlignment="0" applyProtection="0"/>
    <xf numFmtId="0" fontId="5" fillId="0" borderId="4" applyNumberFormat="0" applyFill="0" applyAlignment="0" applyProtection="0"/>
    <xf numFmtId="169" fontId="55" fillId="0" borderId="23" applyNumberFormat="0" applyFill="0" applyAlignment="0" applyProtection="0"/>
    <xf numFmtId="0" fontId="55" fillId="0" borderId="23" applyNumberFormat="0" applyFill="0" applyAlignment="0" applyProtection="0"/>
    <xf numFmtId="169" fontId="103" fillId="0" borderId="4" applyNumberFormat="0" applyFill="0" applyAlignment="0" applyProtection="0"/>
    <xf numFmtId="0" fontId="103" fillId="0" borderId="4" applyNumberFormat="0" applyFill="0" applyAlignment="0" applyProtection="0"/>
    <xf numFmtId="169" fontId="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9" fontId="103" fillId="0" borderId="0" applyNumberFormat="0" applyFill="0" applyBorder="0" applyAlignment="0" applyProtection="0"/>
    <xf numFmtId="0" fontId="103"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 fillId="0" borderId="0" applyNumberFormat="0" applyFill="0" applyBorder="0" applyAlignment="0" applyProtection="0"/>
    <xf numFmtId="0" fontId="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9" fontId="103" fillId="0" borderId="0" applyNumberFormat="0" applyFill="0" applyBorder="0" applyAlignment="0" applyProtection="0"/>
    <xf numFmtId="0" fontId="103" fillId="0" borderId="0" applyNumberFormat="0" applyFill="0" applyBorder="0" applyAlignment="0" applyProtection="0"/>
    <xf numFmtId="169" fontId="2" fillId="0" borderId="0" applyNumberFormat="0" applyFill="0" applyBorder="0" applyAlignment="0" applyProtection="0"/>
    <xf numFmtId="169" fontId="100" fillId="0" borderId="0" applyNumberFormat="0" applyFill="0" applyBorder="0" applyAlignment="0" applyProtection="0"/>
    <xf numFmtId="0" fontId="100"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169" fontId="2" fillId="0" borderId="0" applyNumberFormat="0" applyFill="0" applyBorder="0" applyAlignment="0" applyProtection="0"/>
    <xf numFmtId="0" fontId="2" fillId="0" borderId="0" applyNumberFormat="0" applyFill="0" applyBorder="0" applyAlignment="0" applyProtection="0"/>
    <xf numFmtId="0" fontId="71" fillId="65" borderId="25">
      <alignment horizontal="center"/>
    </xf>
    <xf numFmtId="169" fontId="16" fillId="0" borderId="10" applyNumberFormat="0" applyFill="0" applyAlignment="0" applyProtection="0"/>
    <xf numFmtId="169" fontId="104" fillId="0" borderId="32" applyNumberFormat="0" applyFill="0" applyAlignment="0" applyProtection="0"/>
    <xf numFmtId="0" fontId="104" fillId="0" borderId="32" applyNumberFormat="0" applyFill="0" applyAlignment="0" applyProtection="0"/>
    <xf numFmtId="169" fontId="105" fillId="0" borderId="10" applyNumberFormat="0" applyFill="0" applyAlignment="0" applyProtection="0"/>
    <xf numFmtId="0" fontId="105"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6" fillId="0" borderId="10" applyNumberFormat="0" applyFill="0" applyAlignment="0" applyProtection="0"/>
    <xf numFmtId="0" fontId="16" fillId="0" borderId="10" applyNumberFormat="0" applyFill="0" applyAlignment="0" applyProtection="0"/>
    <xf numFmtId="169" fontId="104" fillId="0" borderId="32" applyNumberFormat="0" applyFill="0" applyAlignment="0" applyProtection="0"/>
    <xf numFmtId="0" fontId="104" fillId="0" borderId="32" applyNumberFormat="0" applyFill="0" applyAlignment="0" applyProtection="0"/>
    <xf numFmtId="169" fontId="105" fillId="0" borderId="10" applyNumberFormat="0" applyFill="0" applyAlignment="0" applyProtection="0"/>
    <xf numFmtId="0" fontId="105" fillId="0" borderId="10" applyNumberFormat="0" applyFill="0" applyAlignment="0" applyProtection="0"/>
    <xf numFmtId="169" fontId="106" fillId="0" borderId="25">
      <alignment horizontal="center"/>
    </xf>
    <xf numFmtId="0" fontId="106" fillId="0" borderId="25">
      <alignment horizontal="center"/>
    </xf>
    <xf numFmtId="38" fontId="107" fillId="0" borderId="0" applyNumberFormat="0" applyBorder="0" applyAlignment="0">
      <protection locked="0"/>
    </xf>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8" fillId="0" borderId="0" applyFont="0" applyFill="0" applyBorder="0" applyAlignment="0" applyProtection="0"/>
    <xf numFmtId="43" fontId="6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211" fontId="18" fillId="0" borderId="0" applyFont="0" applyFill="0" applyBorder="0" applyAlignment="0" applyProtection="0"/>
    <xf numFmtId="212" fontId="18" fillId="0" borderId="0" applyFont="0" applyFill="0" applyBorder="0" applyAlignment="0" applyProtection="0"/>
    <xf numFmtId="213" fontId="80" fillId="0" borderId="0" applyFont="0" applyFill="0" applyBorder="0" applyAlignment="0" applyProtection="0"/>
    <xf numFmtId="214" fontId="80" fillId="0" borderId="0" applyFon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215" fontId="46" fillId="0" borderId="0" applyFont="0" applyFill="0" applyBorder="0" applyAlignment="0" applyProtection="0"/>
    <xf numFmtId="216" fontId="46" fillId="0" borderId="0" applyFont="0" applyFill="0" applyBorder="0" applyAlignment="0" applyProtection="0"/>
    <xf numFmtId="217" fontId="46" fillId="0" borderId="0" applyFont="0" applyFill="0" applyBorder="0" applyAlignment="0" applyProtection="0"/>
    <xf numFmtId="218" fontId="46" fillId="0" borderId="0" applyFont="0" applyFill="0" applyBorder="0" applyAlignment="0" applyProtection="0"/>
    <xf numFmtId="219" fontId="46" fillId="0" borderId="0" applyFont="0" applyFill="0" applyBorder="0" applyAlignment="0" applyProtection="0"/>
    <xf numFmtId="220" fontId="46" fillId="0" borderId="0" applyFont="0" applyFill="0" applyBorder="0" applyAlignment="0" applyProtection="0"/>
    <xf numFmtId="221" fontId="46" fillId="0" borderId="0" applyFont="0" applyFill="0" applyBorder="0" applyAlignment="0" applyProtection="0"/>
    <xf numFmtId="222" fontId="46" fillId="0" borderId="0" applyFont="0" applyFill="0" applyBorder="0" applyAlignment="0" applyProtection="0"/>
    <xf numFmtId="223" fontId="109" fillId="0" borderId="0" applyFont="0" applyFill="0" applyBorder="0" applyAlignment="0" applyProtection="0"/>
    <xf numFmtId="189" fontId="109" fillId="0" borderId="0" applyFont="0" applyFill="0" applyBorder="0" applyAlignment="0" applyProtection="0"/>
    <xf numFmtId="166" fontId="18" fillId="0" borderId="0"/>
    <xf numFmtId="9" fontId="110" fillId="0" borderId="0" applyFont="0" applyFill="0" applyBorder="0" applyAlignment="0" applyProtection="0"/>
    <xf numFmtId="224" fontId="111" fillId="0" borderId="0" applyFont="0" applyFill="0" applyBorder="0" applyAlignment="0" applyProtection="0"/>
    <xf numFmtId="225" fontId="111" fillId="0" borderId="0" applyFont="0" applyFill="0" applyBorder="0" applyAlignment="0" applyProtection="0"/>
    <xf numFmtId="226" fontId="109" fillId="0" borderId="0" applyFont="0" applyFill="0" applyBorder="0" applyAlignment="0" applyProtection="0"/>
    <xf numFmtId="227" fontId="109" fillId="0" borderId="0" applyFont="0" applyFill="0" applyBorder="0" applyAlignment="0" applyProtection="0"/>
    <xf numFmtId="166" fontId="110" fillId="0" borderId="0"/>
    <xf numFmtId="228" fontId="111" fillId="0" borderId="0" applyFont="0" applyFill="0" applyBorder="0" applyAlignment="0" applyProtection="0"/>
    <xf numFmtId="229" fontId="111" fillId="0" borderId="0" applyFont="0" applyFill="0" applyBorder="0" applyAlignment="0" applyProtection="0"/>
    <xf numFmtId="0" fontId="18" fillId="0" borderId="0"/>
    <xf numFmtId="0" fontId="18" fillId="0" borderId="0"/>
    <xf numFmtId="0" fontId="18" fillId="0" borderId="0"/>
    <xf numFmtId="0" fontId="114" fillId="0" borderId="0" applyNumberFormat="0" applyFill="0" applyBorder="0" applyAlignment="0" applyProtection="0">
      <alignment vertical="top"/>
      <protection locked="0"/>
    </xf>
    <xf numFmtId="9" fontId="1" fillId="0" borderId="0" applyFont="0" applyFill="0" applyBorder="0" applyAlignment="0" applyProtection="0"/>
    <xf numFmtId="165" fontId="1" fillId="0" borderId="0" applyFont="0" applyFill="0" applyBorder="0" applyAlignment="0" applyProtection="0"/>
  </cellStyleXfs>
  <cellXfs count="185">
    <xf numFmtId="0" fontId="0" fillId="0" borderId="0" xfId="0"/>
    <xf numFmtId="230" fontId="112" fillId="2" borderId="0" xfId="0" applyNumberFormat="1" applyFont="1" applyFill="1" applyBorder="1"/>
    <xf numFmtId="230" fontId="112" fillId="2" borderId="0" xfId="1" applyNumberFormat="1" applyFont="1" applyFill="1" applyBorder="1" applyAlignment="1"/>
    <xf numFmtId="167" fontId="112" fillId="2" borderId="0" xfId="1" applyNumberFormat="1" applyFont="1" applyFill="1" applyBorder="1"/>
    <xf numFmtId="0" fontId="112" fillId="2" borderId="0" xfId="0" applyFont="1" applyFill="1" applyBorder="1" applyAlignment="1">
      <alignment horizontal="center" vertical="center" wrapText="1"/>
    </xf>
    <xf numFmtId="41" fontId="112" fillId="2" borderId="0" xfId="2" applyNumberFormat="1" applyFont="1" applyFill="1" applyBorder="1"/>
    <xf numFmtId="0" fontId="112" fillId="2" borderId="0" xfId="0" applyFont="1" applyFill="1" applyBorder="1"/>
    <xf numFmtId="230" fontId="112" fillId="2" borderId="0" xfId="1" applyNumberFormat="1" applyFont="1" applyFill="1" applyBorder="1"/>
    <xf numFmtId="0" fontId="115" fillId="2" borderId="0" xfId="0" applyFont="1" applyFill="1"/>
    <xf numFmtId="0" fontId="116" fillId="2" borderId="0" xfId="0" applyFont="1" applyFill="1"/>
    <xf numFmtId="0" fontId="79" fillId="2" borderId="0" xfId="0" applyFont="1" applyFill="1"/>
    <xf numFmtId="0" fontId="18" fillId="2" borderId="0" xfId="0" applyFont="1" applyFill="1" applyAlignment="1">
      <alignment wrapText="1"/>
    </xf>
    <xf numFmtId="0" fontId="42" fillId="2" borderId="0" xfId="0" applyFont="1" applyFill="1"/>
    <xf numFmtId="192" fontId="92" fillId="59" borderId="26" xfId="5752" applyNumberFormat="1" applyFont="1" applyFill="1" applyBorder="1" applyAlignment="1">
      <alignment horizontal="right" vertical="center" wrapText="1"/>
    </xf>
    <xf numFmtId="0" fontId="92" fillId="59" borderId="33" xfId="0" applyFont="1" applyFill="1" applyBorder="1" applyAlignment="1">
      <alignment vertical="center"/>
    </xf>
    <xf numFmtId="0" fontId="93" fillId="59" borderId="35" xfId="0" applyFont="1" applyFill="1" applyBorder="1" applyAlignment="1">
      <alignment vertical="center" wrapText="1"/>
    </xf>
    <xf numFmtId="0" fontId="92" fillId="59" borderId="37" xfId="0" applyFont="1" applyFill="1" applyBorder="1" applyAlignment="1">
      <alignment vertical="center"/>
    </xf>
    <xf numFmtId="0" fontId="93" fillId="59" borderId="0" xfId="0" applyFont="1" applyFill="1" applyBorder="1" applyAlignment="1">
      <alignment vertical="center" wrapText="1"/>
    </xf>
    <xf numFmtId="192" fontId="93" fillId="59" borderId="26" xfId="5752" applyNumberFormat="1" applyFont="1" applyFill="1" applyBorder="1" applyAlignment="1">
      <alignment horizontal="right" vertical="center" wrapText="1"/>
    </xf>
    <xf numFmtId="0" fontId="93" fillId="59" borderId="33" xfId="0" applyFont="1" applyFill="1" applyBorder="1" applyAlignment="1">
      <alignment vertical="center"/>
    </xf>
    <xf numFmtId="0" fontId="0" fillId="2" borderId="0" xfId="0" applyFill="1" applyBorder="1"/>
    <xf numFmtId="192" fontId="92" fillId="2" borderId="0" xfId="5752" applyNumberFormat="1" applyFont="1" applyFill="1" applyBorder="1" applyAlignment="1">
      <alignment horizontal="right" vertical="center" wrapText="1"/>
    </xf>
    <xf numFmtId="192" fontId="118" fillId="59" borderId="26" xfId="5752" applyNumberFormat="1" applyFont="1" applyFill="1" applyBorder="1" applyAlignment="1">
      <alignment horizontal="right" vertical="center" wrapText="1"/>
    </xf>
    <xf numFmtId="0" fontId="118" fillId="59" borderId="33" xfId="0" applyFont="1" applyFill="1" applyBorder="1" applyAlignment="1">
      <alignment vertical="center"/>
    </xf>
    <xf numFmtId="0" fontId="119" fillId="59" borderId="36" xfId="0" applyFont="1" applyFill="1" applyBorder="1" applyAlignment="1">
      <alignment vertical="center" wrapText="1"/>
    </xf>
    <xf numFmtId="1" fontId="117" fillId="66" borderId="34" xfId="5752" applyNumberFormat="1" applyFont="1" applyFill="1" applyBorder="1" applyAlignment="1">
      <alignment horizontal="center" vertical="center" wrapText="1"/>
    </xf>
    <xf numFmtId="0" fontId="117" fillId="66" borderId="26" xfId="0" applyFont="1" applyFill="1" applyBorder="1" applyAlignment="1">
      <alignment horizontal="center" vertical="center" wrapText="1"/>
    </xf>
    <xf numFmtId="0" fontId="114" fillId="2" borderId="0" xfId="5796" applyFont="1" applyFill="1" applyAlignment="1" applyProtection="1"/>
    <xf numFmtId="0" fontId="92" fillId="59" borderId="35" xfId="0" applyFont="1" applyFill="1" applyBorder="1"/>
    <xf numFmtId="0" fontId="92" fillId="59" borderId="37" xfId="0" applyFont="1" applyFill="1" applyBorder="1"/>
    <xf numFmtId="0" fontId="92" fillId="59" borderId="33" xfId="0" applyFont="1" applyFill="1" applyBorder="1"/>
    <xf numFmtId="0" fontId="93" fillId="59" borderId="38" xfId="0" applyFont="1" applyFill="1" applyBorder="1" applyAlignment="1">
      <alignment horizontal="center" wrapText="1"/>
    </xf>
    <xf numFmtId="1" fontId="117" fillId="66" borderId="34" xfId="0" applyNumberFormat="1" applyFont="1" applyFill="1" applyBorder="1" applyAlignment="1">
      <alignment horizontal="center" wrapText="1"/>
    </xf>
    <xf numFmtId="43" fontId="92" fillId="0" borderId="26" xfId="5179" applyFont="1" applyFill="1" applyBorder="1" applyAlignment="1">
      <alignment horizontal="right" vertical="top" wrapText="1"/>
    </xf>
    <xf numFmtId="0" fontId="93" fillId="59" borderId="33" xfId="0" applyFont="1" applyFill="1" applyBorder="1"/>
    <xf numFmtId="0" fontId="92" fillId="59" borderId="0" xfId="0" applyFont="1" applyFill="1" applyBorder="1"/>
    <xf numFmtId="0" fontId="118" fillId="59" borderId="33" xfId="0" applyFont="1" applyFill="1" applyBorder="1"/>
    <xf numFmtId="0" fontId="120" fillId="59" borderId="35" xfId="0" applyFont="1" applyFill="1" applyBorder="1"/>
    <xf numFmtId="1" fontId="117" fillId="66" borderId="40" xfId="0" applyNumberFormat="1" applyFont="1" applyFill="1" applyBorder="1" applyAlignment="1">
      <alignment horizontal="left" vertical="top" wrapText="1"/>
    </xf>
    <xf numFmtId="0" fontId="92" fillId="59" borderId="40" xfId="0" applyFont="1" applyFill="1" applyBorder="1" applyAlignment="1">
      <alignment horizontal="left" vertical="top" wrapText="1"/>
    </xf>
    <xf numFmtId="0" fontId="118" fillId="59" borderId="40" xfId="0" applyFont="1" applyFill="1" applyBorder="1" applyAlignment="1">
      <alignment horizontal="left" vertical="top" wrapText="1" indent="1"/>
    </xf>
    <xf numFmtId="0" fontId="93" fillId="59" borderId="40" xfId="0" applyFont="1" applyFill="1" applyBorder="1" applyAlignment="1">
      <alignment horizontal="left" vertical="top" wrapText="1"/>
    </xf>
    <xf numFmtId="1" fontId="117" fillId="66" borderId="39" xfId="0" applyNumberFormat="1" applyFont="1" applyFill="1" applyBorder="1" applyAlignment="1">
      <alignment horizontal="center" wrapText="1"/>
    </xf>
    <xf numFmtId="43" fontId="92" fillId="0" borderId="42" xfId="5179" applyFont="1" applyFill="1" applyBorder="1" applyAlignment="1">
      <alignment horizontal="right" vertical="top" wrapText="1"/>
    </xf>
    <xf numFmtId="0" fontId="117" fillId="66" borderId="40" xfId="0" applyFont="1" applyFill="1" applyBorder="1" applyAlignment="1">
      <alignment vertical="center" wrapText="1"/>
    </xf>
    <xf numFmtId="0" fontId="42" fillId="0" borderId="40" xfId="0" applyFont="1" applyBorder="1" applyAlignment="1">
      <alignment horizontal="left" vertical="center" wrapText="1"/>
    </xf>
    <xf numFmtId="0" fontId="18" fillId="0" borderId="40" xfId="0" applyFont="1" applyBorder="1" applyAlignment="1">
      <alignment horizontal="left" vertical="center" wrapText="1"/>
    </xf>
    <xf numFmtId="1" fontId="117" fillId="66" borderId="39" xfId="5752" applyNumberFormat="1" applyFont="1" applyFill="1" applyBorder="1" applyAlignment="1">
      <alignment horizontal="center" vertical="center" wrapText="1"/>
    </xf>
    <xf numFmtId="192" fontId="93" fillId="59" borderId="42" xfId="5752" applyNumberFormat="1" applyFont="1" applyFill="1" applyBorder="1" applyAlignment="1">
      <alignment horizontal="right" vertical="center" wrapText="1"/>
    </xf>
    <xf numFmtId="192" fontId="92" fillId="59" borderId="42" xfId="5752" applyNumberFormat="1" applyFont="1" applyFill="1" applyBorder="1" applyAlignment="1">
      <alignment horizontal="right" vertical="center" wrapText="1"/>
    </xf>
    <xf numFmtId="0" fontId="18" fillId="0" borderId="40" xfId="0" applyFont="1" applyBorder="1" applyAlignment="1">
      <alignment horizontal="left" vertical="center" wrapText="1" indent="1"/>
    </xf>
    <xf numFmtId="0" fontId="115" fillId="0" borderId="40" xfId="0" applyFont="1" applyBorder="1" applyAlignment="1">
      <alignment horizontal="left" vertical="center" wrapText="1" indent="2"/>
    </xf>
    <xf numFmtId="0" fontId="115" fillId="0" borderId="40" xfId="0" applyFont="1" applyBorder="1" applyAlignment="1">
      <alignment horizontal="left" vertical="center" wrapText="1"/>
    </xf>
    <xf numFmtId="192" fontId="118" fillId="59" borderId="42" xfId="5752" applyNumberFormat="1" applyFont="1" applyFill="1" applyBorder="1" applyAlignment="1">
      <alignment horizontal="right" vertical="center" wrapText="1"/>
    </xf>
    <xf numFmtId="9" fontId="118" fillId="59" borderId="26" xfId="5797" applyFont="1" applyFill="1" applyBorder="1" applyAlignment="1">
      <alignment horizontal="right" vertical="center" wrapText="1"/>
    </xf>
    <xf numFmtId="9" fontId="118" fillId="59" borderId="42" xfId="5797" applyFont="1" applyFill="1" applyBorder="1" applyAlignment="1">
      <alignment horizontal="right" vertical="center" wrapText="1"/>
    </xf>
    <xf numFmtId="167" fontId="92" fillId="59" borderId="26" xfId="5752" applyNumberFormat="1" applyFont="1" applyFill="1" applyBorder="1" applyAlignment="1">
      <alignment horizontal="right" vertical="center" wrapText="1"/>
    </xf>
    <xf numFmtId="167" fontId="92" fillId="59" borderId="42" xfId="5752" applyNumberFormat="1" applyFont="1" applyFill="1" applyBorder="1" applyAlignment="1">
      <alignment horizontal="right" vertical="center" wrapText="1"/>
    </xf>
    <xf numFmtId="167" fontId="93" fillId="59" borderId="26" xfId="5752" applyNumberFormat="1" applyFont="1" applyFill="1" applyBorder="1" applyAlignment="1">
      <alignment horizontal="right" vertical="center" wrapText="1"/>
    </xf>
    <xf numFmtId="167" fontId="93" fillId="59" borderId="42" xfId="5752" applyNumberFormat="1" applyFont="1" applyFill="1" applyBorder="1" applyAlignment="1">
      <alignment horizontal="right" vertical="center" wrapText="1"/>
    </xf>
    <xf numFmtId="192" fontId="118" fillId="0" borderId="26" xfId="5179" applyNumberFormat="1" applyFont="1" applyFill="1" applyBorder="1" applyAlignment="1">
      <alignment horizontal="right" vertical="top" wrapText="1"/>
    </xf>
    <xf numFmtId="192" fontId="118" fillId="0" borderId="42" xfId="5179" applyNumberFormat="1" applyFont="1" applyFill="1" applyBorder="1" applyAlignment="1">
      <alignment horizontal="right" vertical="top" wrapText="1"/>
    </xf>
    <xf numFmtId="192" fontId="93" fillId="0" borderId="26" xfId="5179" applyNumberFormat="1" applyFont="1" applyFill="1" applyBorder="1" applyAlignment="1">
      <alignment horizontal="right" vertical="top" wrapText="1"/>
    </xf>
    <xf numFmtId="192" fontId="93" fillId="0" borderId="42" xfId="5179" applyNumberFormat="1" applyFont="1" applyFill="1" applyBorder="1" applyAlignment="1">
      <alignment horizontal="right" vertical="top" wrapText="1"/>
    </xf>
    <xf numFmtId="192" fontId="92" fillId="0" borderId="26" xfId="5179" applyNumberFormat="1" applyFont="1" applyFill="1" applyBorder="1" applyAlignment="1">
      <alignment horizontal="right" vertical="top" wrapText="1"/>
    </xf>
    <xf numFmtId="192" fontId="92" fillId="0" borderId="42" xfId="5179" applyNumberFormat="1" applyFont="1" applyFill="1" applyBorder="1" applyAlignment="1">
      <alignment horizontal="right" vertical="top" wrapText="1"/>
    </xf>
    <xf numFmtId="0" fontId="92" fillId="0" borderId="41" xfId="0" applyFont="1" applyFill="1" applyBorder="1"/>
    <xf numFmtId="192" fontId="93" fillId="0" borderId="26" xfId="5752" applyNumberFormat="1" applyFont="1" applyFill="1" applyBorder="1" applyAlignment="1">
      <alignment horizontal="right" vertical="center" wrapText="1"/>
    </xf>
    <xf numFmtId="9" fontId="118" fillId="59" borderId="26" xfId="5797" applyNumberFormat="1" applyFont="1" applyFill="1" applyBorder="1" applyAlignment="1">
      <alignment horizontal="right" vertical="center" wrapText="1"/>
    </xf>
    <xf numFmtId="192" fontId="92" fillId="0" borderId="26" xfId="5752" applyNumberFormat="1" applyFont="1" applyFill="1" applyBorder="1" applyAlignment="1">
      <alignment horizontal="right" vertical="center" wrapText="1"/>
    </xf>
    <xf numFmtId="192" fontId="112" fillId="2" borderId="0" xfId="5797" applyNumberFormat="1" applyFont="1" applyFill="1" applyBorder="1" applyAlignment="1"/>
    <xf numFmtId="0" fontId="121" fillId="2" borderId="0" xfId="0" applyFont="1" applyFill="1"/>
    <xf numFmtId="0" fontId="122" fillId="2" borderId="0" xfId="0" applyFont="1" applyFill="1"/>
    <xf numFmtId="166" fontId="123" fillId="2" borderId="0" xfId="2" applyFont="1" applyFill="1" applyBorder="1" applyAlignment="1">
      <alignment horizontal="left" indent="2"/>
    </xf>
    <xf numFmtId="167" fontId="123" fillId="2" borderId="0" xfId="5798" applyNumberFormat="1" applyFont="1" applyFill="1" applyBorder="1" applyAlignment="1">
      <alignment horizontal="left" vertical="center"/>
    </xf>
    <xf numFmtId="0" fontId="18" fillId="2" borderId="40" xfId="0" applyFont="1" applyFill="1" applyBorder="1" applyAlignment="1">
      <alignment horizontal="left" vertical="center" wrapText="1"/>
    </xf>
    <xf numFmtId="192" fontId="92" fillId="2" borderId="26" xfId="5752" applyNumberFormat="1" applyFont="1" applyFill="1" applyBorder="1" applyAlignment="1">
      <alignment horizontal="right" vertical="center" wrapText="1"/>
    </xf>
    <xf numFmtId="192" fontId="92" fillId="2" borderId="42" xfId="5752" applyNumberFormat="1" applyFont="1" applyFill="1" applyBorder="1" applyAlignment="1">
      <alignment horizontal="right" vertical="center" wrapText="1"/>
    </xf>
    <xf numFmtId="192" fontId="93" fillId="59" borderId="43" xfId="5752" applyNumberFormat="1" applyFont="1" applyFill="1" applyBorder="1" applyAlignment="1">
      <alignment horizontal="right" vertical="center" wrapText="1"/>
    </xf>
    <xf numFmtId="192" fontId="92" fillId="59" borderId="43" xfId="5752" applyNumberFormat="1" applyFont="1" applyFill="1" applyBorder="1" applyAlignment="1">
      <alignment horizontal="right" vertical="center" wrapText="1"/>
    </xf>
    <xf numFmtId="1" fontId="117" fillId="66" borderId="0" xfId="0" applyNumberFormat="1" applyFont="1" applyFill="1" applyBorder="1" applyAlignment="1">
      <alignment horizontal="center" vertical="center" wrapText="1"/>
    </xf>
    <xf numFmtId="1" fontId="117" fillId="66" borderId="47" xfId="0" applyNumberFormat="1" applyFont="1" applyFill="1" applyBorder="1" applyAlignment="1">
      <alignment horizontal="center" vertical="center" wrapText="1"/>
    </xf>
    <xf numFmtId="192" fontId="92" fillId="59" borderId="49" xfId="5752" applyNumberFormat="1" applyFont="1" applyFill="1" applyBorder="1" applyAlignment="1">
      <alignment horizontal="right" vertical="center" wrapText="1"/>
    </xf>
    <xf numFmtId="192" fontId="92" fillId="59" borderId="52" xfId="5752" applyNumberFormat="1" applyFont="1" applyFill="1" applyBorder="1" applyAlignment="1">
      <alignment horizontal="right" vertical="center" wrapText="1"/>
    </xf>
    <xf numFmtId="192" fontId="93" fillId="59" borderId="52" xfId="5752" applyNumberFormat="1" applyFont="1" applyFill="1" applyBorder="1" applyAlignment="1">
      <alignment horizontal="right" vertical="center" wrapText="1"/>
    </xf>
    <xf numFmtId="192" fontId="93" fillId="59" borderId="49" xfId="5752" applyNumberFormat="1" applyFont="1" applyFill="1" applyBorder="1" applyAlignment="1">
      <alignment horizontal="right" vertical="center" wrapText="1"/>
    </xf>
    <xf numFmtId="192" fontId="93" fillId="59" borderId="51" xfId="5752" applyNumberFormat="1" applyFont="1" applyFill="1" applyBorder="1" applyAlignment="1">
      <alignment horizontal="right" vertical="center" wrapText="1"/>
    </xf>
    <xf numFmtId="192" fontId="93" fillId="2" borderId="42" xfId="5752" applyNumberFormat="1" applyFont="1" applyFill="1" applyBorder="1" applyAlignment="1">
      <alignment horizontal="right" vertical="center" wrapText="1"/>
    </xf>
    <xf numFmtId="192" fontId="92" fillId="2" borderId="52" xfId="5752" applyNumberFormat="1" applyFont="1" applyFill="1" applyBorder="1" applyAlignment="1">
      <alignment horizontal="right" vertical="center" wrapText="1"/>
    </xf>
    <xf numFmtId="192" fontId="93" fillId="2" borderId="52" xfId="5752" applyNumberFormat="1" applyFont="1" applyFill="1" applyBorder="1" applyAlignment="1">
      <alignment horizontal="right" vertical="center" wrapText="1"/>
    </xf>
    <xf numFmtId="192" fontId="92" fillId="59" borderId="51" xfId="5752" applyNumberFormat="1" applyFont="1" applyFill="1" applyBorder="1" applyAlignment="1">
      <alignment horizontal="right" vertical="center" wrapText="1"/>
    </xf>
    <xf numFmtId="192" fontId="92" fillId="59" borderId="53" xfId="5752" applyNumberFormat="1" applyFont="1" applyFill="1" applyBorder="1" applyAlignment="1">
      <alignment horizontal="right" vertical="center" wrapText="1"/>
    </xf>
    <xf numFmtId="1" fontId="117" fillId="66" borderId="0" xfId="0" applyNumberFormat="1" applyFont="1" applyFill="1" applyBorder="1" applyAlignment="1">
      <alignment horizontal="center" wrapText="1"/>
    </xf>
    <xf numFmtId="1" fontId="117" fillId="66" borderId="47" xfId="0" applyNumberFormat="1" applyFont="1" applyFill="1" applyBorder="1" applyAlignment="1">
      <alignment horizontal="center" wrapText="1"/>
    </xf>
    <xf numFmtId="43" fontId="92" fillId="0" borderId="52" xfId="5179" applyFont="1" applyFill="1" applyBorder="1" applyAlignment="1">
      <alignment horizontal="right" vertical="top" wrapText="1"/>
    </xf>
    <xf numFmtId="192" fontId="118" fillId="0" borderId="52" xfId="5179" applyNumberFormat="1" applyFont="1" applyFill="1" applyBorder="1" applyAlignment="1">
      <alignment horizontal="right" vertical="top" wrapText="1"/>
    </xf>
    <xf numFmtId="192" fontId="118" fillId="0" borderId="49" xfId="5179" applyNumberFormat="1" applyFont="1" applyFill="1" applyBorder="1" applyAlignment="1">
      <alignment horizontal="right" vertical="top" wrapText="1"/>
    </xf>
    <xf numFmtId="192" fontId="93" fillId="0" borderId="52" xfId="5179" applyNumberFormat="1" applyFont="1" applyFill="1" applyBorder="1" applyAlignment="1">
      <alignment horizontal="right" vertical="top" wrapText="1"/>
    </xf>
    <xf numFmtId="192" fontId="93" fillId="0" borderId="49" xfId="5179" applyNumberFormat="1" applyFont="1" applyFill="1" applyBorder="1" applyAlignment="1">
      <alignment horizontal="right" vertical="top" wrapText="1"/>
    </xf>
    <xf numFmtId="192" fontId="92" fillId="0" borderId="52" xfId="5179" applyNumberFormat="1" applyFont="1" applyFill="1" applyBorder="1" applyAlignment="1">
      <alignment horizontal="right" vertical="top" wrapText="1"/>
    </xf>
    <xf numFmtId="192" fontId="93" fillId="0" borderId="51" xfId="5179" applyNumberFormat="1" applyFont="1" applyFill="1" applyBorder="1" applyAlignment="1">
      <alignment horizontal="right" vertical="top" wrapText="1"/>
    </xf>
    <xf numFmtId="192" fontId="93" fillId="0" borderId="53" xfId="5179" applyNumberFormat="1" applyFont="1" applyFill="1" applyBorder="1" applyAlignment="1">
      <alignment horizontal="right" vertical="top" wrapText="1"/>
    </xf>
    <xf numFmtId="192" fontId="93" fillId="0" borderId="54" xfId="5179" applyNumberFormat="1" applyFont="1" applyFill="1" applyBorder="1" applyAlignment="1">
      <alignment horizontal="right" vertical="top" wrapText="1"/>
    </xf>
    <xf numFmtId="1" fontId="117" fillId="66" borderId="48" xfId="0" applyNumberFormat="1" applyFont="1" applyFill="1" applyBorder="1" applyAlignment="1">
      <alignment horizontal="center" vertical="center" wrapText="1"/>
    </xf>
    <xf numFmtId="167" fontId="92" fillId="59" borderId="52" xfId="5752" applyNumberFormat="1" applyFont="1" applyFill="1" applyBorder="1" applyAlignment="1">
      <alignment horizontal="right" vertical="center" wrapText="1"/>
    </xf>
    <xf numFmtId="167" fontId="92" fillId="59" borderId="49" xfId="5752" applyNumberFormat="1" applyFont="1" applyFill="1" applyBorder="1" applyAlignment="1">
      <alignment horizontal="right" vertical="center" wrapText="1"/>
    </xf>
    <xf numFmtId="167" fontId="93" fillId="59" borderId="52" xfId="5752" applyNumberFormat="1" applyFont="1" applyFill="1" applyBorder="1" applyAlignment="1">
      <alignment horizontal="right" vertical="center" wrapText="1"/>
    </xf>
    <xf numFmtId="167" fontId="93" fillId="59" borderId="51" xfId="5752" applyNumberFormat="1" applyFont="1" applyFill="1" applyBorder="1" applyAlignment="1">
      <alignment horizontal="right" vertical="center" wrapText="1"/>
    </xf>
    <xf numFmtId="167" fontId="93" fillId="59" borderId="53" xfId="5752" applyNumberFormat="1" applyFont="1" applyFill="1" applyBorder="1" applyAlignment="1">
      <alignment horizontal="right" vertical="center" wrapText="1"/>
    </xf>
    <xf numFmtId="231" fontId="112" fillId="2" borderId="0" xfId="0" applyNumberFormat="1" applyFont="1" applyFill="1" applyBorder="1"/>
    <xf numFmtId="1" fontId="117" fillId="66" borderId="38" xfId="0" applyNumberFormat="1" applyFont="1" applyFill="1" applyBorder="1" applyAlignment="1">
      <alignment horizontal="center" vertical="center" wrapText="1"/>
    </xf>
    <xf numFmtId="0" fontId="42" fillId="59" borderId="0" xfId="0" applyFont="1" applyFill="1" applyBorder="1" applyAlignment="1">
      <alignment wrapText="1"/>
    </xf>
    <xf numFmtId="43" fontId="92" fillId="0" borderId="43" xfId="5179" applyFont="1" applyFill="1" applyBorder="1" applyAlignment="1">
      <alignment horizontal="right" vertical="top" wrapText="1"/>
    </xf>
    <xf numFmtId="192" fontId="118" fillId="0" borderId="43" xfId="5179" applyNumberFormat="1" applyFont="1" applyFill="1" applyBorder="1" applyAlignment="1">
      <alignment horizontal="right" vertical="top" wrapText="1"/>
    </xf>
    <xf numFmtId="192" fontId="93" fillId="0" borderId="43" xfId="5179" applyNumberFormat="1" applyFont="1" applyFill="1" applyBorder="1" applyAlignment="1">
      <alignment horizontal="right" vertical="top" wrapText="1"/>
    </xf>
    <xf numFmtId="192" fontId="92" fillId="0" borderId="43" xfId="5179" applyNumberFormat="1" applyFont="1" applyFill="1" applyBorder="1" applyAlignment="1">
      <alignment horizontal="right" vertical="top" wrapText="1"/>
    </xf>
    <xf numFmtId="192" fontId="93" fillId="0" borderId="55" xfId="5179" applyNumberFormat="1" applyFont="1" applyFill="1" applyBorder="1" applyAlignment="1">
      <alignment horizontal="right" vertical="top" wrapText="1"/>
    </xf>
    <xf numFmtId="192" fontId="118" fillId="59" borderId="52" xfId="5752" applyNumberFormat="1" applyFont="1" applyFill="1" applyBorder="1" applyAlignment="1">
      <alignment horizontal="right" vertical="center" wrapText="1"/>
    </xf>
    <xf numFmtId="9" fontId="118" fillId="59" borderId="52" xfId="5797" applyFont="1" applyFill="1" applyBorder="1" applyAlignment="1">
      <alignment horizontal="right" vertical="center" wrapText="1"/>
    </xf>
    <xf numFmtId="0" fontId="112" fillId="2" borderId="44" xfId="0" applyFont="1" applyFill="1" applyBorder="1"/>
    <xf numFmtId="0" fontId="112" fillId="2" borderId="45" xfId="0" applyFont="1" applyFill="1" applyBorder="1"/>
    <xf numFmtId="192" fontId="93" fillId="59" borderId="50" xfId="5752" applyNumberFormat="1" applyFont="1" applyFill="1" applyBorder="1" applyAlignment="1">
      <alignment horizontal="right" vertical="center" wrapText="1"/>
    </xf>
    <xf numFmtId="192" fontId="93" fillId="2" borderId="43" xfId="5752" applyNumberFormat="1" applyFont="1" applyFill="1" applyBorder="1" applyAlignment="1">
      <alignment horizontal="right" vertical="center" wrapText="1"/>
    </xf>
    <xf numFmtId="0" fontId="117" fillId="66" borderId="0" xfId="0" applyFont="1" applyFill="1" applyBorder="1" applyAlignment="1">
      <alignment horizontal="center" vertical="center" wrapText="1"/>
    </xf>
    <xf numFmtId="43" fontId="92" fillId="0" borderId="49" xfId="5179" applyFont="1" applyFill="1" applyBorder="1" applyAlignment="1">
      <alignment horizontal="right" vertical="top" wrapText="1"/>
    </xf>
    <xf numFmtId="232" fontId="93" fillId="59" borderId="26" xfId="5798" applyNumberFormat="1" applyFont="1" applyFill="1" applyBorder="1" applyAlignment="1">
      <alignment horizontal="right" vertical="center" wrapText="1"/>
    </xf>
    <xf numFmtId="233" fontId="93" fillId="59" borderId="26" xfId="5798" applyNumberFormat="1" applyFont="1" applyFill="1" applyBorder="1" applyAlignment="1">
      <alignment horizontal="right" vertical="center" wrapText="1"/>
    </xf>
    <xf numFmtId="192" fontId="93" fillId="59" borderId="56" xfId="5752" applyNumberFormat="1" applyFont="1" applyFill="1" applyBorder="1" applyAlignment="1">
      <alignment horizontal="right" vertical="center" wrapText="1"/>
    </xf>
    <xf numFmtId="192" fontId="93" fillId="59" borderId="57" xfId="5752" applyNumberFormat="1" applyFont="1" applyFill="1" applyBorder="1" applyAlignment="1">
      <alignment horizontal="right" vertical="center" wrapText="1"/>
    </xf>
    <xf numFmtId="0" fontId="112" fillId="2" borderId="46" xfId="0" applyFont="1" applyFill="1" applyBorder="1"/>
    <xf numFmtId="192" fontId="92" fillId="2" borderId="43" xfId="5752" applyNumberFormat="1" applyFont="1" applyFill="1" applyBorder="1" applyAlignment="1">
      <alignment horizontal="right" vertical="center" wrapText="1"/>
    </xf>
    <xf numFmtId="192" fontId="92" fillId="59" borderId="54" xfId="5752" applyNumberFormat="1" applyFont="1" applyFill="1" applyBorder="1" applyAlignment="1">
      <alignment horizontal="right" vertical="center" wrapText="1"/>
    </xf>
    <xf numFmtId="234" fontId="93" fillId="59" borderId="26" xfId="5752" applyNumberFormat="1" applyFont="1" applyFill="1" applyBorder="1" applyAlignment="1">
      <alignment horizontal="right" vertical="center" wrapText="1"/>
    </xf>
    <xf numFmtId="234" fontId="92" fillId="59" borderId="26" xfId="5752" applyNumberFormat="1" applyFont="1" applyFill="1" applyBorder="1" applyAlignment="1">
      <alignment horizontal="right" vertical="center" wrapText="1"/>
    </xf>
    <xf numFmtId="167" fontId="93" fillId="0" borderId="42" xfId="5179" applyNumberFormat="1" applyFont="1" applyFill="1" applyBorder="1" applyAlignment="1">
      <alignment horizontal="right" vertical="top" wrapText="1"/>
    </xf>
    <xf numFmtId="9" fontId="118" fillId="59" borderId="56" xfId="5797" applyFont="1" applyFill="1" applyBorder="1" applyAlignment="1">
      <alignment horizontal="right" vertical="center" wrapText="1"/>
    </xf>
    <xf numFmtId="9" fontId="118" fillId="59" borderId="57" xfId="5797" applyFont="1" applyFill="1" applyBorder="1" applyAlignment="1">
      <alignment horizontal="right" vertical="center" wrapText="1"/>
    </xf>
    <xf numFmtId="9" fontId="118" fillId="59" borderId="0" xfId="5797" applyFont="1" applyFill="1" applyBorder="1" applyAlignment="1">
      <alignment horizontal="right" vertical="center" wrapText="1"/>
    </xf>
    <xf numFmtId="9" fontId="92" fillId="59" borderId="51" xfId="5797" applyFont="1" applyFill="1" applyBorder="1" applyAlignment="1">
      <alignment horizontal="right" vertical="center" wrapText="1"/>
    </xf>
    <xf numFmtId="9" fontId="92" fillId="59" borderId="50" xfId="5797" applyFont="1" applyFill="1" applyBorder="1" applyAlignment="1">
      <alignment horizontal="right" vertical="center" wrapText="1"/>
    </xf>
    <xf numFmtId="9" fontId="92" fillId="59" borderId="42" xfId="5797" applyFont="1" applyFill="1" applyBorder="1" applyAlignment="1">
      <alignment horizontal="right" vertical="center" wrapText="1"/>
    </xf>
    <xf numFmtId="9" fontId="92" fillId="59" borderId="26" xfId="5797" applyFont="1" applyFill="1" applyBorder="1" applyAlignment="1">
      <alignment horizontal="right" vertical="center" wrapText="1"/>
    </xf>
    <xf numFmtId="0" fontId="125" fillId="2" borderId="0" xfId="0" applyFont="1" applyFill="1" applyBorder="1"/>
    <xf numFmtId="230" fontId="125" fillId="2" borderId="0" xfId="0" applyNumberFormat="1" applyFont="1" applyFill="1" applyBorder="1"/>
    <xf numFmtId="0" fontId="126" fillId="66" borderId="26" xfId="0" applyFont="1" applyFill="1" applyBorder="1" applyAlignment="1">
      <alignment horizontal="center" vertical="center" wrapText="1"/>
    </xf>
    <xf numFmtId="192" fontId="124" fillId="59" borderId="26" xfId="5752" applyNumberFormat="1" applyFont="1" applyFill="1" applyBorder="1" applyAlignment="1">
      <alignment horizontal="right" vertical="center" wrapText="1"/>
    </xf>
    <xf numFmtId="192" fontId="118" fillId="2" borderId="42" xfId="5752" applyNumberFormat="1" applyFont="1" applyFill="1" applyBorder="1" applyAlignment="1">
      <alignment horizontal="right" vertical="center" wrapText="1"/>
    </xf>
    <xf numFmtId="192" fontId="118" fillId="59" borderId="49" xfId="5752" applyNumberFormat="1" applyFont="1" applyFill="1" applyBorder="1" applyAlignment="1">
      <alignment horizontal="right" vertical="center" wrapText="1"/>
    </xf>
    <xf numFmtId="192" fontId="124" fillId="59" borderId="49" xfId="5752" applyNumberFormat="1" applyFont="1" applyFill="1" applyBorder="1" applyAlignment="1">
      <alignment horizontal="right" vertical="center" wrapText="1"/>
    </xf>
    <xf numFmtId="9" fontId="118" fillId="59" borderId="49" xfId="5797" applyFont="1" applyFill="1" applyBorder="1" applyAlignment="1">
      <alignment horizontal="right" vertical="center" wrapText="1"/>
    </xf>
    <xf numFmtId="9" fontId="118" fillId="59" borderId="58" xfId="5797" applyFont="1" applyFill="1" applyBorder="1" applyAlignment="1">
      <alignment horizontal="right" vertical="center" wrapText="1"/>
    </xf>
    <xf numFmtId="192" fontId="93" fillId="59" borderId="59" xfId="5752" applyNumberFormat="1" applyFont="1" applyFill="1" applyBorder="1" applyAlignment="1">
      <alignment horizontal="right" vertical="center" wrapText="1"/>
    </xf>
    <xf numFmtId="192" fontId="93" fillId="59" borderId="34" xfId="5752" applyNumberFormat="1" applyFont="1" applyFill="1" applyBorder="1" applyAlignment="1">
      <alignment horizontal="right" vertical="center" wrapText="1"/>
    </xf>
    <xf numFmtId="9" fontId="92" fillId="59" borderId="54" xfId="5797" applyFont="1" applyFill="1" applyBorder="1" applyAlignment="1">
      <alignment horizontal="right" vertical="center" wrapText="1"/>
    </xf>
    <xf numFmtId="192" fontId="93" fillId="59" borderId="54" xfId="5752" applyNumberFormat="1" applyFont="1" applyFill="1" applyBorder="1" applyAlignment="1">
      <alignment horizontal="right" vertical="center" wrapText="1"/>
    </xf>
    <xf numFmtId="235" fontId="92" fillId="59" borderId="33" xfId="0" applyNumberFormat="1" applyFont="1" applyFill="1" applyBorder="1" applyAlignment="1">
      <alignment vertical="center"/>
    </xf>
    <xf numFmtId="0" fontId="93" fillId="59" borderId="48" xfId="0" applyFont="1" applyFill="1" applyBorder="1" applyAlignment="1">
      <alignment horizontal="center" vertical="center" wrapText="1"/>
    </xf>
    <xf numFmtId="0" fontId="93" fillId="59" borderId="46" xfId="0" applyFont="1" applyFill="1" applyBorder="1" applyAlignment="1">
      <alignment horizontal="center" vertical="center" wrapText="1"/>
    </xf>
    <xf numFmtId="167" fontId="92" fillId="59" borderId="43" xfId="5752" applyNumberFormat="1" applyFont="1" applyFill="1" applyBorder="1" applyAlignment="1">
      <alignment horizontal="right" vertical="center" wrapText="1"/>
    </xf>
    <xf numFmtId="167" fontId="93" fillId="59" borderId="43" xfId="5752" applyNumberFormat="1" applyFont="1" applyFill="1" applyBorder="1" applyAlignment="1">
      <alignment horizontal="right" vertical="center" wrapText="1"/>
    </xf>
    <xf numFmtId="167" fontId="93" fillId="59" borderId="55" xfId="5752" applyNumberFormat="1" applyFont="1" applyFill="1" applyBorder="1" applyAlignment="1">
      <alignment horizontal="right" vertical="center" wrapText="1"/>
    </xf>
    <xf numFmtId="236" fontId="92" fillId="59" borderId="33" xfId="0" applyNumberFormat="1" applyFont="1" applyFill="1" applyBorder="1" applyAlignment="1">
      <alignment vertical="center"/>
    </xf>
    <xf numFmtId="192" fontId="93" fillId="59" borderId="60" xfId="5752" applyNumberFormat="1" applyFont="1" applyFill="1" applyBorder="1" applyAlignment="1">
      <alignment horizontal="right" vertical="center" wrapText="1"/>
    </xf>
    <xf numFmtId="0" fontId="18" fillId="0" borderId="61" xfId="0" applyFont="1" applyBorder="1" applyAlignment="1">
      <alignment horizontal="left" vertical="center" wrapText="1"/>
    </xf>
    <xf numFmtId="192" fontId="118" fillId="0" borderId="26" xfId="5752" applyNumberFormat="1" applyFont="1" applyFill="1" applyBorder="1" applyAlignment="1">
      <alignment horizontal="right" vertical="center" wrapText="1"/>
    </xf>
    <xf numFmtId="192" fontId="92" fillId="59" borderId="50" xfId="5752" applyNumberFormat="1" applyFont="1" applyFill="1" applyBorder="1" applyAlignment="1">
      <alignment horizontal="right" vertical="center" wrapText="1"/>
    </xf>
    <xf numFmtId="167" fontId="92" fillId="59" borderId="54" xfId="5752" applyNumberFormat="1" applyFont="1" applyFill="1" applyBorder="1" applyAlignment="1">
      <alignment horizontal="right" vertical="center" wrapText="1"/>
    </xf>
    <xf numFmtId="9" fontId="92" fillId="59" borderId="26" xfId="5797" applyNumberFormat="1" applyFont="1" applyFill="1" applyBorder="1" applyAlignment="1">
      <alignment horizontal="right" vertical="center" wrapText="1"/>
    </xf>
    <xf numFmtId="0" fontId="113" fillId="2" borderId="0" xfId="0" applyFont="1" applyFill="1" applyAlignment="1">
      <alignment horizontal="center"/>
    </xf>
    <xf numFmtId="0" fontId="42" fillId="2" borderId="0" xfId="0" applyFont="1" applyFill="1" applyAlignment="1">
      <alignment horizontal="center"/>
    </xf>
    <xf numFmtId="0" fontId="18" fillId="2" borderId="0" xfId="0" applyFont="1" applyFill="1" applyAlignment="1">
      <alignment horizontal="justify" wrapText="1"/>
    </xf>
    <xf numFmtId="0" fontId="93" fillId="59" borderId="44" xfId="0" applyFont="1" applyFill="1" applyBorder="1" applyAlignment="1">
      <alignment horizontal="center" vertical="center" wrapText="1"/>
    </xf>
    <xf numFmtId="0" fontId="93" fillId="59" borderId="45" xfId="0" applyFont="1" applyFill="1" applyBorder="1" applyAlignment="1">
      <alignment horizontal="center" vertical="center" wrapText="1"/>
    </xf>
    <xf numFmtId="0" fontId="93" fillId="59" borderId="46" xfId="0" applyFont="1" applyFill="1" applyBorder="1" applyAlignment="1">
      <alignment horizontal="center" vertical="center" wrapText="1"/>
    </xf>
    <xf numFmtId="0" fontId="93" fillId="59" borderId="47" xfId="0" applyFont="1" applyFill="1" applyBorder="1" applyAlignment="1">
      <alignment horizontal="center" vertical="center" wrapText="1"/>
    </xf>
    <xf numFmtId="0" fontId="93" fillId="59" borderId="0" xfId="0" applyFont="1" applyFill="1" applyBorder="1" applyAlignment="1">
      <alignment horizontal="center" vertical="center" wrapText="1"/>
    </xf>
    <xf numFmtId="0" fontId="93" fillId="59" borderId="48" xfId="0" applyFont="1" applyFill="1" applyBorder="1" applyAlignment="1">
      <alignment horizontal="center" vertical="center" wrapText="1"/>
    </xf>
    <xf numFmtId="0" fontId="93" fillId="59" borderId="44" xfId="0" applyFont="1" applyFill="1" applyBorder="1" applyAlignment="1">
      <alignment horizontal="center" wrapText="1"/>
    </xf>
    <xf numFmtId="0" fontId="93" fillId="59" borderId="45" xfId="0" applyFont="1" applyFill="1" applyBorder="1" applyAlignment="1">
      <alignment horizontal="center" wrapText="1"/>
    </xf>
    <xf numFmtId="0" fontId="93" fillId="59" borderId="46" xfId="0" applyFont="1" applyFill="1" applyBorder="1" applyAlignment="1">
      <alignment horizontal="center" wrapText="1"/>
    </xf>
    <xf numFmtId="0" fontId="93" fillId="59" borderId="47" xfId="0" applyFont="1" applyFill="1" applyBorder="1" applyAlignment="1">
      <alignment horizontal="center" wrapText="1"/>
    </xf>
    <xf numFmtId="0" fontId="93" fillId="59" borderId="0" xfId="0" applyFont="1" applyFill="1" applyBorder="1" applyAlignment="1">
      <alignment horizontal="center" wrapText="1"/>
    </xf>
    <xf numFmtId="0" fontId="93" fillId="59" borderId="48" xfId="0" applyFont="1" applyFill="1" applyBorder="1" applyAlignment="1">
      <alignment horizontal="center" wrapText="1"/>
    </xf>
    <xf numFmtId="0" fontId="117" fillId="2" borderId="26" xfId="0" applyFont="1" applyFill="1" applyBorder="1" applyAlignment="1">
      <alignment horizontal="center" vertical="center" wrapText="1"/>
    </xf>
    <xf numFmtId="0" fontId="92" fillId="2" borderId="33" xfId="0" applyFont="1" applyFill="1" applyBorder="1" applyAlignment="1">
      <alignment vertical="center"/>
    </xf>
  </cellXfs>
  <cellStyles count="5799">
    <cellStyle name="%" xfId="4" xr:uid="{00000000-0005-0000-0000-000000000000}"/>
    <cellStyle name="1" xfId="5" xr:uid="{00000000-0005-0000-0000-000001000000}"/>
    <cellStyle name="1 2" xfId="6" xr:uid="{00000000-0005-0000-0000-000002000000}"/>
    <cellStyle name="20% - Accent1" xfId="7" xr:uid="{00000000-0005-0000-0000-000003000000}"/>
    <cellStyle name="20% - Accent1 2" xfId="8" xr:uid="{00000000-0005-0000-0000-000004000000}"/>
    <cellStyle name="20% - Accent2" xfId="9" xr:uid="{00000000-0005-0000-0000-000005000000}"/>
    <cellStyle name="20% - Accent2 2" xfId="10" xr:uid="{00000000-0005-0000-0000-000006000000}"/>
    <cellStyle name="20% - Accent3" xfId="11" xr:uid="{00000000-0005-0000-0000-000007000000}"/>
    <cellStyle name="20% - Accent3 2" xfId="12" xr:uid="{00000000-0005-0000-0000-000008000000}"/>
    <cellStyle name="20% - Accent4" xfId="13" xr:uid="{00000000-0005-0000-0000-000009000000}"/>
    <cellStyle name="20% - Accent4 2" xfId="14" xr:uid="{00000000-0005-0000-0000-00000A000000}"/>
    <cellStyle name="20% - Accent5" xfId="15" xr:uid="{00000000-0005-0000-0000-00000B000000}"/>
    <cellStyle name="20% - Accent5 2" xfId="16" xr:uid="{00000000-0005-0000-0000-00000C000000}"/>
    <cellStyle name="20% - Accent6" xfId="17" xr:uid="{00000000-0005-0000-0000-00000D000000}"/>
    <cellStyle name="20% - Accent6 2" xfId="18" xr:uid="{00000000-0005-0000-0000-00000E000000}"/>
    <cellStyle name="20% - Ênfase1 10" xfId="19" xr:uid="{00000000-0005-0000-0000-00000F000000}"/>
    <cellStyle name="20% - Ênfase1 10 2" xfId="20" xr:uid="{00000000-0005-0000-0000-000010000000}"/>
    <cellStyle name="20% - Ênfase1 10 2 2" xfId="21" xr:uid="{00000000-0005-0000-0000-000011000000}"/>
    <cellStyle name="20% - Ênfase1 10 2 2 2" xfId="22" xr:uid="{00000000-0005-0000-0000-000012000000}"/>
    <cellStyle name="20% - Ênfase1 10 2 3" xfId="23" xr:uid="{00000000-0005-0000-0000-000013000000}"/>
    <cellStyle name="20% - Ênfase1 10 3" xfId="24" xr:uid="{00000000-0005-0000-0000-000014000000}"/>
    <cellStyle name="20% - Ênfase1 10 3 2" xfId="25" xr:uid="{00000000-0005-0000-0000-000015000000}"/>
    <cellStyle name="20% - Ênfase1 10 4" xfId="26" xr:uid="{00000000-0005-0000-0000-000016000000}"/>
    <cellStyle name="20% - Ênfase1 10 4 2" xfId="27" xr:uid="{00000000-0005-0000-0000-000017000000}"/>
    <cellStyle name="20% - Ênfase1 10 5" xfId="28" xr:uid="{00000000-0005-0000-0000-000018000000}"/>
    <cellStyle name="20% - Ênfase1 11" xfId="29" xr:uid="{00000000-0005-0000-0000-000019000000}"/>
    <cellStyle name="20% - Ênfase1 11 2" xfId="30" xr:uid="{00000000-0005-0000-0000-00001A000000}"/>
    <cellStyle name="20% - Ênfase1 11 2 2" xfId="31" xr:uid="{00000000-0005-0000-0000-00001B000000}"/>
    <cellStyle name="20% - Ênfase1 11 2 2 2" xfId="32" xr:uid="{00000000-0005-0000-0000-00001C000000}"/>
    <cellStyle name="20% - Ênfase1 11 2 3" xfId="33" xr:uid="{00000000-0005-0000-0000-00001D000000}"/>
    <cellStyle name="20% - Ênfase1 11 3" xfId="34" xr:uid="{00000000-0005-0000-0000-00001E000000}"/>
    <cellStyle name="20% - Ênfase1 11 3 2" xfId="35" xr:uid="{00000000-0005-0000-0000-00001F000000}"/>
    <cellStyle name="20% - Ênfase1 11 4" xfId="36" xr:uid="{00000000-0005-0000-0000-000020000000}"/>
    <cellStyle name="20% - Ênfase1 11 4 2" xfId="37" xr:uid="{00000000-0005-0000-0000-000021000000}"/>
    <cellStyle name="20% - Ênfase1 11 5" xfId="38" xr:uid="{00000000-0005-0000-0000-000022000000}"/>
    <cellStyle name="20% - Ênfase1 12" xfId="39" xr:uid="{00000000-0005-0000-0000-000023000000}"/>
    <cellStyle name="20% - Ênfase1 12 2" xfId="40" xr:uid="{00000000-0005-0000-0000-000024000000}"/>
    <cellStyle name="20% - Ênfase1 12 2 2" xfId="41" xr:uid="{00000000-0005-0000-0000-000025000000}"/>
    <cellStyle name="20% - Ênfase1 12 2 2 2" xfId="42" xr:uid="{00000000-0005-0000-0000-000026000000}"/>
    <cellStyle name="20% - Ênfase1 12 2 3" xfId="43" xr:uid="{00000000-0005-0000-0000-000027000000}"/>
    <cellStyle name="20% - Ênfase1 12 3" xfId="44" xr:uid="{00000000-0005-0000-0000-000028000000}"/>
    <cellStyle name="20% - Ênfase1 12 3 2" xfId="45" xr:uid="{00000000-0005-0000-0000-000029000000}"/>
    <cellStyle name="20% - Ênfase1 12 4" xfId="46" xr:uid="{00000000-0005-0000-0000-00002A000000}"/>
    <cellStyle name="20% - Ênfase1 12 4 2" xfId="47" xr:uid="{00000000-0005-0000-0000-00002B000000}"/>
    <cellStyle name="20% - Ênfase1 12 5" xfId="48" xr:uid="{00000000-0005-0000-0000-00002C000000}"/>
    <cellStyle name="20% - Ênfase1 13" xfId="49" xr:uid="{00000000-0005-0000-0000-00002D000000}"/>
    <cellStyle name="20% - Ênfase1 13 2" xfId="50" xr:uid="{00000000-0005-0000-0000-00002E000000}"/>
    <cellStyle name="20% - Ênfase1 13 2 2" xfId="51" xr:uid="{00000000-0005-0000-0000-00002F000000}"/>
    <cellStyle name="20% - Ênfase1 13 2 2 2" xfId="52" xr:uid="{00000000-0005-0000-0000-000030000000}"/>
    <cellStyle name="20% - Ênfase1 13 2 3" xfId="53" xr:uid="{00000000-0005-0000-0000-000031000000}"/>
    <cellStyle name="20% - Ênfase1 13 3" xfId="54" xr:uid="{00000000-0005-0000-0000-000032000000}"/>
    <cellStyle name="20% - Ênfase1 13 3 2" xfId="55" xr:uid="{00000000-0005-0000-0000-000033000000}"/>
    <cellStyle name="20% - Ênfase1 13 4" xfId="56" xr:uid="{00000000-0005-0000-0000-000034000000}"/>
    <cellStyle name="20% - Ênfase1 13 4 2" xfId="57" xr:uid="{00000000-0005-0000-0000-000035000000}"/>
    <cellStyle name="20% - Ênfase1 13 5" xfId="58" xr:uid="{00000000-0005-0000-0000-000036000000}"/>
    <cellStyle name="20% - Ênfase1 14" xfId="59" xr:uid="{00000000-0005-0000-0000-000037000000}"/>
    <cellStyle name="20% - Ênfase1 14 2" xfId="60" xr:uid="{00000000-0005-0000-0000-000038000000}"/>
    <cellStyle name="20% - Ênfase1 14 2 2" xfId="61" xr:uid="{00000000-0005-0000-0000-000039000000}"/>
    <cellStyle name="20% - Ênfase1 14 2 2 2" xfId="62" xr:uid="{00000000-0005-0000-0000-00003A000000}"/>
    <cellStyle name="20% - Ênfase1 14 2 3" xfId="63" xr:uid="{00000000-0005-0000-0000-00003B000000}"/>
    <cellStyle name="20% - Ênfase1 14 3" xfId="64" xr:uid="{00000000-0005-0000-0000-00003C000000}"/>
    <cellStyle name="20% - Ênfase1 14 3 2" xfId="65" xr:uid="{00000000-0005-0000-0000-00003D000000}"/>
    <cellStyle name="20% - Ênfase1 14 4" xfId="66" xr:uid="{00000000-0005-0000-0000-00003E000000}"/>
    <cellStyle name="20% - Ênfase1 14 4 2" xfId="67" xr:uid="{00000000-0005-0000-0000-00003F000000}"/>
    <cellStyle name="20% - Ênfase1 14 5" xfId="68" xr:uid="{00000000-0005-0000-0000-000040000000}"/>
    <cellStyle name="20% - Ênfase1 15" xfId="69" xr:uid="{00000000-0005-0000-0000-000041000000}"/>
    <cellStyle name="20% - Ênfase1 15 2" xfId="70" xr:uid="{00000000-0005-0000-0000-000042000000}"/>
    <cellStyle name="20% - Ênfase1 15 2 2" xfId="71" xr:uid="{00000000-0005-0000-0000-000043000000}"/>
    <cellStyle name="20% - Ênfase1 15 2 2 2" xfId="72" xr:uid="{00000000-0005-0000-0000-000044000000}"/>
    <cellStyle name="20% - Ênfase1 15 2 3" xfId="73" xr:uid="{00000000-0005-0000-0000-000045000000}"/>
    <cellStyle name="20% - Ênfase1 15 3" xfId="74" xr:uid="{00000000-0005-0000-0000-000046000000}"/>
    <cellStyle name="20% - Ênfase1 15 3 2" xfId="75" xr:uid="{00000000-0005-0000-0000-000047000000}"/>
    <cellStyle name="20% - Ênfase1 15 4" xfId="76" xr:uid="{00000000-0005-0000-0000-000048000000}"/>
    <cellStyle name="20% - Ênfase1 15 4 2" xfId="77" xr:uid="{00000000-0005-0000-0000-000049000000}"/>
    <cellStyle name="20% - Ênfase1 15 5" xfId="78" xr:uid="{00000000-0005-0000-0000-00004A000000}"/>
    <cellStyle name="20% - Ênfase1 16" xfId="79" xr:uid="{00000000-0005-0000-0000-00004B000000}"/>
    <cellStyle name="20% - Ênfase1 16 2" xfId="80" xr:uid="{00000000-0005-0000-0000-00004C000000}"/>
    <cellStyle name="20% - Ênfase1 16 2 2" xfId="81" xr:uid="{00000000-0005-0000-0000-00004D000000}"/>
    <cellStyle name="20% - Ênfase1 16 2 2 2" xfId="82" xr:uid="{00000000-0005-0000-0000-00004E000000}"/>
    <cellStyle name="20% - Ênfase1 16 2 3" xfId="83" xr:uid="{00000000-0005-0000-0000-00004F000000}"/>
    <cellStyle name="20% - Ênfase1 16 3" xfId="84" xr:uid="{00000000-0005-0000-0000-000050000000}"/>
    <cellStyle name="20% - Ênfase1 16 3 2" xfId="85" xr:uid="{00000000-0005-0000-0000-000051000000}"/>
    <cellStyle name="20% - Ênfase1 16 4" xfId="86" xr:uid="{00000000-0005-0000-0000-000052000000}"/>
    <cellStyle name="20% - Ênfase1 16 4 2" xfId="87" xr:uid="{00000000-0005-0000-0000-000053000000}"/>
    <cellStyle name="20% - Ênfase1 16 5" xfId="88" xr:uid="{00000000-0005-0000-0000-000054000000}"/>
    <cellStyle name="20% - Ênfase1 17" xfId="89" xr:uid="{00000000-0005-0000-0000-000055000000}"/>
    <cellStyle name="20% - Ênfase1 17 2" xfId="90" xr:uid="{00000000-0005-0000-0000-000056000000}"/>
    <cellStyle name="20% - Ênfase1 17 2 2" xfId="91" xr:uid="{00000000-0005-0000-0000-000057000000}"/>
    <cellStyle name="20% - Ênfase1 17 2 2 2" xfId="92" xr:uid="{00000000-0005-0000-0000-000058000000}"/>
    <cellStyle name="20% - Ênfase1 17 2 3" xfId="93" xr:uid="{00000000-0005-0000-0000-000059000000}"/>
    <cellStyle name="20% - Ênfase1 17 3" xfId="94" xr:uid="{00000000-0005-0000-0000-00005A000000}"/>
    <cellStyle name="20% - Ênfase1 17 3 2" xfId="95" xr:uid="{00000000-0005-0000-0000-00005B000000}"/>
    <cellStyle name="20% - Ênfase1 17 4" xfId="96" xr:uid="{00000000-0005-0000-0000-00005C000000}"/>
    <cellStyle name="20% - Ênfase1 17 4 2" xfId="97" xr:uid="{00000000-0005-0000-0000-00005D000000}"/>
    <cellStyle name="20% - Ênfase1 17 5" xfId="98" xr:uid="{00000000-0005-0000-0000-00005E000000}"/>
    <cellStyle name="20% - Ênfase1 18" xfId="99" xr:uid="{00000000-0005-0000-0000-00005F000000}"/>
    <cellStyle name="20% - Ênfase1 18 2" xfId="100" xr:uid="{00000000-0005-0000-0000-000060000000}"/>
    <cellStyle name="20% - Ênfase1 18 2 2" xfId="101" xr:uid="{00000000-0005-0000-0000-000061000000}"/>
    <cellStyle name="20% - Ênfase1 18 2 2 2" xfId="102" xr:uid="{00000000-0005-0000-0000-000062000000}"/>
    <cellStyle name="20% - Ênfase1 18 2 3" xfId="103" xr:uid="{00000000-0005-0000-0000-000063000000}"/>
    <cellStyle name="20% - Ênfase1 18 3" xfId="104" xr:uid="{00000000-0005-0000-0000-000064000000}"/>
    <cellStyle name="20% - Ênfase1 18 3 2" xfId="105" xr:uid="{00000000-0005-0000-0000-000065000000}"/>
    <cellStyle name="20% - Ênfase1 18 4" xfId="106" xr:uid="{00000000-0005-0000-0000-000066000000}"/>
    <cellStyle name="20% - Ênfase1 19" xfId="107" xr:uid="{00000000-0005-0000-0000-000067000000}"/>
    <cellStyle name="20% - Ênfase1 19 2" xfId="108" xr:uid="{00000000-0005-0000-0000-000068000000}"/>
    <cellStyle name="20% - Ênfase1 19 2 2" xfId="109" xr:uid="{00000000-0005-0000-0000-000069000000}"/>
    <cellStyle name="20% - Ênfase1 19 2 2 2" xfId="110" xr:uid="{00000000-0005-0000-0000-00006A000000}"/>
    <cellStyle name="20% - Ênfase1 19 2 3" xfId="111" xr:uid="{00000000-0005-0000-0000-00006B000000}"/>
    <cellStyle name="20% - Ênfase1 19 3" xfId="112" xr:uid="{00000000-0005-0000-0000-00006C000000}"/>
    <cellStyle name="20% - Ênfase1 19 3 2" xfId="113" xr:uid="{00000000-0005-0000-0000-00006D000000}"/>
    <cellStyle name="20% - Ênfase1 19 4" xfId="114" xr:uid="{00000000-0005-0000-0000-00006E000000}"/>
    <cellStyle name="20% - Ênfase1 2" xfId="115" xr:uid="{00000000-0005-0000-0000-00006F000000}"/>
    <cellStyle name="20% - Ênfase1 2 2" xfId="116" xr:uid="{00000000-0005-0000-0000-000070000000}"/>
    <cellStyle name="20% - Ênfase1 2 2 2" xfId="117" xr:uid="{00000000-0005-0000-0000-000071000000}"/>
    <cellStyle name="20% - Ênfase1 2 2 2 2" xfId="118" xr:uid="{00000000-0005-0000-0000-000072000000}"/>
    <cellStyle name="20% - Ênfase1 2 2 2 2 2" xfId="119" xr:uid="{00000000-0005-0000-0000-000073000000}"/>
    <cellStyle name="20% - Ênfase1 2 2 2 3" xfId="120" xr:uid="{00000000-0005-0000-0000-000074000000}"/>
    <cellStyle name="20% - Ênfase1 2 2 3" xfId="121" xr:uid="{00000000-0005-0000-0000-000075000000}"/>
    <cellStyle name="20% - Ênfase1 2 2 3 2" xfId="122" xr:uid="{00000000-0005-0000-0000-000076000000}"/>
    <cellStyle name="20% - Ênfase1 2 2 3 2 2" xfId="123" xr:uid="{00000000-0005-0000-0000-000077000000}"/>
    <cellStyle name="20% - Ênfase1 2 2 3 3" xfId="124" xr:uid="{00000000-0005-0000-0000-000078000000}"/>
    <cellStyle name="20% - Ênfase1 2 2 4" xfId="125" xr:uid="{00000000-0005-0000-0000-000079000000}"/>
    <cellStyle name="20% - Ênfase1 2 2 4 2" xfId="126" xr:uid="{00000000-0005-0000-0000-00007A000000}"/>
    <cellStyle name="20% - Ênfase1 2 2 5" xfId="127" xr:uid="{00000000-0005-0000-0000-00007B000000}"/>
    <cellStyle name="20% - Ênfase1 2 3" xfId="128" xr:uid="{00000000-0005-0000-0000-00007C000000}"/>
    <cellStyle name="20% - Ênfase1 2 3 2" xfId="129" xr:uid="{00000000-0005-0000-0000-00007D000000}"/>
    <cellStyle name="20% - Ênfase1 2 3 2 2" xfId="130" xr:uid="{00000000-0005-0000-0000-00007E000000}"/>
    <cellStyle name="20% - Ênfase1 2 3 3" xfId="131" xr:uid="{00000000-0005-0000-0000-00007F000000}"/>
    <cellStyle name="20% - Ênfase1 2 4" xfId="132" xr:uid="{00000000-0005-0000-0000-000080000000}"/>
    <cellStyle name="20% - Ênfase1 2 4 2" xfId="133" xr:uid="{00000000-0005-0000-0000-000081000000}"/>
    <cellStyle name="20% - Ênfase1 2 4 2 2" xfId="134" xr:uid="{00000000-0005-0000-0000-000082000000}"/>
    <cellStyle name="20% - Ênfase1 2 4 3" xfId="135" xr:uid="{00000000-0005-0000-0000-000083000000}"/>
    <cellStyle name="20% - Ênfase1 2 5" xfId="136" xr:uid="{00000000-0005-0000-0000-000084000000}"/>
    <cellStyle name="20% - Ênfase1 2 5 2" xfId="137" xr:uid="{00000000-0005-0000-0000-000085000000}"/>
    <cellStyle name="20% - Ênfase1 2 6" xfId="138" xr:uid="{00000000-0005-0000-0000-000086000000}"/>
    <cellStyle name="20% - Ênfase1 20" xfId="139" xr:uid="{00000000-0005-0000-0000-000087000000}"/>
    <cellStyle name="20% - Ênfase1 20 2" xfId="140" xr:uid="{00000000-0005-0000-0000-000088000000}"/>
    <cellStyle name="20% - Ênfase1 20 2 2" xfId="141" xr:uid="{00000000-0005-0000-0000-000089000000}"/>
    <cellStyle name="20% - Ênfase1 20 2 2 2" xfId="142" xr:uid="{00000000-0005-0000-0000-00008A000000}"/>
    <cellStyle name="20% - Ênfase1 20 2 3" xfId="143" xr:uid="{00000000-0005-0000-0000-00008B000000}"/>
    <cellStyle name="20% - Ênfase1 20 3" xfId="144" xr:uid="{00000000-0005-0000-0000-00008C000000}"/>
    <cellStyle name="20% - Ênfase1 20 3 2" xfId="145" xr:uid="{00000000-0005-0000-0000-00008D000000}"/>
    <cellStyle name="20% - Ênfase1 20 4" xfId="146" xr:uid="{00000000-0005-0000-0000-00008E000000}"/>
    <cellStyle name="20% - Ênfase1 21" xfId="147" xr:uid="{00000000-0005-0000-0000-00008F000000}"/>
    <cellStyle name="20% - Ênfase1 21 2" xfId="148" xr:uid="{00000000-0005-0000-0000-000090000000}"/>
    <cellStyle name="20% - Ênfase1 21 2 2" xfId="149" xr:uid="{00000000-0005-0000-0000-000091000000}"/>
    <cellStyle name="20% - Ênfase1 21 2 2 2" xfId="150" xr:uid="{00000000-0005-0000-0000-000092000000}"/>
    <cellStyle name="20% - Ênfase1 21 2 3" xfId="151" xr:uid="{00000000-0005-0000-0000-000093000000}"/>
    <cellStyle name="20% - Ênfase1 21 3" xfId="152" xr:uid="{00000000-0005-0000-0000-000094000000}"/>
    <cellStyle name="20% - Ênfase1 21 3 2" xfId="153" xr:uid="{00000000-0005-0000-0000-000095000000}"/>
    <cellStyle name="20% - Ênfase1 21 4" xfId="154" xr:uid="{00000000-0005-0000-0000-000096000000}"/>
    <cellStyle name="20% - Ênfase1 22" xfId="155" xr:uid="{00000000-0005-0000-0000-000097000000}"/>
    <cellStyle name="20% - Ênfase1 22 2" xfId="156" xr:uid="{00000000-0005-0000-0000-000098000000}"/>
    <cellStyle name="20% - Ênfase1 22 2 2" xfId="157" xr:uid="{00000000-0005-0000-0000-000099000000}"/>
    <cellStyle name="20% - Ênfase1 22 2 2 2" xfId="158" xr:uid="{00000000-0005-0000-0000-00009A000000}"/>
    <cellStyle name="20% - Ênfase1 22 2 3" xfId="159" xr:uid="{00000000-0005-0000-0000-00009B000000}"/>
    <cellStyle name="20% - Ênfase1 22 3" xfId="160" xr:uid="{00000000-0005-0000-0000-00009C000000}"/>
    <cellStyle name="20% - Ênfase1 22 3 2" xfId="161" xr:uid="{00000000-0005-0000-0000-00009D000000}"/>
    <cellStyle name="20% - Ênfase1 22 4" xfId="162" xr:uid="{00000000-0005-0000-0000-00009E000000}"/>
    <cellStyle name="20% - Ênfase1 23" xfId="163" xr:uid="{00000000-0005-0000-0000-00009F000000}"/>
    <cellStyle name="20% - Ênfase1 23 2" xfId="164" xr:uid="{00000000-0005-0000-0000-0000A0000000}"/>
    <cellStyle name="20% - Ênfase1 23 2 2" xfId="165" xr:uid="{00000000-0005-0000-0000-0000A1000000}"/>
    <cellStyle name="20% - Ênfase1 23 2 2 2" xfId="166" xr:uid="{00000000-0005-0000-0000-0000A2000000}"/>
    <cellStyle name="20% - Ênfase1 23 2 3" xfId="167" xr:uid="{00000000-0005-0000-0000-0000A3000000}"/>
    <cellStyle name="20% - Ênfase1 23 3" xfId="168" xr:uid="{00000000-0005-0000-0000-0000A4000000}"/>
    <cellStyle name="20% - Ênfase1 23 3 2" xfId="169" xr:uid="{00000000-0005-0000-0000-0000A5000000}"/>
    <cellStyle name="20% - Ênfase1 23 4" xfId="170" xr:uid="{00000000-0005-0000-0000-0000A6000000}"/>
    <cellStyle name="20% - Ênfase1 24" xfId="171" xr:uid="{00000000-0005-0000-0000-0000A7000000}"/>
    <cellStyle name="20% - Ênfase1 24 2" xfId="172" xr:uid="{00000000-0005-0000-0000-0000A8000000}"/>
    <cellStyle name="20% - Ênfase1 24 2 2" xfId="173" xr:uid="{00000000-0005-0000-0000-0000A9000000}"/>
    <cellStyle name="20% - Ênfase1 24 2 2 2" xfId="174" xr:uid="{00000000-0005-0000-0000-0000AA000000}"/>
    <cellStyle name="20% - Ênfase1 24 2 3" xfId="175" xr:uid="{00000000-0005-0000-0000-0000AB000000}"/>
    <cellStyle name="20% - Ênfase1 24 3" xfId="176" xr:uid="{00000000-0005-0000-0000-0000AC000000}"/>
    <cellStyle name="20% - Ênfase1 24 3 2" xfId="177" xr:uid="{00000000-0005-0000-0000-0000AD000000}"/>
    <cellStyle name="20% - Ênfase1 24 4" xfId="178" xr:uid="{00000000-0005-0000-0000-0000AE000000}"/>
    <cellStyle name="20% - Ênfase1 25" xfId="179" xr:uid="{00000000-0005-0000-0000-0000AF000000}"/>
    <cellStyle name="20% - Ênfase1 25 2" xfId="180" xr:uid="{00000000-0005-0000-0000-0000B0000000}"/>
    <cellStyle name="20% - Ênfase1 25 2 2" xfId="181" xr:uid="{00000000-0005-0000-0000-0000B1000000}"/>
    <cellStyle name="20% - Ênfase1 25 2 2 2" xfId="182" xr:uid="{00000000-0005-0000-0000-0000B2000000}"/>
    <cellStyle name="20% - Ênfase1 25 2 3" xfId="183" xr:uid="{00000000-0005-0000-0000-0000B3000000}"/>
    <cellStyle name="20% - Ênfase1 25 3" xfId="184" xr:uid="{00000000-0005-0000-0000-0000B4000000}"/>
    <cellStyle name="20% - Ênfase1 25 3 2" xfId="185" xr:uid="{00000000-0005-0000-0000-0000B5000000}"/>
    <cellStyle name="20% - Ênfase1 25 4" xfId="186" xr:uid="{00000000-0005-0000-0000-0000B6000000}"/>
    <cellStyle name="20% - Ênfase1 26" xfId="187" xr:uid="{00000000-0005-0000-0000-0000B7000000}"/>
    <cellStyle name="20% - Ênfase1 26 2" xfId="188" xr:uid="{00000000-0005-0000-0000-0000B8000000}"/>
    <cellStyle name="20% - Ênfase1 26 2 2" xfId="189" xr:uid="{00000000-0005-0000-0000-0000B9000000}"/>
    <cellStyle name="20% - Ênfase1 26 2 2 2" xfId="190" xr:uid="{00000000-0005-0000-0000-0000BA000000}"/>
    <cellStyle name="20% - Ênfase1 26 2 3" xfId="191" xr:uid="{00000000-0005-0000-0000-0000BB000000}"/>
    <cellStyle name="20% - Ênfase1 26 3" xfId="192" xr:uid="{00000000-0005-0000-0000-0000BC000000}"/>
    <cellStyle name="20% - Ênfase1 26 3 2" xfId="193" xr:uid="{00000000-0005-0000-0000-0000BD000000}"/>
    <cellStyle name="20% - Ênfase1 26 4" xfId="194" xr:uid="{00000000-0005-0000-0000-0000BE000000}"/>
    <cellStyle name="20% - Ênfase1 27" xfId="195" xr:uid="{00000000-0005-0000-0000-0000BF000000}"/>
    <cellStyle name="20% - Ênfase1 27 2" xfId="196" xr:uid="{00000000-0005-0000-0000-0000C0000000}"/>
    <cellStyle name="20% - Ênfase1 27 2 2" xfId="197" xr:uid="{00000000-0005-0000-0000-0000C1000000}"/>
    <cellStyle name="20% - Ênfase1 27 3" xfId="198" xr:uid="{00000000-0005-0000-0000-0000C2000000}"/>
    <cellStyle name="20% - Ênfase1 28" xfId="199" xr:uid="{00000000-0005-0000-0000-0000C3000000}"/>
    <cellStyle name="20% - Ênfase1 28 2" xfId="200" xr:uid="{00000000-0005-0000-0000-0000C4000000}"/>
    <cellStyle name="20% - Ênfase1 28 2 2" xfId="201" xr:uid="{00000000-0005-0000-0000-0000C5000000}"/>
    <cellStyle name="20% - Ênfase1 28 3" xfId="202" xr:uid="{00000000-0005-0000-0000-0000C6000000}"/>
    <cellStyle name="20% - Ênfase1 29" xfId="203" xr:uid="{00000000-0005-0000-0000-0000C7000000}"/>
    <cellStyle name="20% - Ênfase1 29 2" xfId="204" xr:uid="{00000000-0005-0000-0000-0000C8000000}"/>
    <cellStyle name="20% - Ênfase1 29 2 2" xfId="205" xr:uid="{00000000-0005-0000-0000-0000C9000000}"/>
    <cellStyle name="20% - Ênfase1 29 3" xfId="206" xr:uid="{00000000-0005-0000-0000-0000CA000000}"/>
    <cellStyle name="20% - Ênfase1 3" xfId="207" xr:uid="{00000000-0005-0000-0000-0000CB000000}"/>
    <cellStyle name="20% - Ênfase1 3 2" xfId="208" xr:uid="{00000000-0005-0000-0000-0000CC000000}"/>
    <cellStyle name="20% - Ênfase1 3 2 2" xfId="209" xr:uid="{00000000-0005-0000-0000-0000CD000000}"/>
    <cellStyle name="20% - Ênfase1 3 2 2 2" xfId="210" xr:uid="{00000000-0005-0000-0000-0000CE000000}"/>
    <cellStyle name="20% - Ênfase1 3 2 3" xfId="211" xr:uid="{00000000-0005-0000-0000-0000CF000000}"/>
    <cellStyle name="20% - Ênfase1 3 3" xfId="212" xr:uid="{00000000-0005-0000-0000-0000D0000000}"/>
    <cellStyle name="20% - Ênfase1 3 3 2" xfId="213" xr:uid="{00000000-0005-0000-0000-0000D1000000}"/>
    <cellStyle name="20% - Ênfase1 3 4" xfId="214" xr:uid="{00000000-0005-0000-0000-0000D2000000}"/>
    <cellStyle name="20% - Ênfase1 3 4 2" xfId="215" xr:uid="{00000000-0005-0000-0000-0000D3000000}"/>
    <cellStyle name="20% - Ênfase1 3 5" xfId="216" xr:uid="{00000000-0005-0000-0000-0000D4000000}"/>
    <cellStyle name="20% - Ênfase1 3 5 2" xfId="217" xr:uid="{00000000-0005-0000-0000-0000D5000000}"/>
    <cellStyle name="20% - Ênfase1 3 6" xfId="218" xr:uid="{00000000-0005-0000-0000-0000D6000000}"/>
    <cellStyle name="20% - Ênfase1 30" xfId="219" xr:uid="{00000000-0005-0000-0000-0000D7000000}"/>
    <cellStyle name="20% - Ênfase1 30 2" xfId="220" xr:uid="{00000000-0005-0000-0000-0000D8000000}"/>
    <cellStyle name="20% - Ênfase1 30 2 2" xfId="221" xr:uid="{00000000-0005-0000-0000-0000D9000000}"/>
    <cellStyle name="20% - Ênfase1 30 3" xfId="222" xr:uid="{00000000-0005-0000-0000-0000DA000000}"/>
    <cellStyle name="20% - Ênfase1 31" xfId="223" xr:uid="{00000000-0005-0000-0000-0000DB000000}"/>
    <cellStyle name="20% - Ênfase1 31 2" xfId="224" xr:uid="{00000000-0005-0000-0000-0000DC000000}"/>
    <cellStyle name="20% - Ênfase1 32" xfId="225" xr:uid="{00000000-0005-0000-0000-0000DD000000}"/>
    <cellStyle name="20% - Ênfase1 32 2" xfId="226" xr:uid="{00000000-0005-0000-0000-0000DE000000}"/>
    <cellStyle name="20% - Ênfase1 33" xfId="227" xr:uid="{00000000-0005-0000-0000-0000DF000000}"/>
    <cellStyle name="20% - Ênfase1 33 2" xfId="228" xr:uid="{00000000-0005-0000-0000-0000E0000000}"/>
    <cellStyle name="20% - Ênfase1 34" xfId="229" xr:uid="{00000000-0005-0000-0000-0000E1000000}"/>
    <cellStyle name="20% - Ênfase1 35" xfId="230" xr:uid="{00000000-0005-0000-0000-0000E2000000}"/>
    <cellStyle name="20% - Ênfase1 4" xfId="231" xr:uid="{00000000-0005-0000-0000-0000E3000000}"/>
    <cellStyle name="20% - Ênfase1 4 2" xfId="232" xr:uid="{00000000-0005-0000-0000-0000E4000000}"/>
    <cellStyle name="20% - Ênfase1 4 2 2" xfId="233" xr:uid="{00000000-0005-0000-0000-0000E5000000}"/>
    <cellStyle name="20% - Ênfase1 4 2 2 2" xfId="234" xr:uid="{00000000-0005-0000-0000-0000E6000000}"/>
    <cellStyle name="20% - Ênfase1 4 2 3" xfId="235" xr:uid="{00000000-0005-0000-0000-0000E7000000}"/>
    <cellStyle name="20% - Ênfase1 4 3" xfId="236" xr:uid="{00000000-0005-0000-0000-0000E8000000}"/>
    <cellStyle name="20% - Ênfase1 4 3 2" xfId="237" xr:uid="{00000000-0005-0000-0000-0000E9000000}"/>
    <cellStyle name="20% - Ênfase1 4 4" xfId="238" xr:uid="{00000000-0005-0000-0000-0000EA000000}"/>
    <cellStyle name="20% - Ênfase1 4 4 2" xfId="239" xr:uid="{00000000-0005-0000-0000-0000EB000000}"/>
    <cellStyle name="20% - Ênfase1 4 5" xfId="240" xr:uid="{00000000-0005-0000-0000-0000EC000000}"/>
    <cellStyle name="20% - Ênfase1 4 5 2" xfId="241" xr:uid="{00000000-0005-0000-0000-0000ED000000}"/>
    <cellStyle name="20% - Ênfase1 4 6" xfId="242" xr:uid="{00000000-0005-0000-0000-0000EE000000}"/>
    <cellStyle name="20% - Ênfase1 5" xfId="243" xr:uid="{00000000-0005-0000-0000-0000EF000000}"/>
    <cellStyle name="20% - Ênfase1 5 2" xfId="244" xr:uid="{00000000-0005-0000-0000-0000F0000000}"/>
    <cellStyle name="20% - Ênfase1 5 2 2" xfId="245" xr:uid="{00000000-0005-0000-0000-0000F1000000}"/>
    <cellStyle name="20% - Ênfase1 5 2 2 2" xfId="246" xr:uid="{00000000-0005-0000-0000-0000F2000000}"/>
    <cellStyle name="20% - Ênfase1 5 2 3" xfId="247" xr:uid="{00000000-0005-0000-0000-0000F3000000}"/>
    <cellStyle name="20% - Ênfase1 5 3" xfId="248" xr:uid="{00000000-0005-0000-0000-0000F4000000}"/>
    <cellStyle name="20% - Ênfase1 5 3 2" xfId="249" xr:uid="{00000000-0005-0000-0000-0000F5000000}"/>
    <cellStyle name="20% - Ênfase1 5 4" xfId="250" xr:uid="{00000000-0005-0000-0000-0000F6000000}"/>
    <cellStyle name="20% - Ênfase1 5 4 2" xfId="251" xr:uid="{00000000-0005-0000-0000-0000F7000000}"/>
    <cellStyle name="20% - Ênfase1 5 5" xfId="252" xr:uid="{00000000-0005-0000-0000-0000F8000000}"/>
    <cellStyle name="20% - Ênfase1 5 5 2" xfId="253" xr:uid="{00000000-0005-0000-0000-0000F9000000}"/>
    <cellStyle name="20% - Ênfase1 5 6" xfId="254" xr:uid="{00000000-0005-0000-0000-0000FA000000}"/>
    <cellStyle name="20% - Ênfase1 6" xfId="255" xr:uid="{00000000-0005-0000-0000-0000FB000000}"/>
    <cellStyle name="20% - Ênfase1 6 2" xfId="256" xr:uid="{00000000-0005-0000-0000-0000FC000000}"/>
    <cellStyle name="20% - Ênfase1 6 2 2" xfId="257" xr:uid="{00000000-0005-0000-0000-0000FD000000}"/>
    <cellStyle name="20% - Ênfase1 6 2 2 2" xfId="258" xr:uid="{00000000-0005-0000-0000-0000FE000000}"/>
    <cellStyle name="20% - Ênfase1 6 2 3" xfId="259" xr:uid="{00000000-0005-0000-0000-0000FF000000}"/>
    <cellStyle name="20% - Ênfase1 6 3" xfId="260" xr:uid="{00000000-0005-0000-0000-000000010000}"/>
    <cellStyle name="20% - Ênfase1 6 3 2" xfId="261" xr:uid="{00000000-0005-0000-0000-000001010000}"/>
    <cellStyle name="20% - Ênfase1 6 4" xfId="262" xr:uid="{00000000-0005-0000-0000-000002010000}"/>
    <cellStyle name="20% - Ênfase1 6 4 2" xfId="263" xr:uid="{00000000-0005-0000-0000-000003010000}"/>
    <cellStyle name="20% - Ênfase1 6 5" xfId="264" xr:uid="{00000000-0005-0000-0000-000004010000}"/>
    <cellStyle name="20% - Ênfase1 6 5 2" xfId="265" xr:uid="{00000000-0005-0000-0000-000005010000}"/>
    <cellStyle name="20% - Ênfase1 6 6" xfId="266" xr:uid="{00000000-0005-0000-0000-000006010000}"/>
    <cellStyle name="20% - Ênfase1 7" xfId="267" xr:uid="{00000000-0005-0000-0000-000007010000}"/>
    <cellStyle name="20% - Ênfase1 7 2" xfId="268" xr:uid="{00000000-0005-0000-0000-000008010000}"/>
    <cellStyle name="20% - Ênfase1 7 2 2" xfId="269" xr:uid="{00000000-0005-0000-0000-000009010000}"/>
    <cellStyle name="20% - Ênfase1 7 2 2 2" xfId="270" xr:uid="{00000000-0005-0000-0000-00000A010000}"/>
    <cellStyle name="20% - Ênfase1 7 2 3" xfId="271" xr:uid="{00000000-0005-0000-0000-00000B010000}"/>
    <cellStyle name="20% - Ênfase1 7 3" xfId="272" xr:uid="{00000000-0005-0000-0000-00000C010000}"/>
    <cellStyle name="20% - Ênfase1 7 3 2" xfId="273" xr:uid="{00000000-0005-0000-0000-00000D010000}"/>
    <cellStyle name="20% - Ênfase1 7 4" xfId="274" xr:uid="{00000000-0005-0000-0000-00000E010000}"/>
    <cellStyle name="20% - Ênfase1 7 4 2" xfId="275" xr:uid="{00000000-0005-0000-0000-00000F010000}"/>
    <cellStyle name="20% - Ênfase1 7 5" xfId="276" xr:uid="{00000000-0005-0000-0000-000010010000}"/>
    <cellStyle name="20% - Ênfase1 8" xfId="277" xr:uid="{00000000-0005-0000-0000-000011010000}"/>
    <cellStyle name="20% - Ênfase1 8 2" xfId="278" xr:uid="{00000000-0005-0000-0000-000012010000}"/>
    <cellStyle name="20% - Ênfase1 8 2 2" xfId="279" xr:uid="{00000000-0005-0000-0000-000013010000}"/>
    <cellStyle name="20% - Ênfase1 8 2 2 2" xfId="280" xr:uid="{00000000-0005-0000-0000-000014010000}"/>
    <cellStyle name="20% - Ênfase1 8 2 3" xfId="281" xr:uid="{00000000-0005-0000-0000-000015010000}"/>
    <cellStyle name="20% - Ênfase1 8 3" xfId="282" xr:uid="{00000000-0005-0000-0000-000016010000}"/>
    <cellStyle name="20% - Ênfase1 8 3 2" xfId="283" xr:uid="{00000000-0005-0000-0000-000017010000}"/>
    <cellStyle name="20% - Ênfase1 8 4" xfId="284" xr:uid="{00000000-0005-0000-0000-000018010000}"/>
    <cellStyle name="20% - Ênfase1 8 4 2" xfId="285" xr:uid="{00000000-0005-0000-0000-000019010000}"/>
    <cellStyle name="20% - Ênfase1 8 5" xfId="286" xr:uid="{00000000-0005-0000-0000-00001A010000}"/>
    <cellStyle name="20% - Ênfase1 9" xfId="287" xr:uid="{00000000-0005-0000-0000-00001B010000}"/>
    <cellStyle name="20% - Ênfase1 9 2" xfId="288" xr:uid="{00000000-0005-0000-0000-00001C010000}"/>
    <cellStyle name="20% - Ênfase1 9 2 2" xfId="289" xr:uid="{00000000-0005-0000-0000-00001D010000}"/>
    <cellStyle name="20% - Ênfase1 9 2 2 2" xfId="290" xr:uid="{00000000-0005-0000-0000-00001E010000}"/>
    <cellStyle name="20% - Ênfase1 9 2 3" xfId="291" xr:uid="{00000000-0005-0000-0000-00001F010000}"/>
    <cellStyle name="20% - Ênfase1 9 3" xfId="292" xr:uid="{00000000-0005-0000-0000-000020010000}"/>
    <cellStyle name="20% - Ênfase1 9 3 2" xfId="293" xr:uid="{00000000-0005-0000-0000-000021010000}"/>
    <cellStyle name="20% - Ênfase1 9 4" xfId="294" xr:uid="{00000000-0005-0000-0000-000022010000}"/>
    <cellStyle name="20% - Ênfase1 9 4 2" xfId="295" xr:uid="{00000000-0005-0000-0000-000023010000}"/>
    <cellStyle name="20% - Ênfase1 9 5" xfId="296" xr:uid="{00000000-0005-0000-0000-000024010000}"/>
    <cellStyle name="20% - Ênfase2 10" xfId="297" xr:uid="{00000000-0005-0000-0000-000025010000}"/>
    <cellStyle name="20% - Ênfase2 10 2" xfId="298" xr:uid="{00000000-0005-0000-0000-000026010000}"/>
    <cellStyle name="20% - Ênfase2 10 2 2" xfId="299" xr:uid="{00000000-0005-0000-0000-000027010000}"/>
    <cellStyle name="20% - Ênfase2 10 2 2 2" xfId="300" xr:uid="{00000000-0005-0000-0000-000028010000}"/>
    <cellStyle name="20% - Ênfase2 10 2 3" xfId="301" xr:uid="{00000000-0005-0000-0000-000029010000}"/>
    <cellStyle name="20% - Ênfase2 10 3" xfId="302" xr:uid="{00000000-0005-0000-0000-00002A010000}"/>
    <cellStyle name="20% - Ênfase2 10 3 2" xfId="303" xr:uid="{00000000-0005-0000-0000-00002B010000}"/>
    <cellStyle name="20% - Ênfase2 10 4" xfId="304" xr:uid="{00000000-0005-0000-0000-00002C010000}"/>
    <cellStyle name="20% - Ênfase2 10 4 2" xfId="305" xr:uid="{00000000-0005-0000-0000-00002D010000}"/>
    <cellStyle name="20% - Ênfase2 10 5" xfId="306" xr:uid="{00000000-0005-0000-0000-00002E010000}"/>
    <cellStyle name="20% - Ênfase2 11" xfId="307" xr:uid="{00000000-0005-0000-0000-00002F010000}"/>
    <cellStyle name="20% - Ênfase2 11 2" xfId="308" xr:uid="{00000000-0005-0000-0000-000030010000}"/>
    <cellStyle name="20% - Ênfase2 11 2 2" xfId="309" xr:uid="{00000000-0005-0000-0000-000031010000}"/>
    <cellStyle name="20% - Ênfase2 11 2 2 2" xfId="310" xr:uid="{00000000-0005-0000-0000-000032010000}"/>
    <cellStyle name="20% - Ênfase2 11 2 3" xfId="311" xr:uid="{00000000-0005-0000-0000-000033010000}"/>
    <cellStyle name="20% - Ênfase2 11 3" xfId="312" xr:uid="{00000000-0005-0000-0000-000034010000}"/>
    <cellStyle name="20% - Ênfase2 11 3 2" xfId="313" xr:uid="{00000000-0005-0000-0000-000035010000}"/>
    <cellStyle name="20% - Ênfase2 11 4" xfId="314" xr:uid="{00000000-0005-0000-0000-000036010000}"/>
    <cellStyle name="20% - Ênfase2 11 4 2" xfId="315" xr:uid="{00000000-0005-0000-0000-000037010000}"/>
    <cellStyle name="20% - Ênfase2 11 5" xfId="316" xr:uid="{00000000-0005-0000-0000-000038010000}"/>
    <cellStyle name="20% - Ênfase2 12" xfId="317" xr:uid="{00000000-0005-0000-0000-000039010000}"/>
    <cellStyle name="20% - Ênfase2 12 2" xfId="318" xr:uid="{00000000-0005-0000-0000-00003A010000}"/>
    <cellStyle name="20% - Ênfase2 12 2 2" xfId="319" xr:uid="{00000000-0005-0000-0000-00003B010000}"/>
    <cellStyle name="20% - Ênfase2 12 2 2 2" xfId="320" xr:uid="{00000000-0005-0000-0000-00003C010000}"/>
    <cellStyle name="20% - Ênfase2 12 2 3" xfId="321" xr:uid="{00000000-0005-0000-0000-00003D010000}"/>
    <cellStyle name="20% - Ênfase2 12 3" xfId="322" xr:uid="{00000000-0005-0000-0000-00003E010000}"/>
    <cellStyle name="20% - Ênfase2 12 3 2" xfId="323" xr:uid="{00000000-0005-0000-0000-00003F010000}"/>
    <cellStyle name="20% - Ênfase2 12 4" xfId="324" xr:uid="{00000000-0005-0000-0000-000040010000}"/>
    <cellStyle name="20% - Ênfase2 12 4 2" xfId="325" xr:uid="{00000000-0005-0000-0000-000041010000}"/>
    <cellStyle name="20% - Ênfase2 12 5" xfId="326" xr:uid="{00000000-0005-0000-0000-000042010000}"/>
    <cellStyle name="20% - Ênfase2 13" xfId="327" xr:uid="{00000000-0005-0000-0000-000043010000}"/>
    <cellStyle name="20% - Ênfase2 13 2" xfId="328" xr:uid="{00000000-0005-0000-0000-000044010000}"/>
    <cellStyle name="20% - Ênfase2 13 2 2" xfId="329" xr:uid="{00000000-0005-0000-0000-000045010000}"/>
    <cellStyle name="20% - Ênfase2 13 2 2 2" xfId="330" xr:uid="{00000000-0005-0000-0000-000046010000}"/>
    <cellStyle name="20% - Ênfase2 13 2 3" xfId="331" xr:uid="{00000000-0005-0000-0000-000047010000}"/>
    <cellStyle name="20% - Ênfase2 13 3" xfId="332" xr:uid="{00000000-0005-0000-0000-000048010000}"/>
    <cellStyle name="20% - Ênfase2 13 3 2" xfId="333" xr:uid="{00000000-0005-0000-0000-000049010000}"/>
    <cellStyle name="20% - Ênfase2 13 4" xfId="334" xr:uid="{00000000-0005-0000-0000-00004A010000}"/>
    <cellStyle name="20% - Ênfase2 13 4 2" xfId="335" xr:uid="{00000000-0005-0000-0000-00004B010000}"/>
    <cellStyle name="20% - Ênfase2 13 5" xfId="336" xr:uid="{00000000-0005-0000-0000-00004C010000}"/>
    <cellStyle name="20% - Ênfase2 14" xfId="337" xr:uid="{00000000-0005-0000-0000-00004D010000}"/>
    <cellStyle name="20% - Ênfase2 14 2" xfId="338" xr:uid="{00000000-0005-0000-0000-00004E010000}"/>
    <cellStyle name="20% - Ênfase2 14 2 2" xfId="339" xr:uid="{00000000-0005-0000-0000-00004F010000}"/>
    <cellStyle name="20% - Ênfase2 14 2 2 2" xfId="340" xr:uid="{00000000-0005-0000-0000-000050010000}"/>
    <cellStyle name="20% - Ênfase2 14 2 3" xfId="341" xr:uid="{00000000-0005-0000-0000-000051010000}"/>
    <cellStyle name="20% - Ênfase2 14 3" xfId="342" xr:uid="{00000000-0005-0000-0000-000052010000}"/>
    <cellStyle name="20% - Ênfase2 14 3 2" xfId="343" xr:uid="{00000000-0005-0000-0000-000053010000}"/>
    <cellStyle name="20% - Ênfase2 14 4" xfId="344" xr:uid="{00000000-0005-0000-0000-000054010000}"/>
    <cellStyle name="20% - Ênfase2 14 4 2" xfId="345" xr:uid="{00000000-0005-0000-0000-000055010000}"/>
    <cellStyle name="20% - Ênfase2 14 5" xfId="346" xr:uid="{00000000-0005-0000-0000-000056010000}"/>
    <cellStyle name="20% - Ênfase2 15" xfId="347" xr:uid="{00000000-0005-0000-0000-000057010000}"/>
    <cellStyle name="20% - Ênfase2 15 2" xfId="348" xr:uid="{00000000-0005-0000-0000-000058010000}"/>
    <cellStyle name="20% - Ênfase2 15 2 2" xfId="349" xr:uid="{00000000-0005-0000-0000-000059010000}"/>
    <cellStyle name="20% - Ênfase2 15 2 2 2" xfId="350" xr:uid="{00000000-0005-0000-0000-00005A010000}"/>
    <cellStyle name="20% - Ênfase2 15 2 3" xfId="351" xr:uid="{00000000-0005-0000-0000-00005B010000}"/>
    <cellStyle name="20% - Ênfase2 15 3" xfId="352" xr:uid="{00000000-0005-0000-0000-00005C010000}"/>
    <cellStyle name="20% - Ênfase2 15 3 2" xfId="353" xr:uid="{00000000-0005-0000-0000-00005D010000}"/>
    <cellStyle name="20% - Ênfase2 15 4" xfId="354" xr:uid="{00000000-0005-0000-0000-00005E010000}"/>
    <cellStyle name="20% - Ênfase2 15 4 2" xfId="355" xr:uid="{00000000-0005-0000-0000-00005F010000}"/>
    <cellStyle name="20% - Ênfase2 15 5" xfId="356" xr:uid="{00000000-0005-0000-0000-000060010000}"/>
    <cellStyle name="20% - Ênfase2 16" xfId="357" xr:uid="{00000000-0005-0000-0000-000061010000}"/>
    <cellStyle name="20% - Ênfase2 16 2" xfId="358" xr:uid="{00000000-0005-0000-0000-000062010000}"/>
    <cellStyle name="20% - Ênfase2 16 2 2" xfId="359" xr:uid="{00000000-0005-0000-0000-000063010000}"/>
    <cellStyle name="20% - Ênfase2 16 2 2 2" xfId="360" xr:uid="{00000000-0005-0000-0000-000064010000}"/>
    <cellStyle name="20% - Ênfase2 16 2 3" xfId="361" xr:uid="{00000000-0005-0000-0000-000065010000}"/>
    <cellStyle name="20% - Ênfase2 16 3" xfId="362" xr:uid="{00000000-0005-0000-0000-000066010000}"/>
    <cellStyle name="20% - Ênfase2 16 3 2" xfId="363" xr:uid="{00000000-0005-0000-0000-000067010000}"/>
    <cellStyle name="20% - Ênfase2 16 4" xfId="364" xr:uid="{00000000-0005-0000-0000-000068010000}"/>
    <cellStyle name="20% - Ênfase2 16 4 2" xfId="365" xr:uid="{00000000-0005-0000-0000-000069010000}"/>
    <cellStyle name="20% - Ênfase2 16 5" xfId="366" xr:uid="{00000000-0005-0000-0000-00006A010000}"/>
    <cellStyle name="20% - Ênfase2 17" xfId="367" xr:uid="{00000000-0005-0000-0000-00006B010000}"/>
    <cellStyle name="20% - Ênfase2 17 2" xfId="368" xr:uid="{00000000-0005-0000-0000-00006C010000}"/>
    <cellStyle name="20% - Ênfase2 17 2 2" xfId="369" xr:uid="{00000000-0005-0000-0000-00006D010000}"/>
    <cellStyle name="20% - Ênfase2 17 2 2 2" xfId="370" xr:uid="{00000000-0005-0000-0000-00006E010000}"/>
    <cellStyle name="20% - Ênfase2 17 2 3" xfId="371" xr:uid="{00000000-0005-0000-0000-00006F010000}"/>
    <cellStyle name="20% - Ênfase2 17 3" xfId="372" xr:uid="{00000000-0005-0000-0000-000070010000}"/>
    <cellStyle name="20% - Ênfase2 17 3 2" xfId="373" xr:uid="{00000000-0005-0000-0000-000071010000}"/>
    <cellStyle name="20% - Ênfase2 17 4" xfId="374" xr:uid="{00000000-0005-0000-0000-000072010000}"/>
    <cellStyle name="20% - Ênfase2 17 4 2" xfId="375" xr:uid="{00000000-0005-0000-0000-000073010000}"/>
    <cellStyle name="20% - Ênfase2 17 5" xfId="376" xr:uid="{00000000-0005-0000-0000-000074010000}"/>
    <cellStyle name="20% - Ênfase2 18" xfId="377" xr:uid="{00000000-0005-0000-0000-000075010000}"/>
    <cellStyle name="20% - Ênfase2 18 2" xfId="378" xr:uid="{00000000-0005-0000-0000-000076010000}"/>
    <cellStyle name="20% - Ênfase2 18 2 2" xfId="379" xr:uid="{00000000-0005-0000-0000-000077010000}"/>
    <cellStyle name="20% - Ênfase2 18 2 2 2" xfId="380" xr:uid="{00000000-0005-0000-0000-000078010000}"/>
    <cellStyle name="20% - Ênfase2 18 2 3" xfId="381" xr:uid="{00000000-0005-0000-0000-000079010000}"/>
    <cellStyle name="20% - Ênfase2 18 3" xfId="382" xr:uid="{00000000-0005-0000-0000-00007A010000}"/>
    <cellStyle name="20% - Ênfase2 18 3 2" xfId="383" xr:uid="{00000000-0005-0000-0000-00007B010000}"/>
    <cellStyle name="20% - Ênfase2 18 4" xfId="384" xr:uid="{00000000-0005-0000-0000-00007C010000}"/>
    <cellStyle name="20% - Ênfase2 19" xfId="385" xr:uid="{00000000-0005-0000-0000-00007D010000}"/>
    <cellStyle name="20% - Ênfase2 19 2" xfId="386" xr:uid="{00000000-0005-0000-0000-00007E010000}"/>
    <cellStyle name="20% - Ênfase2 19 2 2" xfId="387" xr:uid="{00000000-0005-0000-0000-00007F010000}"/>
    <cellStyle name="20% - Ênfase2 19 2 2 2" xfId="388" xr:uid="{00000000-0005-0000-0000-000080010000}"/>
    <cellStyle name="20% - Ênfase2 19 2 3" xfId="389" xr:uid="{00000000-0005-0000-0000-000081010000}"/>
    <cellStyle name="20% - Ênfase2 19 3" xfId="390" xr:uid="{00000000-0005-0000-0000-000082010000}"/>
    <cellStyle name="20% - Ênfase2 19 3 2" xfId="391" xr:uid="{00000000-0005-0000-0000-000083010000}"/>
    <cellStyle name="20% - Ênfase2 19 4" xfId="392" xr:uid="{00000000-0005-0000-0000-000084010000}"/>
    <cellStyle name="20% - Ênfase2 2" xfId="393" xr:uid="{00000000-0005-0000-0000-000085010000}"/>
    <cellStyle name="20% - Ênfase2 2 2" xfId="394" xr:uid="{00000000-0005-0000-0000-000086010000}"/>
    <cellStyle name="20% - Ênfase2 2 2 2" xfId="395" xr:uid="{00000000-0005-0000-0000-000087010000}"/>
    <cellStyle name="20% - Ênfase2 2 2 2 2" xfId="396" xr:uid="{00000000-0005-0000-0000-000088010000}"/>
    <cellStyle name="20% - Ênfase2 2 2 2 2 2" xfId="397" xr:uid="{00000000-0005-0000-0000-000089010000}"/>
    <cellStyle name="20% - Ênfase2 2 2 2 3" xfId="398" xr:uid="{00000000-0005-0000-0000-00008A010000}"/>
    <cellStyle name="20% - Ênfase2 2 2 3" xfId="399" xr:uid="{00000000-0005-0000-0000-00008B010000}"/>
    <cellStyle name="20% - Ênfase2 2 2 3 2" xfId="400" xr:uid="{00000000-0005-0000-0000-00008C010000}"/>
    <cellStyle name="20% - Ênfase2 2 2 3 2 2" xfId="401" xr:uid="{00000000-0005-0000-0000-00008D010000}"/>
    <cellStyle name="20% - Ênfase2 2 2 3 3" xfId="402" xr:uid="{00000000-0005-0000-0000-00008E010000}"/>
    <cellStyle name="20% - Ênfase2 2 2 4" xfId="403" xr:uid="{00000000-0005-0000-0000-00008F010000}"/>
    <cellStyle name="20% - Ênfase2 2 2 4 2" xfId="404" xr:uid="{00000000-0005-0000-0000-000090010000}"/>
    <cellStyle name="20% - Ênfase2 2 2 5" xfId="405" xr:uid="{00000000-0005-0000-0000-000091010000}"/>
    <cellStyle name="20% - Ênfase2 2 3" xfId="406" xr:uid="{00000000-0005-0000-0000-000092010000}"/>
    <cellStyle name="20% - Ênfase2 2 3 2" xfId="407" xr:uid="{00000000-0005-0000-0000-000093010000}"/>
    <cellStyle name="20% - Ênfase2 2 3 2 2" xfId="408" xr:uid="{00000000-0005-0000-0000-000094010000}"/>
    <cellStyle name="20% - Ênfase2 2 3 3" xfId="409" xr:uid="{00000000-0005-0000-0000-000095010000}"/>
    <cellStyle name="20% - Ênfase2 2 4" xfId="410" xr:uid="{00000000-0005-0000-0000-000096010000}"/>
    <cellStyle name="20% - Ênfase2 2 4 2" xfId="411" xr:uid="{00000000-0005-0000-0000-000097010000}"/>
    <cellStyle name="20% - Ênfase2 2 4 2 2" xfId="412" xr:uid="{00000000-0005-0000-0000-000098010000}"/>
    <cellStyle name="20% - Ênfase2 2 4 3" xfId="413" xr:uid="{00000000-0005-0000-0000-000099010000}"/>
    <cellStyle name="20% - Ênfase2 2 5" xfId="414" xr:uid="{00000000-0005-0000-0000-00009A010000}"/>
    <cellStyle name="20% - Ênfase2 2 5 2" xfId="415" xr:uid="{00000000-0005-0000-0000-00009B010000}"/>
    <cellStyle name="20% - Ênfase2 2 6" xfId="416" xr:uid="{00000000-0005-0000-0000-00009C010000}"/>
    <cellStyle name="20% - Ênfase2 20" xfId="417" xr:uid="{00000000-0005-0000-0000-00009D010000}"/>
    <cellStyle name="20% - Ênfase2 20 2" xfId="418" xr:uid="{00000000-0005-0000-0000-00009E010000}"/>
    <cellStyle name="20% - Ênfase2 20 2 2" xfId="419" xr:uid="{00000000-0005-0000-0000-00009F010000}"/>
    <cellStyle name="20% - Ênfase2 20 2 2 2" xfId="420" xr:uid="{00000000-0005-0000-0000-0000A0010000}"/>
    <cellStyle name="20% - Ênfase2 20 2 3" xfId="421" xr:uid="{00000000-0005-0000-0000-0000A1010000}"/>
    <cellStyle name="20% - Ênfase2 20 3" xfId="422" xr:uid="{00000000-0005-0000-0000-0000A2010000}"/>
    <cellStyle name="20% - Ênfase2 20 3 2" xfId="423" xr:uid="{00000000-0005-0000-0000-0000A3010000}"/>
    <cellStyle name="20% - Ênfase2 20 4" xfId="424" xr:uid="{00000000-0005-0000-0000-0000A4010000}"/>
    <cellStyle name="20% - Ênfase2 21" xfId="425" xr:uid="{00000000-0005-0000-0000-0000A5010000}"/>
    <cellStyle name="20% - Ênfase2 21 2" xfId="426" xr:uid="{00000000-0005-0000-0000-0000A6010000}"/>
    <cellStyle name="20% - Ênfase2 21 2 2" xfId="427" xr:uid="{00000000-0005-0000-0000-0000A7010000}"/>
    <cellStyle name="20% - Ênfase2 21 2 2 2" xfId="428" xr:uid="{00000000-0005-0000-0000-0000A8010000}"/>
    <cellStyle name="20% - Ênfase2 21 2 3" xfId="429" xr:uid="{00000000-0005-0000-0000-0000A9010000}"/>
    <cellStyle name="20% - Ênfase2 21 3" xfId="430" xr:uid="{00000000-0005-0000-0000-0000AA010000}"/>
    <cellStyle name="20% - Ênfase2 21 3 2" xfId="431" xr:uid="{00000000-0005-0000-0000-0000AB010000}"/>
    <cellStyle name="20% - Ênfase2 21 4" xfId="432" xr:uid="{00000000-0005-0000-0000-0000AC010000}"/>
    <cellStyle name="20% - Ênfase2 22" xfId="433" xr:uid="{00000000-0005-0000-0000-0000AD010000}"/>
    <cellStyle name="20% - Ênfase2 22 2" xfId="434" xr:uid="{00000000-0005-0000-0000-0000AE010000}"/>
    <cellStyle name="20% - Ênfase2 22 2 2" xfId="435" xr:uid="{00000000-0005-0000-0000-0000AF010000}"/>
    <cellStyle name="20% - Ênfase2 22 2 2 2" xfId="436" xr:uid="{00000000-0005-0000-0000-0000B0010000}"/>
    <cellStyle name="20% - Ênfase2 22 2 3" xfId="437" xr:uid="{00000000-0005-0000-0000-0000B1010000}"/>
    <cellStyle name="20% - Ênfase2 22 3" xfId="438" xr:uid="{00000000-0005-0000-0000-0000B2010000}"/>
    <cellStyle name="20% - Ênfase2 22 3 2" xfId="439" xr:uid="{00000000-0005-0000-0000-0000B3010000}"/>
    <cellStyle name="20% - Ênfase2 22 4" xfId="440" xr:uid="{00000000-0005-0000-0000-0000B4010000}"/>
    <cellStyle name="20% - Ênfase2 23" xfId="441" xr:uid="{00000000-0005-0000-0000-0000B5010000}"/>
    <cellStyle name="20% - Ênfase2 23 2" xfId="442" xr:uid="{00000000-0005-0000-0000-0000B6010000}"/>
    <cellStyle name="20% - Ênfase2 23 2 2" xfId="443" xr:uid="{00000000-0005-0000-0000-0000B7010000}"/>
    <cellStyle name="20% - Ênfase2 23 2 2 2" xfId="444" xr:uid="{00000000-0005-0000-0000-0000B8010000}"/>
    <cellStyle name="20% - Ênfase2 23 2 3" xfId="445" xr:uid="{00000000-0005-0000-0000-0000B9010000}"/>
    <cellStyle name="20% - Ênfase2 23 3" xfId="446" xr:uid="{00000000-0005-0000-0000-0000BA010000}"/>
    <cellStyle name="20% - Ênfase2 23 3 2" xfId="447" xr:uid="{00000000-0005-0000-0000-0000BB010000}"/>
    <cellStyle name="20% - Ênfase2 23 4" xfId="448" xr:uid="{00000000-0005-0000-0000-0000BC010000}"/>
    <cellStyle name="20% - Ênfase2 24" xfId="449" xr:uid="{00000000-0005-0000-0000-0000BD010000}"/>
    <cellStyle name="20% - Ênfase2 24 2" xfId="450" xr:uid="{00000000-0005-0000-0000-0000BE010000}"/>
    <cellStyle name="20% - Ênfase2 24 2 2" xfId="451" xr:uid="{00000000-0005-0000-0000-0000BF010000}"/>
    <cellStyle name="20% - Ênfase2 24 2 2 2" xfId="452" xr:uid="{00000000-0005-0000-0000-0000C0010000}"/>
    <cellStyle name="20% - Ênfase2 24 2 3" xfId="453" xr:uid="{00000000-0005-0000-0000-0000C1010000}"/>
    <cellStyle name="20% - Ênfase2 24 3" xfId="454" xr:uid="{00000000-0005-0000-0000-0000C2010000}"/>
    <cellStyle name="20% - Ênfase2 24 3 2" xfId="455" xr:uid="{00000000-0005-0000-0000-0000C3010000}"/>
    <cellStyle name="20% - Ênfase2 24 4" xfId="456" xr:uid="{00000000-0005-0000-0000-0000C4010000}"/>
    <cellStyle name="20% - Ênfase2 25" xfId="457" xr:uid="{00000000-0005-0000-0000-0000C5010000}"/>
    <cellStyle name="20% - Ênfase2 25 2" xfId="458" xr:uid="{00000000-0005-0000-0000-0000C6010000}"/>
    <cellStyle name="20% - Ênfase2 25 2 2" xfId="459" xr:uid="{00000000-0005-0000-0000-0000C7010000}"/>
    <cellStyle name="20% - Ênfase2 25 2 2 2" xfId="460" xr:uid="{00000000-0005-0000-0000-0000C8010000}"/>
    <cellStyle name="20% - Ênfase2 25 2 3" xfId="461" xr:uid="{00000000-0005-0000-0000-0000C9010000}"/>
    <cellStyle name="20% - Ênfase2 25 3" xfId="462" xr:uid="{00000000-0005-0000-0000-0000CA010000}"/>
    <cellStyle name="20% - Ênfase2 25 3 2" xfId="463" xr:uid="{00000000-0005-0000-0000-0000CB010000}"/>
    <cellStyle name="20% - Ênfase2 25 4" xfId="464" xr:uid="{00000000-0005-0000-0000-0000CC010000}"/>
    <cellStyle name="20% - Ênfase2 26" xfId="465" xr:uid="{00000000-0005-0000-0000-0000CD010000}"/>
    <cellStyle name="20% - Ênfase2 26 2" xfId="466" xr:uid="{00000000-0005-0000-0000-0000CE010000}"/>
    <cellStyle name="20% - Ênfase2 26 2 2" xfId="467" xr:uid="{00000000-0005-0000-0000-0000CF010000}"/>
    <cellStyle name="20% - Ênfase2 26 2 2 2" xfId="468" xr:uid="{00000000-0005-0000-0000-0000D0010000}"/>
    <cellStyle name="20% - Ênfase2 26 2 3" xfId="469" xr:uid="{00000000-0005-0000-0000-0000D1010000}"/>
    <cellStyle name="20% - Ênfase2 26 3" xfId="470" xr:uid="{00000000-0005-0000-0000-0000D2010000}"/>
    <cellStyle name="20% - Ênfase2 26 3 2" xfId="471" xr:uid="{00000000-0005-0000-0000-0000D3010000}"/>
    <cellStyle name="20% - Ênfase2 26 4" xfId="472" xr:uid="{00000000-0005-0000-0000-0000D4010000}"/>
    <cellStyle name="20% - Ênfase2 27" xfId="473" xr:uid="{00000000-0005-0000-0000-0000D5010000}"/>
    <cellStyle name="20% - Ênfase2 27 2" xfId="474" xr:uid="{00000000-0005-0000-0000-0000D6010000}"/>
    <cellStyle name="20% - Ênfase2 27 2 2" xfId="475" xr:uid="{00000000-0005-0000-0000-0000D7010000}"/>
    <cellStyle name="20% - Ênfase2 27 3" xfId="476" xr:uid="{00000000-0005-0000-0000-0000D8010000}"/>
    <cellStyle name="20% - Ênfase2 28" xfId="477" xr:uid="{00000000-0005-0000-0000-0000D9010000}"/>
    <cellStyle name="20% - Ênfase2 28 2" xfId="478" xr:uid="{00000000-0005-0000-0000-0000DA010000}"/>
    <cellStyle name="20% - Ênfase2 28 2 2" xfId="479" xr:uid="{00000000-0005-0000-0000-0000DB010000}"/>
    <cellStyle name="20% - Ênfase2 28 3" xfId="480" xr:uid="{00000000-0005-0000-0000-0000DC010000}"/>
    <cellStyle name="20% - Ênfase2 29" xfId="481" xr:uid="{00000000-0005-0000-0000-0000DD010000}"/>
    <cellStyle name="20% - Ênfase2 29 2" xfId="482" xr:uid="{00000000-0005-0000-0000-0000DE010000}"/>
    <cellStyle name="20% - Ênfase2 29 2 2" xfId="483" xr:uid="{00000000-0005-0000-0000-0000DF010000}"/>
    <cellStyle name="20% - Ênfase2 29 3" xfId="484" xr:uid="{00000000-0005-0000-0000-0000E0010000}"/>
    <cellStyle name="20% - Ênfase2 3" xfId="485" xr:uid="{00000000-0005-0000-0000-0000E1010000}"/>
    <cellStyle name="20% - Ênfase2 3 2" xfId="486" xr:uid="{00000000-0005-0000-0000-0000E2010000}"/>
    <cellStyle name="20% - Ênfase2 3 2 2" xfId="487" xr:uid="{00000000-0005-0000-0000-0000E3010000}"/>
    <cellStyle name="20% - Ênfase2 3 2 2 2" xfId="488" xr:uid="{00000000-0005-0000-0000-0000E4010000}"/>
    <cellStyle name="20% - Ênfase2 3 2 3" xfId="489" xr:uid="{00000000-0005-0000-0000-0000E5010000}"/>
    <cellStyle name="20% - Ênfase2 3 3" xfId="490" xr:uid="{00000000-0005-0000-0000-0000E6010000}"/>
    <cellStyle name="20% - Ênfase2 3 3 2" xfId="491" xr:uid="{00000000-0005-0000-0000-0000E7010000}"/>
    <cellStyle name="20% - Ênfase2 3 4" xfId="492" xr:uid="{00000000-0005-0000-0000-0000E8010000}"/>
    <cellStyle name="20% - Ênfase2 3 4 2" xfId="493" xr:uid="{00000000-0005-0000-0000-0000E9010000}"/>
    <cellStyle name="20% - Ênfase2 3 5" xfId="494" xr:uid="{00000000-0005-0000-0000-0000EA010000}"/>
    <cellStyle name="20% - Ênfase2 3 5 2" xfId="495" xr:uid="{00000000-0005-0000-0000-0000EB010000}"/>
    <cellStyle name="20% - Ênfase2 3 6" xfId="496" xr:uid="{00000000-0005-0000-0000-0000EC010000}"/>
    <cellStyle name="20% - Ênfase2 30" xfId="497" xr:uid="{00000000-0005-0000-0000-0000ED010000}"/>
    <cellStyle name="20% - Ênfase2 30 2" xfId="498" xr:uid="{00000000-0005-0000-0000-0000EE010000}"/>
    <cellStyle name="20% - Ênfase2 30 2 2" xfId="499" xr:uid="{00000000-0005-0000-0000-0000EF010000}"/>
    <cellStyle name="20% - Ênfase2 30 3" xfId="500" xr:uid="{00000000-0005-0000-0000-0000F0010000}"/>
    <cellStyle name="20% - Ênfase2 31" xfId="501" xr:uid="{00000000-0005-0000-0000-0000F1010000}"/>
    <cellStyle name="20% - Ênfase2 31 2" xfId="502" xr:uid="{00000000-0005-0000-0000-0000F2010000}"/>
    <cellStyle name="20% - Ênfase2 32" xfId="503" xr:uid="{00000000-0005-0000-0000-0000F3010000}"/>
    <cellStyle name="20% - Ênfase2 32 2" xfId="504" xr:uid="{00000000-0005-0000-0000-0000F4010000}"/>
    <cellStyle name="20% - Ênfase2 33" xfId="505" xr:uid="{00000000-0005-0000-0000-0000F5010000}"/>
    <cellStyle name="20% - Ênfase2 33 2" xfId="506" xr:uid="{00000000-0005-0000-0000-0000F6010000}"/>
    <cellStyle name="20% - Ênfase2 34" xfId="507" xr:uid="{00000000-0005-0000-0000-0000F7010000}"/>
    <cellStyle name="20% - Ênfase2 35" xfId="508" xr:uid="{00000000-0005-0000-0000-0000F8010000}"/>
    <cellStyle name="20% - Ênfase2 4" xfId="509" xr:uid="{00000000-0005-0000-0000-0000F9010000}"/>
    <cellStyle name="20% - Ênfase2 4 2" xfId="510" xr:uid="{00000000-0005-0000-0000-0000FA010000}"/>
    <cellStyle name="20% - Ênfase2 4 2 2" xfId="511" xr:uid="{00000000-0005-0000-0000-0000FB010000}"/>
    <cellStyle name="20% - Ênfase2 4 2 2 2" xfId="512" xr:uid="{00000000-0005-0000-0000-0000FC010000}"/>
    <cellStyle name="20% - Ênfase2 4 2 3" xfId="513" xr:uid="{00000000-0005-0000-0000-0000FD010000}"/>
    <cellStyle name="20% - Ênfase2 4 3" xfId="514" xr:uid="{00000000-0005-0000-0000-0000FE010000}"/>
    <cellStyle name="20% - Ênfase2 4 3 2" xfId="515" xr:uid="{00000000-0005-0000-0000-0000FF010000}"/>
    <cellStyle name="20% - Ênfase2 4 4" xfId="516" xr:uid="{00000000-0005-0000-0000-000000020000}"/>
    <cellStyle name="20% - Ênfase2 4 4 2" xfId="517" xr:uid="{00000000-0005-0000-0000-000001020000}"/>
    <cellStyle name="20% - Ênfase2 4 5" xfId="518" xr:uid="{00000000-0005-0000-0000-000002020000}"/>
    <cellStyle name="20% - Ênfase2 4 5 2" xfId="519" xr:uid="{00000000-0005-0000-0000-000003020000}"/>
    <cellStyle name="20% - Ênfase2 4 6" xfId="520" xr:uid="{00000000-0005-0000-0000-000004020000}"/>
    <cellStyle name="20% - Ênfase2 5" xfId="521" xr:uid="{00000000-0005-0000-0000-000005020000}"/>
    <cellStyle name="20% - Ênfase2 5 2" xfId="522" xr:uid="{00000000-0005-0000-0000-000006020000}"/>
    <cellStyle name="20% - Ênfase2 5 2 2" xfId="523" xr:uid="{00000000-0005-0000-0000-000007020000}"/>
    <cellStyle name="20% - Ênfase2 5 2 2 2" xfId="524" xr:uid="{00000000-0005-0000-0000-000008020000}"/>
    <cellStyle name="20% - Ênfase2 5 2 3" xfId="525" xr:uid="{00000000-0005-0000-0000-000009020000}"/>
    <cellStyle name="20% - Ênfase2 5 3" xfId="526" xr:uid="{00000000-0005-0000-0000-00000A020000}"/>
    <cellStyle name="20% - Ênfase2 5 3 2" xfId="527" xr:uid="{00000000-0005-0000-0000-00000B020000}"/>
    <cellStyle name="20% - Ênfase2 5 4" xfId="528" xr:uid="{00000000-0005-0000-0000-00000C020000}"/>
    <cellStyle name="20% - Ênfase2 5 4 2" xfId="529" xr:uid="{00000000-0005-0000-0000-00000D020000}"/>
    <cellStyle name="20% - Ênfase2 5 5" xfId="530" xr:uid="{00000000-0005-0000-0000-00000E020000}"/>
    <cellStyle name="20% - Ênfase2 5 5 2" xfId="531" xr:uid="{00000000-0005-0000-0000-00000F020000}"/>
    <cellStyle name="20% - Ênfase2 5 6" xfId="532" xr:uid="{00000000-0005-0000-0000-000010020000}"/>
    <cellStyle name="20% - Ênfase2 6" xfId="533" xr:uid="{00000000-0005-0000-0000-000011020000}"/>
    <cellStyle name="20% - Ênfase2 6 2" xfId="534" xr:uid="{00000000-0005-0000-0000-000012020000}"/>
    <cellStyle name="20% - Ênfase2 6 2 2" xfId="535" xr:uid="{00000000-0005-0000-0000-000013020000}"/>
    <cellStyle name="20% - Ênfase2 6 2 2 2" xfId="536" xr:uid="{00000000-0005-0000-0000-000014020000}"/>
    <cellStyle name="20% - Ênfase2 6 2 3" xfId="537" xr:uid="{00000000-0005-0000-0000-000015020000}"/>
    <cellStyle name="20% - Ênfase2 6 3" xfId="538" xr:uid="{00000000-0005-0000-0000-000016020000}"/>
    <cellStyle name="20% - Ênfase2 6 3 2" xfId="539" xr:uid="{00000000-0005-0000-0000-000017020000}"/>
    <cellStyle name="20% - Ênfase2 6 4" xfId="540" xr:uid="{00000000-0005-0000-0000-000018020000}"/>
    <cellStyle name="20% - Ênfase2 6 4 2" xfId="541" xr:uid="{00000000-0005-0000-0000-000019020000}"/>
    <cellStyle name="20% - Ênfase2 6 5" xfId="542" xr:uid="{00000000-0005-0000-0000-00001A020000}"/>
    <cellStyle name="20% - Ênfase2 6 5 2" xfId="543" xr:uid="{00000000-0005-0000-0000-00001B020000}"/>
    <cellStyle name="20% - Ênfase2 6 6" xfId="544" xr:uid="{00000000-0005-0000-0000-00001C020000}"/>
    <cellStyle name="20% - Ênfase2 7" xfId="545" xr:uid="{00000000-0005-0000-0000-00001D020000}"/>
    <cellStyle name="20% - Ênfase2 7 2" xfId="546" xr:uid="{00000000-0005-0000-0000-00001E020000}"/>
    <cellStyle name="20% - Ênfase2 7 2 2" xfId="547" xr:uid="{00000000-0005-0000-0000-00001F020000}"/>
    <cellStyle name="20% - Ênfase2 7 2 2 2" xfId="548" xr:uid="{00000000-0005-0000-0000-000020020000}"/>
    <cellStyle name="20% - Ênfase2 7 2 3" xfId="549" xr:uid="{00000000-0005-0000-0000-000021020000}"/>
    <cellStyle name="20% - Ênfase2 7 3" xfId="550" xr:uid="{00000000-0005-0000-0000-000022020000}"/>
    <cellStyle name="20% - Ênfase2 7 3 2" xfId="551" xr:uid="{00000000-0005-0000-0000-000023020000}"/>
    <cellStyle name="20% - Ênfase2 7 4" xfId="552" xr:uid="{00000000-0005-0000-0000-000024020000}"/>
    <cellStyle name="20% - Ênfase2 7 4 2" xfId="553" xr:uid="{00000000-0005-0000-0000-000025020000}"/>
    <cellStyle name="20% - Ênfase2 7 5" xfId="554" xr:uid="{00000000-0005-0000-0000-000026020000}"/>
    <cellStyle name="20% - Ênfase2 8" xfId="555" xr:uid="{00000000-0005-0000-0000-000027020000}"/>
    <cellStyle name="20% - Ênfase2 8 2" xfId="556" xr:uid="{00000000-0005-0000-0000-000028020000}"/>
    <cellStyle name="20% - Ênfase2 8 2 2" xfId="557" xr:uid="{00000000-0005-0000-0000-000029020000}"/>
    <cellStyle name="20% - Ênfase2 8 2 2 2" xfId="558" xr:uid="{00000000-0005-0000-0000-00002A020000}"/>
    <cellStyle name="20% - Ênfase2 8 2 3" xfId="559" xr:uid="{00000000-0005-0000-0000-00002B020000}"/>
    <cellStyle name="20% - Ênfase2 8 3" xfId="560" xr:uid="{00000000-0005-0000-0000-00002C020000}"/>
    <cellStyle name="20% - Ênfase2 8 3 2" xfId="561" xr:uid="{00000000-0005-0000-0000-00002D020000}"/>
    <cellStyle name="20% - Ênfase2 8 4" xfId="562" xr:uid="{00000000-0005-0000-0000-00002E020000}"/>
    <cellStyle name="20% - Ênfase2 8 4 2" xfId="563" xr:uid="{00000000-0005-0000-0000-00002F020000}"/>
    <cellStyle name="20% - Ênfase2 8 5" xfId="564" xr:uid="{00000000-0005-0000-0000-000030020000}"/>
    <cellStyle name="20% - Ênfase2 9" xfId="565" xr:uid="{00000000-0005-0000-0000-000031020000}"/>
    <cellStyle name="20% - Ênfase2 9 2" xfId="566" xr:uid="{00000000-0005-0000-0000-000032020000}"/>
    <cellStyle name="20% - Ênfase2 9 2 2" xfId="567" xr:uid="{00000000-0005-0000-0000-000033020000}"/>
    <cellStyle name="20% - Ênfase2 9 2 2 2" xfId="568" xr:uid="{00000000-0005-0000-0000-000034020000}"/>
    <cellStyle name="20% - Ênfase2 9 2 3" xfId="569" xr:uid="{00000000-0005-0000-0000-000035020000}"/>
    <cellStyle name="20% - Ênfase2 9 3" xfId="570" xr:uid="{00000000-0005-0000-0000-000036020000}"/>
    <cellStyle name="20% - Ênfase2 9 3 2" xfId="571" xr:uid="{00000000-0005-0000-0000-000037020000}"/>
    <cellStyle name="20% - Ênfase2 9 4" xfId="572" xr:uid="{00000000-0005-0000-0000-000038020000}"/>
    <cellStyle name="20% - Ênfase2 9 4 2" xfId="573" xr:uid="{00000000-0005-0000-0000-000039020000}"/>
    <cellStyle name="20% - Ênfase2 9 5" xfId="574" xr:uid="{00000000-0005-0000-0000-00003A020000}"/>
    <cellStyle name="20% - Ênfase3 10" xfId="575" xr:uid="{00000000-0005-0000-0000-00003B020000}"/>
    <cellStyle name="20% - Ênfase3 10 2" xfId="576" xr:uid="{00000000-0005-0000-0000-00003C020000}"/>
    <cellStyle name="20% - Ênfase3 10 2 2" xfId="577" xr:uid="{00000000-0005-0000-0000-00003D020000}"/>
    <cellStyle name="20% - Ênfase3 10 2 2 2" xfId="578" xr:uid="{00000000-0005-0000-0000-00003E020000}"/>
    <cellStyle name="20% - Ênfase3 10 2 3" xfId="579" xr:uid="{00000000-0005-0000-0000-00003F020000}"/>
    <cellStyle name="20% - Ênfase3 10 3" xfId="580" xr:uid="{00000000-0005-0000-0000-000040020000}"/>
    <cellStyle name="20% - Ênfase3 10 3 2" xfId="581" xr:uid="{00000000-0005-0000-0000-000041020000}"/>
    <cellStyle name="20% - Ênfase3 10 4" xfId="582" xr:uid="{00000000-0005-0000-0000-000042020000}"/>
    <cellStyle name="20% - Ênfase3 10 4 2" xfId="583" xr:uid="{00000000-0005-0000-0000-000043020000}"/>
    <cellStyle name="20% - Ênfase3 10 5" xfId="584" xr:uid="{00000000-0005-0000-0000-000044020000}"/>
    <cellStyle name="20% - Ênfase3 11" xfId="585" xr:uid="{00000000-0005-0000-0000-000045020000}"/>
    <cellStyle name="20% - Ênfase3 11 2" xfId="586" xr:uid="{00000000-0005-0000-0000-000046020000}"/>
    <cellStyle name="20% - Ênfase3 11 2 2" xfId="587" xr:uid="{00000000-0005-0000-0000-000047020000}"/>
    <cellStyle name="20% - Ênfase3 11 2 2 2" xfId="588" xr:uid="{00000000-0005-0000-0000-000048020000}"/>
    <cellStyle name="20% - Ênfase3 11 2 3" xfId="589" xr:uid="{00000000-0005-0000-0000-000049020000}"/>
    <cellStyle name="20% - Ênfase3 11 3" xfId="590" xr:uid="{00000000-0005-0000-0000-00004A020000}"/>
    <cellStyle name="20% - Ênfase3 11 3 2" xfId="591" xr:uid="{00000000-0005-0000-0000-00004B020000}"/>
    <cellStyle name="20% - Ênfase3 11 4" xfId="592" xr:uid="{00000000-0005-0000-0000-00004C020000}"/>
    <cellStyle name="20% - Ênfase3 11 4 2" xfId="593" xr:uid="{00000000-0005-0000-0000-00004D020000}"/>
    <cellStyle name="20% - Ênfase3 11 5" xfId="594" xr:uid="{00000000-0005-0000-0000-00004E020000}"/>
    <cellStyle name="20% - Ênfase3 12" xfId="595" xr:uid="{00000000-0005-0000-0000-00004F020000}"/>
    <cellStyle name="20% - Ênfase3 12 2" xfId="596" xr:uid="{00000000-0005-0000-0000-000050020000}"/>
    <cellStyle name="20% - Ênfase3 12 2 2" xfId="597" xr:uid="{00000000-0005-0000-0000-000051020000}"/>
    <cellStyle name="20% - Ênfase3 12 2 2 2" xfId="598" xr:uid="{00000000-0005-0000-0000-000052020000}"/>
    <cellStyle name="20% - Ênfase3 12 2 3" xfId="599" xr:uid="{00000000-0005-0000-0000-000053020000}"/>
    <cellStyle name="20% - Ênfase3 12 3" xfId="600" xr:uid="{00000000-0005-0000-0000-000054020000}"/>
    <cellStyle name="20% - Ênfase3 12 3 2" xfId="601" xr:uid="{00000000-0005-0000-0000-000055020000}"/>
    <cellStyle name="20% - Ênfase3 12 4" xfId="602" xr:uid="{00000000-0005-0000-0000-000056020000}"/>
    <cellStyle name="20% - Ênfase3 12 4 2" xfId="603" xr:uid="{00000000-0005-0000-0000-000057020000}"/>
    <cellStyle name="20% - Ênfase3 12 5" xfId="604" xr:uid="{00000000-0005-0000-0000-000058020000}"/>
    <cellStyle name="20% - Ênfase3 13" xfId="605" xr:uid="{00000000-0005-0000-0000-000059020000}"/>
    <cellStyle name="20% - Ênfase3 13 2" xfId="606" xr:uid="{00000000-0005-0000-0000-00005A020000}"/>
    <cellStyle name="20% - Ênfase3 13 2 2" xfId="607" xr:uid="{00000000-0005-0000-0000-00005B020000}"/>
    <cellStyle name="20% - Ênfase3 13 2 2 2" xfId="608" xr:uid="{00000000-0005-0000-0000-00005C020000}"/>
    <cellStyle name="20% - Ênfase3 13 2 3" xfId="609" xr:uid="{00000000-0005-0000-0000-00005D020000}"/>
    <cellStyle name="20% - Ênfase3 13 3" xfId="610" xr:uid="{00000000-0005-0000-0000-00005E020000}"/>
    <cellStyle name="20% - Ênfase3 13 3 2" xfId="611" xr:uid="{00000000-0005-0000-0000-00005F020000}"/>
    <cellStyle name="20% - Ênfase3 13 4" xfId="612" xr:uid="{00000000-0005-0000-0000-000060020000}"/>
    <cellStyle name="20% - Ênfase3 13 4 2" xfId="613" xr:uid="{00000000-0005-0000-0000-000061020000}"/>
    <cellStyle name="20% - Ênfase3 13 5" xfId="614" xr:uid="{00000000-0005-0000-0000-000062020000}"/>
    <cellStyle name="20% - Ênfase3 14" xfId="615" xr:uid="{00000000-0005-0000-0000-000063020000}"/>
    <cellStyle name="20% - Ênfase3 14 2" xfId="616" xr:uid="{00000000-0005-0000-0000-000064020000}"/>
    <cellStyle name="20% - Ênfase3 14 2 2" xfId="617" xr:uid="{00000000-0005-0000-0000-000065020000}"/>
    <cellStyle name="20% - Ênfase3 14 2 2 2" xfId="618" xr:uid="{00000000-0005-0000-0000-000066020000}"/>
    <cellStyle name="20% - Ênfase3 14 2 3" xfId="619" xr:uid="{00000000-0005-0000-0000-000067020000}"/>
    <cellStyle name="20% - Ênfase3 14 3" xfId="620" xr:uid="{00000000-0005-0000-0000-000068020000}"/>
    <cellStyle name="20% - Ênfase3 14 3 2" xfId="621" xr:uid="{00000000-0005-0000-0000-000069020000}"/>
    <cellStyle name="20% - Ênfase3 14 4" xfId="622" xr:uid="{00000000-0005-0000-0000-00006A020000}"/>
    <cellStyle name="20% - Ênfase3 14 4 2" xfId="623" xr:uid="{00000000-0005-0000-0000-00006B020000}"/>
    <cellStyle name="20% - Ênfase3 14 5" xfId="624" xr:uid="{00000000-0005-0000-0000-00006C020000}"/>
    <cellStyle name="20% - Ênfase3 15" xfId="625" xr:uid="{00000000-0005-0000-0000-00006D020000}"/>
    <cellStyle name="20% - Ênfase3 15 2" xfId="626" xr:uid="{00000000-0005-0000-0000-00006E020000}"/>
    <cellStyle name="20% - Ênfase3 15 2 2" xfId="627" xr:uid="{00000000-0005-0000-0000-00006F020000}"/>
    <cellStyle name="20% - Ênfase3 15 2 2 2" xfId="628" xr:uid="{00000000-0005-0000-0000-000070020000}"/>
    <cellStyle name="20% - Ênfase3 15 2 3" xfId="629" xr:uid="{00000000-0005-0000-0000-000071020000}"/>
    <cellStyle name="20% - Ênfase3 15 3" xfId="630" xr:uid="{00000000-0005-0000-0000-000072020000}"/>
    <cellStyle name="20% - Ênfase3 15 3 2" xfId="631" xr:uid="{00000000-0005-0000-0000-000073020000}"/>
    <cellStyle name="20% - Ênfase3 15 4" xfId="632" xr:uid="{00000000-0005-0000-0000-000074020000}"/>
    <cellStyle name="20% - Ênfase3 15 4 2" xfId="633" xr:uid="{00000000-0005-0000-0000-000075020000}"/>
    <cellStyle name="20% - Ênfase3 15 5" xfId="634" xr:uid="{00000000-0005-0000-0000-000076020000}"/>
    <cellStyle name="20% - Ênfase3 16" xfId="635" xr:uid="{00000000-0005-0000-0000-000077020000}"/>
    <cellStyle name="20% - Ênfase3 16 2" xfId="636" xr:uid="{00000000-0005-0000-0000-000078020000}"/>
    <cellStyle name="20% - Ênfase3 16 2 2" xfId="637" xr:uid="{00000000-0005-0000-0000-000079020000}"/>
    <cellStyle name="20% - Ênfase3 16 2 2 2" xfId="638" xr:uid="{00000000-0005-0000-0000-00007A020000}"/>
    <cellStyle name="20% - Ênfase3 16 2 3" xfId="639" xr:uid="{00000000-0005-0000-0000-00007B020000}"/>
    <cellStyle name="20% - Ênfase3 16 3" xfId="640" xr:uid="{00000000-0005-0000-0000-00007C020000}"/>
    <cellStyle name="20% - Ênfase3 16 3 2" xfId="641" xr:uid="{00000000-0005-0000-0000-00007D020000}"/>
    <cellStyle name="20% - Ênfase3 16 4" xfId="642" xr:uid="{00000000-0005-0000-0000-00007E020000}"/>
    <cellStyle name="20% - Ênfase3 16 4 2" xfId="643" xr:uid="{00000000-0005-0000-0000-00007F020000}"/>
    <cellStyle name="20% - Ênfase3 16 5" xfId="644" xr:uid="{00000000-0005-0000-0000-000080020000}"/>
    <cellStyle name="20% - Ênfase3 17" xfId="645" xr:uid="{00000000-0005-0000-0000-000081020000}"/>
    <cellStyle name="20% - Ênfase3 17 2" xfId="646" xr:uid="{00000000-0005-0000-0000-000082020000}"/>
    <cellStyle name="20% - Ênfase3 17 2 2" xfId="647" xr:uid="{00000000-0005-0000-0000-000083020000}"/>
    <cellStyle name="20% - Ênfase3 17 2 2 2" xfId="648" xr:uid="{00000000-0005-0000-0000-000084020000}"/>
    <cellStyle name="20% - Ênfase3 17 2 3" xfId="649" xr:uid="{00000000-0005-0000-0000-000085020000}"/>
    <cellStyle name="20% - Ênfase3 17 3" xfId="650" xr:uid="{00000000-0005-0000-0000-000086020000}"/>
    <cellStyle name="20% - Ênfase3 17 3 2" xfId="651" xr:uid="{00000000-0005-0000-0000-000087020000}"/>
    <cellStyle name="20% - Ênfase3 17 4" xfId="652" xr:uid="{00000000-0005-0000-0000-000088020000}"/>
    <cellStyle name="20% - Ênfase3 17 4 2" xfId="653" xr:uid="{00000000-0005-0000-0000-000089020000}"/>
    <cellStyle name="20% - Ênfase3 17 5" xfId="654" xr:uid="{00000000-0005-0000-0000-00008A020000}"/>
    <cellStyle name="20% - Ênfase3 18" xfId="655" xr:uid="{00000000-0005-0000-0000-00008B020000}"/>
    <cellStyle name="20% - Ênfase3 18 2" xfId="656" xr:uid="{00000000-0005-0000-0000-00008C020000}"/>
    <cellStyle name="20% - Ênfase3 18 2 2" xfId="657" xr:uid="{00000000-0005-0000-0000-00008D020000}"/>
    <cellStyle name="20% - Ênfase3 18 2 2 2" xfId="658" xr:uid="{00000000-0005-0000-0000-00008E020000}"/>
    <cellStyle name="20% - Ênfase3 18 2 3" xfId="659" xr:uid="{00000000-0005-0000-0000-00008F020000}"/>
    <cellStyle name="20% - Ênfase3 18 3" xfId="660" xr:uid="{00000000-0005-0000-0000-000090020000}"/>
    <cellStyle name="20% - Ênfase3 18 3 2" xfId="661" xr:uid="{00000000-0005-0000-0000-000091020000}"/>
    <cellStyle name="20% - Ênfase3 18 4" xfId="662" xr:uid="{00000000-0005-0000-0000-000092020000}"/>
    <cellStyle name="20% - Ênfase3 19" xfId="663" xr:uid="{00000000-0005-0000-0000-000093020000}"/>
    <cellStyle name="20% - Ênfase3 19 2" xfId="664" xr:uid="{00000000-0005-0000-0000-000094020000}"/>
    <cellStyle name="20% - Ênfase3 19 2 2" xfId="665" xr:uid="{00000000-0005-0000-0000-000095020000}"/>
    <cellStyle name="20% - Ênfase3 19 2 2 2" xfId="666" xr:uid="{00000000-0005-0000-0000-000096020000}"/>
    <cellStyle name="20% - Ênfase3 19 2 3" xfId="667" xr:uid="{00000000-0005-0000-0000-000097020000}"/>
    <cellStyle name="20% - Ênfase3 19 3" xfId="668" xr:uid="{00000000-0005-0000-0000-000098020000}"/>
    <cellStyle name="20% - Ênfase3 19 3 2" xfId="669" xr:uid="{00000000-0005-0000-0000-000099020000}"/>
    <cellStyle name="20% - Ênfase3 19 4" xfId="670" xr:uid="{00000000-0005-0000-0000-00009A020000}"/>
    <cellStyle name="20% - Ênfase3 2" xfId="671" xr:uid="{00000000-0005-0000-0000-00009B020000}"/>
    <cellStyle name="20% - Ênfase3 2 2" xfId="672" xr:uid="{00000000-0005-0000-0000-00009C020000}"/>
    <cellStyle name="20% - Ênfase3 2 2 2" xfId="673" xr:uid="{00000000-0005-0000-0000-00009D020000}"/>
    <cellStyle name="20% - Ênfase3 2 2 2 2" xfId="674" xr:uid="{00000000-0005-0000-0000-00009E020000}"/>
    <cellStyle name="20% - Ênfase3 2 2 2 2 2" xfId="675" xr:uid="{00000000-0005-0000-0000-00009F020000}"/>
    <cellStyle name="20% - Ênfase3 2 2 2 3" xfId="676" xr:uid="{00000000-0005-0000-0000-0000A0020000}"/>
    <cellStyle name="20% - Ênfase3 2 2 3" xfId="677" xr:uid="{00000000-0005-0000-0000-0000A1020000}"/>
    <cellStyle name="20% - Ênfase3 2 2 3 2" xfId="678" xr:uid="{00000000-0005-0000-0000-0000A2020000}"/>
    <cellStyle name="20% - Ênfase3 2 2 3 2 2" xfId="679" xr:uid="{00000000-0005-0000-0000-0000A3020000}"/>
    <cellStyle name="20% - Ênfase3 2 2 3 3" xfId="680" xr:uid="{00000000-0005-0000-0000-0000A4020000}"/>
    <cellStyle name="20% - Ênfase3 2 2 4" xfId="681" xr:uid="{00000000-0005-0000-0000-0000A5020000}"/>
    <cellStyle name="20% - Ênfase3 2 2 4 2" xfId="682" xr:uid="{00000000-0005-0000-0000-0000A6020000}"/>
    <cellStyle name="20% - Ênfase3 2 2 5" xfId="683" xr:uid="{00000000-0005-0000-0000-0000A7020000}"/>
    <cellStyle name="20% - Ênfase3 2 3" xfId="684" xr:uid="{00000000-0005-0000-0000-0000A8020000}"/>
    <cellStyle name="20% - Ênfase3 2 3 2" xfId="685" xr:uid="{00000000-0005-0000-0000-0000A9020000}"/>
    <cellStyle name="20% - Ênfase3 2 3 2 2" xfId="686" xr:uid="{00000000-0005-0000-0000-0000AA020000}"/>
    <cellStyle name="20% - Ênfase3 2 3 3" xfId="687" xr:uid="{00000000-0005-0000-0000-0000AB020000}"/>
    <cellStyle name="20% - Ênfase3 2 4" xfId="688" xr:uid="{00000000-0005-0000-0000-0000AC020000}"/>
    <cellStyle name="20% - Ênfase3 2 4 2" xfId="689" xr:uid="{00000000-0005-0000-0000-0000AD020000}"/>
    <cellStyle name="20% - Ênfase3 2 4 2 2" xfId="690" xr:uid="{00000000-0005-0000-0000-0000AE020000}"/>
    <cellStyle name="20% - Ênfase3 2 4 3" xfId="691" xr:uid="{00000000-0005-0000-0000-0000AF020000}"/>
    <cellStyle name="20% - Ênfase3 2 5" xfId="692" xr:uid="{00000000-0005-0000-0000-0000B0020000}"/>
    <cellStyle name="20% - Ênfase3 2 5 2" xfId="693" xr:uid="{00000000-0005-0000-0000-0000B1020000}"/>
    <cellStyle name="20% - Ênfase3 2 6" xfId="694" xr:uid="{00000000-0005-0000-0000-0000B2020000}"/>
    <cellStyle name="20% - Ênfase3 20" xfId="695" xr:uid="{00000000-0005-0000-0000-0000B3020000}"/>
    <cellStyle name="20% - Ênfase3 20 2" xfId="696" xr:uid="{00000000-0005-0000-0000-0000B4020000}"/>
    <cellStyle name="20% - Ênfase3 20 2 2" xfId="697" xr:uid="{00000000-0005-0000-0000-0000B5020000}"/>
    <cellStyle name="20% - Ênfase3 20 2 2 2" xfId="698" xr:uid="{00000000-0005-0000-0000-0000B6020000}"/>
    <cellStyle name="20% - Ênfase3 20 2 3" xfId="699" xr:uid="{00000000-0005-0000-0000-0000B7020000}"/>
    <cellStyle name="20% - Ênfase3 20 3" xfId="700" xr:uid="{00000000-0005-0000-0000-0000B8020000}"/>
    <cellStyle name="20% - Ênfase3 20 3 2" xfId="701" xr:uid="{00000000-0005-0000-0000-0000B9020000}"/>
    <cellStyle name="20% - Ênfase3 20 4" xfId="702" xr:uid="{00000000-0005-0000-0000-0000BA020000}"/>
    <cellStyle name="20% - Ênfase3 21" xfId="703" xr:uid="{00000000-0005-0000-0000-0000BB020000}"/>
    <cellStyle name="20% - Ênfase3 21 2" xfId="704" xr:uid="{00000000-0005-0000-0000-0000BC020000}"/>
    <cellStyle name="20% - Ênfase3 21 2 2" xfId="705" xr:uid="{00000000-0005-0000-0000-0000BD020000}"/>
    <cellStyle name="20% - Ênfase3 21 2 2 2" xfId="706" xr:uid="{00000000-0005-0000-0000-0000BE020000}"/>
    <cellStyle name="20% - Ênfase3 21 2 3" xfId="707" xr:uid="{00000000-0005-0000-0000-0000BF020000}"/>
    <cellStyle name="20% - Ênfase3 21 3" xfId="708" xr:uid="{00000000-0005-0000-0000-0000C0020000}"/>
    <cellStyle name="20% - Ênfase3 21 3 2" xfId="709" xr:uid="{00000000-0005-0000-0000-0000C1020000}"/>
    <cellStyle name="20% - Ênfase3 21 4" xfId="710" xr:uid="{00000000-0005-0000-0000-0000C2020000}"/>
    <cellStyle name="20% - Ênfase3 22" xfId="711" xr:uid="{00000000-0005-0000-0000-0000C3020000}"/>
    <cellStyle name="20% - Ênfase3 22 2" xfId="712" xr:uid="{00000000-0005-0000-0000-0000C4020000}"/>
    <cellStyle name="20% - Ênfase3 22 2 2" xfId="713" xr:uid="{00000000-0005-0000-0000-0000C5020000}"/>
    <cellStyle name="20% - Ênfase3 22 2 2 2" xfId="714" xr:uid="{00000000-0005-0000-0000-0000C6020000}"/>
    <cellStyle name="20% - Ênfase3 22 2 3" xfId="715" xr:uid="{00000000-0005-0000-0000-0000C7020000}"/>
    <cellStyle name="20% - Ênfase3 22 3" xfId="716" xr:uid="{00000000-0005-0000-0000-0000C8020000}"/>
    <cellStyle name="20% - Ênfase3 22 3 2" xfId="717" xr:uid="{00000000-0005-0000-0000-0000C9020000}"/>
    <cellStyle name="20% - Ênfase3 22 4" xfId="718" xr:uid="{00000000-0005-0000-0000-0000CA020000}"/>
    <cellStyle name="20% - Ênfase3 23" xfId="719" xr:uid="{00000000-0005-0000-0000-0000CB020000}"/>
    <cellStyle name="20% - Ênfase3 23 2" xfId="720" xr:uid="{00000000-0005-0000-0000-0000CC020000}"/>
    <cellStyle name="20% - Ênfase3 23 2 2" xfId="721" xr:uid="{00000000-0005-0000-0000-0000CD020000}"/>
    <cellStyle name="20% - Ênfase3 23 2 2 2" xfId="722" xr:uid="{00000000-0005-0000-0000-0000CE020000}"/>
    <cellStyle name="20% - Ênfase3 23 2 3" xfId="723" xr:uid="{00000000-0005-0000-0000-0000CF020000}"/>
    <cellStyle name="20% - Ênfase3 23 3" xfId="724" xr:uid="{00000000-0005-0000-0000-0000D0020000}"/>
    <cellStyle name="20% - Ênfase3 23 3 2" xfId="725" xr:uid="{00000000-0005-0000-0000-0000D1020000}"/>
    <cellStyle name="20% - Ênfase3 23 4" xfId="726" xr:uid="{00000000-0005-0000-0000-0000D2020000}"/>
    <cellStyle name="20% - Ênfase3 24" xfId="727" xr:uid="{00000000-0005-0000-0000-0000D3020000}"/>
    <cellStyle name="20% - Ênfase3 24 2" xfId="728" xr:uid="{00000000-0005-0000-0000-0000D4020000}"/>
    <cellStyle name="20% - Ênfase3 24 2 2" xfId="729" xr:uid="{00000000-0005-0000-0000-0000D5020000}"/>
    <cellStyle name="20% - Ênfase3 24 2 2 2" xfId="730" xr:uid="{00000000-0005-0000-0000-0000D6020000}"/>
    <cellStyle name="20% - Ênfase3 24 2 3" xfId="731" xr:uid="{00000000-0005-0000-0000-0000D7020000}"/>
    <cellStyle name="20% - Ênfase3 24 3" xfId="732" xr:uid="{00000000-0005-0000-0000-0000D8020000}"/>
    <cellStyle name="20% - Ênfase3 24 3 2" xfId="733" xr:uid="{00000000-0005-0000-0000-0000D9020000}"/>
    <cellStyle name="20% - Ênfase3 24 4" xfId="734" xr:uid="{00000000-0005-0000-0000-0000DA020000}"/>
    <cellStyle name="20% - Ênfase3 25" xfId="735" xr:uid="{00000000-0005-0000-0000-0000DB020000}"/>
    <cellStyle name="20% - Ênfase3 25 2" xfId="736" xr:uid="{00000000-0005-0000-0000-0000DC020000}"/>
    <cellStyle name="20% - Ênfase3 25 2 2" xfId="737" xr:uid="{00000000-0005-0000-0000-0000DD020000}"/>
    <cellStyle name="20% - Ênfase3 25 2 2 2" xfId="738" xr:uid="{00000000-0005-0000-0000-0000DE020000}"/>
    <cellStyle name="20% - Ênfase3 25 2 3" xfId="739" xr:uid="{00000000-0005-0000-0000-0000DF020000}"/>
    <cellStyle name="20% - Ênfase3 25 3" xfId="740" xr:uid="{00000000-0005-0000-0000-0000E0020000}"/>
    <cellStyle name="20% - Ênfase3 25 3 2" xfId="741" xr:uid="{00000000-0005-0000-0000-0000E1020000}"/>
    <cellStyle name="20% - Ênfase3 25 4" xfId="742" xr:uid="{00000000-0005-0000-0000-0000E2020000}"/>
    <cellStyle name="20% - Ênfase3 26" xfId="743" xr:uid="{00000000-0005-0000-0000-0000E3020000}"/>
    <cellStyle name="20% - Ênfase3 26 2" xfId="744" xr:uid="{00000000-0005-0000-0000-0000E4020000}"/>
    <cellStyle name="20% - Ênfase3 26 2 2" xfId="745" xr:uid="{00000000-0005-0000-0000-0000E5020000}"/>
    <cellStyle name="20% - Ênfase3 26 2 2 2" xfId="746" xr:uid="{00000000-0005-0000-0000-0000E6020000}"/>
    <cellStyle name="20% - Ênfase3 26 2 3" xfId="747" xr:uid="{00000000-0005-0000-0000-0000E7020000}"/>
    <cellStyle name="20% - Ênfase3 26 3" xfId="748" xr:uid="{00000000-0005-0000-0000-0000E8020000}"/>
    <cellStyle name="20% - Ênfase3 26 3 2" xfId="749" xr:uid="{00000000-0005-0000-0000-0000E9020000}"/>
    <cellStyle name="20% - Ênfase3 26 4" xfId="750" xr:uid="{00000000-0005-0000-0000-0000EA020000}"/>
    <cellStyle name="20% - Ênfase3 27" xfId="751" xr:uid="{00000000-0005-0000-0000-0000EB020000}"/>
    <cellStyle name="20% - Ênfase3 27 2" xfId="752" xr:uid="{00000000-0005-0000-0000-0000EC020000}"/>
    <cellStyle name="20% - Ênfase3 27 2 2" xfId="753" xr:uid="{00000000-0005-0000-0000-0000ED020000}"/>
    <cellStyle name="20% - Ênfase3 27 3" xfId="754" xr:uid="{00000000-0005-0000-0000-0000EE020000}"/>
    <cellStyle name="20% - Ênfase3 28" xfId="755" xr:uid="{00000000-0005-0000-0000-0000EF020000}"/>
    <cellStyle name="20% - Ênfase3 28 2" xfId="756" xr:uid="{00000000-0005-0000-0000-0000F0020000}"/>
    <cellStyle name="20% - Ênfase3 28 2 2" xfId="757" xr:uid="{00000000-0005-0000-0000-0000F1020000}"/>
    <cellStyle name="20% - Ênfase3 28 3" xfId="758" xr:uid="{00000000-0005-0000-0000-0000F2020000}"/>
    <cellStyle name="20% - Ênfase3 29" xfId="759" xr:uid="{00000000-0005-0000-0000-0000F3020000}"/>
    <cellStyle name="20% - Ênfase3 29 2" xfId="760" xr:uid="{00000000-0005-0000-0000-0000F4020000}"/>
    <cellStyle name="20% - Ênfase3 29 2 2" xfId="761" xr:uid="{00000000-0005-0000-0000-0000F5020000}"/>
    <cellStyle name="20% - Ênfase3 29 3" xfId="762" xr:uid="{00000000-0005-0000-0000-0000F6020000}"/>
    <cellStyle name="20% - Ênfase3 3" xfId="763" xr:uid="{00000000-0005-0000-0000-0000F7020000}"/>
    <cellStyle name="20% - Ênfase3 3 2" xfId="764" xr:uid="{00000000-0005-0000-0000-0000F8020000}"/>
    <cellStyle name="20% - Ênfase3 3 2 2" xfId="765" xr:uid="{00000000-0005-0000-0000-0000F9020000}"/>
    <cellStyle name="20% - Ênfase3 3 2 2 2" xfId="766" xr:uid="{00000000-0005-0000-0000-0000FA020000}"/>
    <cellStyle name="20% - Ênfase3 3 2 3" xfId="767" xr:uid="{00000000-0005-0000-0000-0000FB020000}"/>
    <cellStyle name="20% - Ênfase3 3 3" xfId="768" xr:uid="{00000000-0005-0000-0000-0000FC020000}"/>
    <cellStyle name="20% - Ênfase3 3 3 2" xfId="769" xr:uid="{00000000-0005-0000-0000-0000FD020000}"/>
    <cellStyle name="20% - Ênfase3 3 4" xfId="770" xr:uid="{00000000-0005-0000-0000-0000FE020000}"/>
    <cellStyle name="20% - Ênfase3 3 4 2" xfId="771" xr:uid="{00000000-0005-0000-0000-0000FF020000}"/>
    <cellStyle name="20% - Ênfase3 3 5" xfId="772" xr:uid="{00000000-0005-0000-0000-000000030000}"/>
    <cellStyle name="20% - Ênfase3 3 5 2" xfId="773" xr:uid="{00000000-0005-0000-0000-000001030000}"/>
    <cellStyle name="20% - Ênfase3 3 6" xfId="774" xr:uid="{00000000-0005-0000-0000-000002030000}"/>
    <cellStyle name="20% - Ênfase3 30" xfId="775" xr:uid="{00000000-0005-0000-0000-000003030000}"/>
    <cellStyle name="20% - Ênfase3 30 2" xfId="776" xr:uid="{00000000-0005-0000-0000-000004030000}"/>
    <cellStyle name="20% - Ênfase3 30 2 2" xfId="777" xr:uid="{00000000-0005-0000-0000-000005030000}"/>
    <cellStyle name="20% - Ênfase3 30 3" xfId="778" xr:uid="{00000000-0005-0000-0000-000006030000}"/>
    <cellStyle name="20% - Ênfase3 31" xfId="779" xr:uid="{00000000-0005-0000-0000-000007030000}"/>
    <cellStyle name="20% - Ênfase3 31 2" xfId="780" xr:uid="{00000000-0005-0000-0000-000008030000}"/>
    <cellStyle name="20% - Ênfase3 32" xfId="781" xr:uid="{00000000-0005-0000-0000-000009030000}"/>
    <cellStyle name="20% - Ênfase3 32 2" xfId="782" xr:uid="{00000000-0005-0000-0000-00000A030000}"/>
    <cellStyle name="20% - Ênfase3 33" xfId="783" xr:uid="{00000000-0005-0000-0000-00000B030000}"/>
    <cellStyle name="20% - Ênfase3 33 2" xfId="784" xr:uid="{00000000-0005-0000-0000-00000C030000}"/>
    <cellStyle name="20% - Ênfase3 34" xfId="785" xr:uid="{00000000-0005-0000-0000-00000D030000}"/>
    <cellStyle name="20% - Ênfase3 35" xfId="786" xr:uid="{00000000-0005-0000-0000-00000E030000}"/>
    <cellStyle name="20% - Ênfase3 4" xfId="787" xr:uid="{00000000-0005-0000-0000-00000F030000}"/>
    <cellStyle name="20% - Ênfase3 4 2" xfId="788" xr:uid="{00000000-0005-0000-0000-000010030000}"/>
    <cellStyle name="20% - Ênfase3 4 2 2" xfId="789" xr:uid="{00000000-0005-0000-0000-000011030000}"/>
    <cellStyle name="20% - Ênfase3 4 2 2 2" xfId="790" xr:uid="{00000000-0005-0000-0000-000012030000}"/>
    <cellStyle name="20% - Ênfase3 4 2 3" xfId="791" xr:uid="{00000000-0005-0000-0000-000013030000}"/>
    <cellStyle name="20% - Ênfase3 4 3" xfId="792" xr:uid="{00000000-0005-0000-0000-000014030000}"/>
    <cellStyle name="20% - Ênfase3 4 3 2" xfId="793" xr:uid="{00000000-0005-0000-0000-000015030000}"/>
    <cellStyle name="20% - Ênfase3 4 4" xfId="794" xr:uid="{00000000-0005-0000-0000-000016030000}"/>
    <cellStyle name="20% - Ênfase3 4 4 2" xfId="795" xr:uid="{00000000-0005-0000-0000-000017030000}"/>
    <cellStyle name="20% - Ênfase3 4 5" xfId="796" xr:uid="{00000000-0005-0000-0000-000018030000}"/>
    <cellStyle name="20% - Ênfase3 4 5 2" xfId="797" xr:uid="{00000000-0005-0000-0000-000019030000}"/>
    <cellStyle name="20% - Ênfase3 4 6" xfId="798" xr:uid="{00000000-0005-0000-0000-00001A030000}"/>
    <cellStyle name="20% - Ênfase3 5" xfId="799" xr:uid="{00000000-0005-0000-0000-00001B030000}"/>
    <cellStyle name="20% - Ênfase3 5 2" xfId="800" xr:uid="{00000000-0005-0000-0000-00001C030000}"/>
    <cellStyle name="20% - Ênfase3 5 2 2" xfId="801" xr:uid="{00000000-0005-0000-0000-00001D030000}"/>
    <cellStyle name="20% - Ênfase3 5 2 2 2" xfId="802" xr:uid="{00000000-0005-0000-0000-00001E030000}"/>
    <cellStyle name="20% - Ênfase3 5 2 3" xfId="803" xr:uid="{00000000-0005-0000-0000-00001F030000}"/>
    <cellStyle name="20% - Ênfase3 5 3" xfId="804" xr:uid="{00000000-0005-0000-0000-000020030000}"/>
    <cellStyle name="20% - Ênfase3 5 3 2" xfId="805" xr:uid="{00000000-0005-0000-0000-000021030000}"/>
    <cellStyle name="20% - Ênfase3 5 4" xfId="806" xr:uid="{00000000-0005-0000-0000-000022030000}"/>
    <cellStyle name="20% - Ênfase3 5 4 2" xfId="807" xr:uid="{00000000-0005-0000-0000-000023030000}"/>
    <cellStyle name="20% - Ênfase3 5 5" xfId="808" xr:uid="{00000000-0005-0000-0000-000024030000}"/>
    <cellStyle name="20% - Ênfase3 5 5 2" xfId="809" xr:uid="{00000000-0005-0000-0000-000025030000}"/>
    <cellStyle name="20% - Ênfase3 5 6" xfId="810" xr:uid="{00000000-0005-0000-0000-000026030000}"/>
    <cellStyle name="20% - Ênfase3 6" xfId="811" xr:uid="{00000000-0005-0000-0000-000027030000}"/>
    <cellStyle name="20% - Ênfase3 6 2" xfId="812" xr:uid="{00000000-0005-0000-0000-000028030000}"/>
    <cellStyle name="20% - Ênfase3 6 2 2" xfId="813" xr:uid="{00000000-0005-0000-0000-000029030000}"/>
    <cellStyle name="20% - Ênfase3 6 2 2 2" xfId="814" xr:uid="{00000000-0005-0000-0000-00002A030000}"/>
    <cellStyle name="20% - Ênfase3 6 2 3" xfId="815" xr:uid="{00000000-0005-0000-0000-00002B030000}"/>
    <cellStyle name="20% - Ênfase3 6 3" xfId="816" xr:uid="{00000000-0005-0000-0000-00002C030000}"/>
    <cellStyle name="20% - Ênfase3 6 3 2" xfId="817" xr:uid="{00000000-0005-0000-0000-00002D030000}"/>
    <cellStyle name="20% - Ênfase3 6 4" xfId="818" xr:uid="{00000000-0005-0000-0000-00002E030000}"/>
    <cellStyle name="20% - Ênfase3 6 4 2" xfId="819" xr:uid="{00000000-0005-0000-0000-00002F030000}"/>
    <cellStyle name="20% - Ênfase3 6 5" xfId="820" xr:uid="{00000000-0005-0000-0000-000030030000}"/>
    <cellStyle name="20% - Ênfase3 6 5 2" xfId="821" xr:uid="{00000000-0005-0000-0000-000031030000}"/>
    <cellStyle name="20% - Ênfase3 6 6" xfId="822" xr:uid="{00000000-0005-0000-0000-000032030000}"/>
    <cellStyle name="20% - Ênfase3 7" xfId="823" xr:uid="{00000000-0005-0000-0000-000033030000}"/>
    <cellStyle name="20% - Ênfase3 7 2" xfId="824" xr:uid="{00000000-0005-0000-0000-000034030000}"/>
    <cellStyle name="20% - Ênfase3 7 2 2" xfId="825" xr:uid="{00000000-0005-0000-0000-000035030000}"/>
    <cellStyle name="20% - Ênfase3 7 2 2 2" xfId="826" xr:uid="{00000000-0005-0000-0000-000036030000}"/>
    <cellStyle name="20% - Ênfase3 7 2 3" xfId="827" xr:uid="{00000000-0005-0000-0000-000037030000}"/>
    <cellStyle name="20% - Ênfase3 7 3" xfId="828" xr:uid="{00000000-0005-0000-0000-000038030000}"/>
    <cellStyle name="20% - Ênfase3 7 3 2" xfId="829" xr:uid="{00000000-0005-0000-0000-000039030000}"/>
    <cellStyle name="20% - Ênfase3 7 4" xfId="830" xr:uid="{00000000-0005-0000-0000-00003A030000}"/>
    <cellStyle name="20% - Ênfase3 7 4 2" xfId="831" xr:uid="{00000000-0005-0000-0000-00003B030000}"/>
    <cellStyle name="20% - Ênfase3 7 5" xfId="832" xr:uid="{00000000-0005-0000-0000-00003C030000}"/>
    <cellStyle name="20% - Ênfase3 8" xfId="833" xr:uid="{00000000-0005-0000-0000-00003D030000}"/>
    <cellStyle name="20% - Ênfase3 8 2" xfId="834" xr:uid="{00000000-0005-0000-0000-00003E030000}"/>
    <cellStyle name="20% - Ênfase3 8 2 2" xfId="835" xr:uid="{00000000-0005-0000-0000-00003F030000}"/>
    <cellStyle name="20% - Ênfase3 8 2 2 2" xfId="836" xr:uid="{00000000-0005-0000-0000-000040030000}"/>
    <cellStyle name="20% - Ênfase3 8 2 3" xfId="837" xr:uid="{00000000-0005-0000-0000-000041030000}"/>
    <cellStyle name="20% - Ênfase3 8 3" xfId="838" xr:uid="{00000000-0005-0000-0000-000042030000}"/>
    <cellStyle name="20% - Ênfase3 8 3 2" xfId="839" xr:uid="{00000000-0005-0000-0000-000043030000}"/>
    <cellStyle name="20% - Ênfase3 8 4" xfId="840" xr:uid="{00000000-0005-0000-0000-000044030000}"/>
    <cellStyle name="20% - Ênfase3 8 4 2" xfId="841" xr:uid="{00000000-0005-0000-0000-000045030000}"/>
    <cellStyle name="20% - Ênfase3 8 5" xfId="842" xr:uid="{00000000-0005-0000-0000-000046030000}"/>
    <cellStyle name="20% - Ênfase3 9" xfId="843" xr:uid="{00000000-0005-0000-0000-000047030000}"/>
    <cellStyle name="20% - Ênfase3 9 2" xfId="844" xr:uid="{00000000-0005-0000-0000-000048030000}"/>
    <cellStyle name="20% - Ênfase3 9 2 2" xfId="845" xr:uid="{00000000-0005-0000-0000-000049030000}"/>
    <cellStyle name="20% - Ênfase3 9 2 2 2" xfId="846" xr:uid="{00000000-0005-0000-0000-00004A030000}"/>
    <cellStyle name="20% - Ênfase3 9 2 3" xfId="847" xr:uid="{00000000-0005-0000-0000-00004B030000}"/>
    <cellStyle name="20% - Ênfase3 9 3" xfId="848" xr:uid="{00000000-0005-0000-0000-00004C030000}"/>
    <cellStyle name="20% - Ênfase3 9 3 2" xfId="849" xr:uid="{00000000-0005-0000-0000-00004D030000}"/>
    <cellStyle name="20% - Ênfase3 9 4" xfId="850" xr:uid="{00000000-0005-0000-0000-00004E030000}"/>
    <cellStyle name="20% - Ênfase3 9 4 2" xfId="851" xr:uid="{00000000-0005-0000-0000-00004F030000}"/>
    <cellStyle name="20% - Ênfase3 9 5" xfId="852" xr:uid="{00000000-0005-0000-0000-000050030000}"/>
    <cellStyle name="20% - Ênfase4 10" xfId="853" xr:uid="{00000000-0005-0000-0000-000051030000}"/>
    <cellStyle name="20% - Ênfase4 10 2" xfId="854" xr:uid="{00000000-0005-0000-0000-000052030000}"/>
    <cellStyle name="20% - Ênfase4 10 2 2" xfId="855" xr:uid="{00000000-0005-0000-0000-000053030000}"/>
    <cellStyle name="20% - Ênfase4 10 2 2 2" xfId="856" xr:uid="{00000000-0005-0000-0000-000054030000}"/>
    <cellStyle name="20% - Ênfase4 10 2 3" xfId="857" xr:uid="{00000000-0005-0000-0000-000055030000}"/>
    <cellStyle name="20% - Ênfase4 10 3" xfId="858" xr:uid="{00000000-0005-0000-0000-000056030000}"/>
    <cellStyle name="20% - Ênfase4 10 3 2" xfId="859" xr:uid="{00000000-0005-0000-0000-000057030000}"/>
    <cellStyle name="20% - Ênfase4 10 4" xfId="860" xr:uid="{00000000-0005-0000-0000-000058030000}"/>
    <cellStyle name="20% - Ênfase4 10 4 2" xfId="861" xr:uid="{00000000-0005-0000-0000-000059030000}"/>
    <cellStyle name="20% - Ênfase4 10 5" xfId="862" xr:uid="{00000000-0005-0000-0000-00005A030000}"/>
    <cellStyle name="20% - Ênfase4 11" xfId="863" xr:uid="{00000000-0005-0000-0000-00005B030000}"/>
    <cellStyle name="20% - Ênfase4 11 2" xfId="864" xr:uid="{00000000-0005-0000-0000-00005C030000}"/>
    <cellStyle name="20% - Ênfase4 11 2 2" xfId="865" xr:uid="{00000000-0005-0000-0000-00005D030000}"/>
    <cellStyle name="20% - Ênfase4 11 2 2 2" xfId="866" xr:uid="{00000000-0005-0000-0000-00005E030000}"/>
    <cellStyle name="20% - Ênfase4 11 2 3" xfId="867" xr:uid="{00000000-0005-0000-0000-00005F030000}"/>
    <cellStyle name="20% - Ênfase4 11 3" xfId="868" xr:uid="{00000000-0005-0000-0000-000060030000}"/>
    <cellStyle name="20% - Ênfase4 11 3 2" xfId="869" xr:uid="{00000000-0005-0000-0000-000061030000}"/>
    <cellStyle name="20% - Ênfase4 11 4" xfId="870" xr:uid="{00000000-0005-0000-0000-000062030000}"/>
    <cellStyle name="20% - Ênfase4 11 4 2" xfId="871" xr:uid="{00000000-0005-0000-0000-000063030000}"/>
    <cellStyle name="20% - Ênfase4 11 5" xfId="872" xr:uid="{00000000-0005-0000-0000-000064030000}"/>
    <cellStyle name="20% - Ênfase4 12" xfId="873" xr:uid="{00000000-0005-0000-0000-000065030000}"/>
    <cellStyle name="20% - Ênfase4 12 2" xfId="874" xr:uid="{00000000-0005-0000-0000-000066030000}"/>
    <cellStyle name="20% - Ênfase4 12 2 2" xfId="875" xr:uid="{00000000-0005-0000-0000-000067030000}"/>
    <cellStyle name="20% - Ênfase4 12 2 2 2" xfId="876" xr:uid="{00000000-0005-0000-0000-000068030000}"/>
    <cellStyle name="20% - Ênfase4 12 2 3" xfId="877" xr:uid="{00000000-0005-0000-0000-000069030000}"/>
    <cellStyle name="20% - Ênfase4 12 3" xfId="878" xr:uid="{00000000-0005-0000-0000-00006A030000}"/>
    <cellStyle name="20% - Ênfase4 12 3 2" xfId="879" xr:uid="{00000000-0005-0000-0000-00006B030000}"/>
    <cellStyle name="20% - Ênfase4 12 4" xfId="880" xr:uid="{00000000-0005-0000-0000-00006C030000}"/>
    <cellStyle name="20% - Ênfase4 12 4 2" xfId="881" xr:uid="{00000000-0005-0000-0000-00006D030000}"/>
    <cellStyle name="20% - Ênfase4 12 5" xfId="882" xr:uid="{00000000-0005-0000-0000-00006E030000}"/>
    <cellStyle name="20% - Ênfase4 13" xfId="883" xr:uid="{00000000-0005-0000-0000-00006F030000}"/>
    <cellStyle name="20% - Ênfase4 13 2" xfId="884" xr:uid="{00000000-0005-0000-0000-000070030000}"/>
    <cellStyle name="20% - Ênfase4 13 2 2" xfId="885" xr:uid="{00000000-0005-0000-0000-000071030000}"/>
    <cellStyle name="20% - Ênfase4 13 2 2 2" xfId="886" xr:uid="{00000000-0005-0000-0000-000072030000}"/>
    <cellStyle name="20% - Ênfase4 13 2 3" xfId="887" xr:uid="{00000000-0005-0000-0000-000073030000}"/>
    <cellStyle name="20% - Ênfase4 13 3" xfId="888" xr:uid="{00000000-0005-0000-0000-000074030000}"/>
    <cellStyle name="20% - Ênfase4 13 3 2" xfId="889" xr:uid="{00000000-0005-0000-0000-000075030000}"/>
    <cellStyle name="20% - Ênfase4 13 4" xfId="890" xr:uid="{00000000-0005-0000-0000-000076030000}"/>
    <cellStyle name="20% - Ênfase4 13 4 2" xfId="891" xr:uid="{00000000-0005-0000-0000-000077030000}"/>
    <cellStyle name="20% - Ênfase4 13 5" xfId="892" xr:uid="{00000000-0005-0000-0000-000078030000}"/>
    <cellStyle name="20% - Ênfase4 14" xfId="893" xr:uid="{00000000-0005-0000-0000-000079030000}"/>
    <cellStyle name="20% - Ênfase4 14 2" xfId="894" xr:uid="{00000000-0005-0000-0000-00007A030000}"/>
    <cellStyle name="20% - Ênfase4 14 2 2" xfId="895" xr:uid="{00000000-0005-0000-0000-00007B030000}"/>
    <cellStyle name="20% - Ênfase4 14 2 2 2" xfId="896" xr:uid="{00000000-0005-0000-0000-00007C030000}"/>
    <cellStyle name="20% - Ênfase4 14 2 3" xfId="897" xr:uid="{00000000-0005-0000-0000-00007D030000}"/>
    <cellStyle name="20% - Ênfase4 14 3" xfId="898" xr:uid="{00000000-0005-0000-0000-00007E030000}"/>
    <cellStyle name="20% - Ênfase4 14 3 2" xfId="899" xr:uid="{00000000-0005-0000-0000-00007F030000}"/>
    <cellStyle name="20% - Ênfase4 14 4" xfId="900" xr:uid="{00000000-0005-0000-0000-000080030000}"/>
    <cellStyle name="20% - Ênfase4 14 4 2" xfId="901" xr:uid="{00000000-0005-0000-0000-000081030000}"/>
    <cellStyle name="20% - Ênfase4 14 5" xfId="902" xr:uid="{00000000-0005-0000-0000-000082030000}"/>
    <cellStyle name="20% - Ênfase4 15" xfId="903" xr:uid="{00000000-0005-0000-0000-000083030000}"/>
    <cellStyle name="20% - Ênfase4 15 2" xfId="904" xr:uid="{00000000-0005-0000-0000-000084030000}"/>
    <cellStyle name="20% - Ênfase4 15 2 2" xfId="905" xr:uid="{00000000-0005-0000-0000-000085030000}"/>
    <cellStyle name="20% - Ênfase4 15 2 2 2" xfId="906" xr:uid="{00000000-0005-0000-0000-000086030000}"/>
    <cellStyle name="20% - Ênfase4 15 2 3" xfId="907" xr:uid="{00000000-0005-0000-0000-000087030000}"/>
    <cellStyle name="20% - Ênfase4 15 3" xfId="908" xr:uid="{00000000-0005-0000-0000-000088030000}"/>
    <cellStyle name="20% - Ênfase4 15 3 2" xfId="909" xr:uid="{00000000-0005-0000-0000-000089030000}"/>
    <cellStyle name="20% - Ênfase4 15 4" xfId="910" xr:uid="{00000000-0005-0000-0000-00008A030000}"/>
    <cellStyle name="20% - Ênfase4 15 4 2" xfId="911" xr:uid="{00000000-0005-0000-0000-00008B030000}"/>
    <cellStyle name="20% - Ênfase4 15 5" xfId="912" xr:uid="{00000000-0005-0000-0000-00008C030000}"/>
    <cellStyle name="20% - Ênfase4 16" xfId="913" xr:uid="{00000000-0005-0000-0000-00008D030000}"/>
    <cellStyle name="20% - Ênfase4 16 2" xfId="914" xr:uid="{00000000-0005-0000-0000-00008E030000}"/>
    <cellStyle name="20% - Ênfase4 16 2 2" xfId="915" xr:uid="{00000000-0005-0000-0000-00008F030000}"/>
    <cellStyle name="20% - Ênfase4 16 2 2 2" xfId="916" xr:uid="{00000000-0005-0000-0000-000090030000}"/>
    <cellStyle name="20% - Ênfase4 16 2 3" xfId="917" xr:uid="{00000000-0005-0000-0000-000091030000}"/>
    <cellStyle name="20% - Ênfase4 16 3" xfId="918" xr:uid="{00000000-0005-0000-0000-000092030000}"/>
    <cellStyle name="20% - Ênfase4 16 3 2" xfId="919" xr:uid="{00000000-0005-0000-0000-000093030000}"/>
    <cellStyle name="20% - Ênfase4 16 4" xfId="920" xr:uid="{00000000-0005-0000-0000-000094030000}"/>
    <cellStyle name="20% - Ênfase4 16 4 2" xfId="921" xr:uid="{00000000-0005-0000-0000-000095030000}"/>
    <cellStyle name="20% - Ênfase4 16 5" xfId="922" xr:uid="{00000000-0005-0000-0000-000096030000}"/>
    <cellStyle name="20% - Ênfase4 17" xfId="923" xr:uid="{00000000-0005-0000-0000-000097030000}"/>
    <cellStyle name="20% - Ênfase4 17 2" xfId="924" xr:uid="{00000000-0005-0000-0000-000098030000}"/>
    <cellStyle name="20% - Ênfase4 17 2 2" xfId="925" xr:uid="{00000000-0005-0000-0000-000099030000}"/>
    <cellStyle name="20% - Ênfase4 17 2 2 2" xfId="926" xr:uid="{00000000-0005-0000-0000-00009A030000}"/>
    <cellStyle name="20% - Ênfase4 17 2 3" xfId="927" xr:uid="{00000000-0005-0000-0000-00009B030000}"/>
    <cellStyle name="20% - Ênfase4 17 3" xfId="928" xr:uid="{00000000-0005-0000-0000-00009C030000}"/>
    <cellStyle name="20% - Ênfase4 17 3 2" xfId="929" xr:uid="{00000000-0005-0000-0000-00009D030000}"/>
    <cellStyle name="20% - Ênfase4 17 4" xfId="930" xr:uid="{00000000-0005-0000-0000-00009E030000}"/>
    <cellStyle name="20% - Ênfase4 17 4 2" xfId="931" xr:uid="{00000000-0005-0000-0000-00009F030000}"/>
    <cellStyle name="20% - Ênfase4 17 5" xfId="932" xr:uid="{00000000-0005-0000-0000-0000A0030000}"/>
    <cellStyle name="20% - Ênfase4 18" xfId="933" xr:uid="{00000000-0005-0000-0000-0000A1030000}"/>
    <cellStyle name="20% - Ênfase4 18 2" xfId="934" xr:uid="{00000000-0005-0000-0000-0000A2030000}"/>
    <cellStyle name="20% - Ênfase4 18 2 2" xfId="935" xr:uid="{00000000-0005-0000-0000-0000A3030000}"/>
    <cellStyle name="20% - Ênfase4 18 2 2 2" xfId="936" xr:uid="{00000000-0005-0000-0000-0000A4030000}"/>
    <cellStyle name="20% - Ênfase4 18 2 3" xfId="937" xr:uid="{00000000-0005-0000-0000-0000A5030000}"/>
    <cellStyle name="20% - Ênfase4 18 3" xfId="938" xr:uid="{00000000-0005-0000-0000-0000A6030000}"/>
    <cellStyle name="20% - Ênfase4 18 3 2" xfId="939" xr:uid="{00000000-0005-0000-0000-0000A7030000}"/>
    <cellStyle name="20% - Ênfase4 18 4" xfId="940" xr:uid="{00000000-0005-0000-0000-0000A8030000}"/>
    <cellStyle name="20% - Ênfase4 19" xfId="941" xr:uid="{00000000-0005-0000-0000-0000A9030000}"/>
    <cellStyle name="20% - Ênfase4 19 2" xfId="942" xr:uid="{00000000-0005-0000-0000-0000AA030000}"/>
    <cellStyle name="20% - Ênfase4 19 2 2" xfId="943" xr:uid="{00000000-0005-0000-0000-0000AB030000}"/>
    <cellStyle name="20% - Ênfase4 19 2 2 2" xfId="944" xr:uid="{00000000-0005-0000-0000-0000AC030000}"/>
    <cellStyle name="20% - Ênfase4 19 2 3" xfId="945" xr:uid="{00000000-0005-0000-0000-0000AD030000}"/>
    <cellStyle name="20% - Ênfase4 19 3" xfId="946" xr:uid="{00000000-0005-0000-0000-0000AE030000}"/>
    <cellStyle name="20% - Ênfase4 19 3 2" xfId="947" xr:uid="{00000000-0005-0000-0000-0000AF030000}"/>
    <cellStyle name="20% - Ênfase4 19 4" xfId="948" xr:uid="{00000000-0005-0000-0000-0000B0030000}"/>
    <cellStyle name="20% - Ênfase4 2" xfId="949" xr:uid="{00000000-0005-0000-0000-0000B1030000}"/>
    <cellStyle name="20% - Ênfase4 2 2" xfId="950" xr:uid="{00000000-0005-0000-0000-0000B2030000}"/>
    <cellStyle name="20% - Ênfase4 2 2 2" xfId="951" xr:uid="{00000000-0005-0000-0000-0000B3030000}"/>
    <cellStyle name="20% - Ênfase4 2 2 2 2" xfId="952" xr:uid="{00000000-0005-0000-0000-0000B4030000}"/>
    <cellStyle name="20% - Ênfase4 2 2 2 2 2" xfId="953" xr:uid="{00000000-0005-0000-0000-0000B5030000}"/>
    <cellStyle name="20% - Ênfase4 2 2 2 3" xfId="954" xr:uid="{00000000-0005-0000-0000-0000B6030000}"/>
    <cellStyle name="20% - Ênfase4 2 2 3" xfId="955" xr:uid="{00000000-0005-0000-0000-0000B7030000}"/>
    <cellStyle name="20% - Ênfase4 2 2 3 2" xfId="956" xr:uid="{00000000-0005-0000-0000-0000B8030000}"/>
    <cellStyle name="20% - Ênfase4 2 2 3 2 2" xfId="957" xr:uid="{00000000-0005-0000-0000-0000B9030000}"/>
    <cellStyle name="20% - Ênfase4 2 2 3 3" xfId="958" xr:uid="{00000000-0005-0000-0000-0000BA030000}"/>
    <cellStyle name="20% - Ênfase4 2 2 4" xfId="959" xr:uid="{00000000-0005-0000-0000-0000BB030000}"/>
    <cellStyle name="20% - Ênfase4 2 2 4 2" xfId="960" xr:uid="{00000000-0005-0000-0000-0000BC030000}"/>
    <cellStyle name="20% - Ênfase4 2 2 5" xfId="961" xr:uid="{00000000-0005-0000-0000-0000BD030000}"/>
    <cellStyle name="20% - Ênfase4 2 3" xfId="962" xr:uid="{00000000-0005-0000-0000-0000BE030000}"/>
    <cellStyle name="20% - Ênfase4 2 3 2" xfId="963" xr:uid="{00000000-0005-0000-0000-0000BF030000}"/>
    <cellStyle name="20% - Ênfase4 2 3 2 2" xfId="964" xr:uid="{00000000-0005-0000-0000-0000C0030000}"/>
    <cellStyle name="20% - Ênfase4 2 3 3" xfId="965" xr:uid="{00000000-0005-0000-0000-0000C1030000}"/>
    <cellStyle name="20% - Ênfase4 2 4" xfId="966" xr:uid="{00000000-0005-0000-0000-0000C2030000}"/>
    <cellStyle name="20% - Ênfase4 2 4 2" xfId="967" xr:uid="{00000000-0005-0000-0000-0000C3030000}"/>
    <cellStyle name="20% - Ênfase4 2 4 2 2" xfId="968" xr:uid="{00000000-0005-0000-0000-0000C4030000}"/>
    <cellStyle name="20% - Ênfase4 2 4 3" xfId="969" xr:uid="{00000000-0005-0000-0000-0000C5030000}"/>
    <cellStyle name="20% - Ênfase4 2 5" xfId="970" xr:uid="{00000000-0005-0000-0000-0000C6030000}"/>
    <cellStyle name="20% - Ênfase4 2 5 2" xfId="971" xr:uid="{00000000-0005-0000-0000-0000C7030000}"/>
    <cellStyle name="20% - Ênfase4 2 6" xfId="972" xr:uid="{00000000-0005-0000-0000-0000C8030000}"/>
    <cellStyle name="20% - Ênfase4 20" xfId="973" xr:uid="{00000000-0005-0000-0000-0000C9030000}"/>
    <cellStyle name="20% - Ênfase4 20 2" xfId="974" xr:uid="{00000000-0005-0000-0000-0000CA030000}"/>
    <cellStyle name="20% - Ênfase4 20 2 2" xfId="975" xr:uid="{00000000-0005-0000-0000-0000CB030000}"/>
    <cellStyle name="20% - Ênfase4 20 2 2 2" xfId="976" xr:uid="{00000000-0005-0000-0000-0000CC030000}"/>
    <cellStyle name="20% - Ênfase4 20 2 3" xfId="977" xr:uid="{00000000-0005-0000-0000-0000CD030000}"/>
    <cellStyle name="20% - Ênfase4 20 3" xfId="978" xr:uid="{00000000-0005-0000-0000-0000CE030000}"/>
    <cellStyle name="20% - Ênfase4 20 3 2" xfId="979" xr:uid="{00000000-0005-0000-0000-0000CF030000}"/>
    <cellStyle name="20% - Ênfase4 20 4" xfId="980" xr:uid="{00000000-0005-0000-0000-0000D0030000}"/>
    <cellStyle name="20% - Ênfase4 21" xfId="981" xr:uid="{00000000-0005-0000-0000-0000D1030000}"/>
    <cellStyle name="20% - Ênfase4 21 2" xfId="982" xr:uid="{00000000-0005-0000-0000-0000D2030000}"/>
    <cellStyle name="20% - Ênfase4 21 2 2" xfId="983" xr:uid="{00000000-0005-0000-0000-0000D3030000}"/>
    <cellStyle name="20% - Ênfase4 21 2 2 2" xfId="984" xr:uid="{00000000-0005-0000-0000-0000D4030000}"/>
    <cellStyle name="20% - Ênfase4 21 2 3" xfId="985" xr:uid="{00000000-0005-0000-0000-0000D5030000}"/>
    <cellStyle name="20% - Ênfase4 21 3" xfId="986" xr:uid="{00000000-0005-0000-0000-0000D6030000}"/>
    <cellStyle name="20% - Ênfase4 21 3 2" xfId="987" xr:uid="{00000000-0005-0000-0000-0000D7030000}"/>
    <cellStyle name="20% - Ênfase4 21 4" xfId="988" xr:uid="{00000000-0005-0000-0000-0000D8030000}"/>
    <cellStyle name="20% - Ênfase4 22" xfId="989" xr:uid="{00000000-0005-0000-0000-0000D9030000}"/>
    <cellStyle name="20% - Ênfase4 22 2" xfId="990" xr:uid="{00000000-0005-0000-0000-0000DA030000}"/>
    <cellStyle name="20% - Ênfase4 22 2 2" xfId="991" xr:uid="{00000000-0005-0000-0000-0000DB030000}"/>
    <cellStyle name="20% - Ênfase4 22 2 2 2" xfId="992" xr:uid="{00000000-0005-0000-0000-0000DC030000}"/>
    <cellStyle name="20% - Ênfase4 22 2 3" xfId="993" xr:uid="{00000000-0005-0000-0000-0000DD030000}"/>
    <cellStyle name="20% - Ênfase4 22 3" xfId="994" xr:uid="{00000000-0005-0000-0000-0000DE030000}"/>
    <cellStyle name="20% - Ênfase4 22 3 2" xfId="995" xr:uid="{00000000-0005-0000-0000-0000DF030000}"/>
    <cellStyle name="20% - Ênfase4 22 4" xfId="996" xr:uid="{00000000-0005-0000-0000-0000E0030000}"/>
    <cellStyle name="20% - Ênfase4 23" xfId="997" xr:uid="{00000000-0005-0000-0000-0000E1030000}"/>
    <cellStyle name="20% - Ênfase4 23 2" xfId="998" xr:uid="{00000000-0005-0000-0000-0000E2030000}"/>
    <cellStyle name="20% - Ênfase4 23 2 2" xfId="999" xr:uid="{00000000-0005-0000-0000-0000E3030000}"/>
    <cellStyle name="20% - Ênfase4 23 2 2 2" xfId="1000" xr:uid="{00000000-0005-0000-0000-0000E4030000}"/>
    <cellStyle name="20% - Ênfase4 23 2 3" xfId="1001" xr:uid="{00000000-0005-0000-0000-0000E5030000}"/>
    <cellStyle name="20% - Ênfase4 23 3" xfId="1002" xr:uid="{00000000-0005-0000-0000-0000E6030000}"/>
    <cellStyle name="20% - Ênfase4 23 3 2" xfId="1003" xr:uid="{00000000-0005-0000-0000-0000E7030000}"/>
    <cellStyle name="20% - Ênfase4 23 4" xfId="1004" xr:uid="{00000000-0005-0000-0000-0000E8030000}"/>
    <cellStyle name="20% - Ênfase4 24" xfId="1005" xr:uid="{00000000-0005-0000-0000-0000E9030000}"/>
    <cellStyle name="20% - Ênfase4 24 2" xfId="1006" xr:uid="{00000000-0005-0000-0000-0000EA030000}"/>
    <cellStyle name="20% - Ênfase4 24 2 2" xfId="1007" xr:uid="{00000000-0005-0000-0000-0000EB030000}"/>
    <cellStyle name="20% - Ênfase4 24 2 2 2" xfId="1008" xr:uid="{00000000-0005-0000-0000-0000EC030000}"/>
    <cellStyle name="20% - Ênfase4 24 2 3" xfId="1009" xr:uid="{00000000-0005-0000-0000-0000ED030000}"/>
    <cellStyle name="20% - Ênfase4 24 3" xfId="1010" xr:uid="{00000000-0005-0000-0000-0000EE030000}"/>
    <cellStyle name="20% - Ênfase4 24 3 2" xfId="1011" xr:uid="{00000000-0005-0000-0000-0000EF030000}"/>
    <cellStyle name="20% - Ênfase4 24 4" xfId="1012" xr:uid="{00000000-0005-0000-0000-0000F0030000}"/>
    <cellStyle name="20% - Ênfase4 25" xfId="1013" xr:uid="{00000000-0005-0000-0000-0000F1030000}"/>
    <cellStyle name="20% - Ênfase4 25 2" xfId="1014" xr:uid="{00000000-0005-0000-0000-0000F2030000}"/>
    <cellStyle name="20% - Ênfase4 25 2 2" xfId="1015" xr:uid="{00000000-0005-0000-0000-0000F3030000}"/>
    <cellStyle name="20% - Ênfase4 25 2 2 2" xfId="1016" xr:uid="{00000000-0005-0000-0000-0000F4030000}"/>
    <cellStyle name="20% - Ênfase4 25 2 3" xfId="1017" xr:uid="{00000000-0005-0000-0000-0000F5030000}"/>
    <cellStyle name="20% - Ênfase4 25 3" xfId="1018" xr:uid="{00000000-0005-0000-0000-0000F6030000}"/>
    <cellStyle name="20% - Ênfase4 25 3 2" xfId="1019" xr:uid="{00000000-0005-0000-0000-0000F7030000}"/>
    <cellStyle name="20% - Ênfase4 25 4" xfId="1020" xr:uid="{00000000-0005-0000-0000-0000F8030000}"/>
    <cellStyle name="20% - Ênfase4 26" xfId="1021" xr:uid="{00000000-0005-0000-0000-0000F9030000}"/>
    <cellStyle name="20% - Ênfase4 26 2" xfId="1022" xr:uid="{00000000-0005-0000-0000-0000FA030000}"/>
    <cellStyle name="20% - Ênfase4 26 2 2" xfId="1023" xr:uid="{00000000-0005-0000-0000-0000FB030000}"/>
    <cellStyle name="20% - Ênfase4 26 2 2 2" xfId="1024" xr:uid="{00000000-0005-0000-0000-0000FC030000}"/>
    <cellStyle name="20% - Ênfase4 26 2 3" xfId="1025" xr:uid="{00000000-0005-0000-0000-0000FD030000}"/>
    <cellStyle name="20% - Ênfase4 26 3" xfId="1026" xr:uid="{00000000-0005-0000-0000-0000FE030000}"/>
    <cellStyle name="20% - Ênfase4 26 3 2" xfId="1027" xr:uid="{00000000-0005-0000-0000-0000FF030000}"/>
    <cellStyle name="20% - Ênfase4 26 4" xfId="1028" xr:uid="{00000000-0005-0000-0000-000000040000}"/>
    <cellStyle name="20% - Ênfase4 27" xfId="1029" xr:uid="{00000000-0005-0000-0000-000001040000}"/>
    <cellStyle name="20% - Ênfase4 27 2" xfId="1030" xr:uid="{00000000-0005-0000-0000-000002040000}"/>
    <cellStyle name="20% - Ênfase4 27 2 2" xfId="1031" xr:uid="{00000000-0005-0000-0000-000003040000}"/>
    <cellStyle name="20% - Ênfase4 27 3" xfId="1032" xr:uid="{00000000-0005-0000-0000-000004040000}"/>
    <cellStyle name="20% - Ênfase4 28" xfId="1033" xr:uid="{00000000-0005-0000-0000-000005040000}"/>
    <cellStyle name="20% - Ênfase4 28 2" xfId="1034" xr:uid="{00000000-0005-0000-0000-000006040000}"/>
    <cellStyle name="20% - Ênfase4 28 2 2" xfId="1035" xr:uid="{00000000-0005-0000-0000-000007040000}"/>
    <cellStyle name="20% - Ênfase4 28 3" xfId="1036" xr:uid="{00000000-0005-0000-0000-000008040000}"/>
    <cellStyle name="20% - Ênfase4 29" xfId="1037" xr:uid="{00000000-0005-0000-0000-000009040000}"/>
    <cellStyle name="20% - Ênfase4 29 2" xfId="1038" xr:uid="{00000000-0005-0000-0000-00000A040000}"/>
    <cellStyle name="20% - Ênfase4 29 2 2" xfId="1039" xr:uid="{00000000-0005-0000-0000-00000B040000}"/>
    <cellStyle name="20% - Ênfase4 29 3" xfId="1040" xr:uid="{00000000-0005-0000-0000-00000C040000}"/>
    <cellStyle name="20% - Ênfase4 3" xfId="1041" xr:uid="{00000000-0005-0000-0000-00000D040000}"/>
    <cellStyle name="20% - Ênfase4 3 2" xfId="1042" xr:uid="{00000000-0005-0000-0000-00000E040000}"/>
    <cellStyle name="20% - Ênfase4 3 2 2" xfId="1043" xr:uid="{00000000-0005-0000-0000-00000F040000}"/>
    <cellStyle name="20% - Ênfase4 3 2 2 2" xfId="1044" xr:uid="{00000000-0005-0000-0000-000010040000}"/>
    <cellStyle name="20% - Ênfase4 3 2 3" xfId="1045" xr:uid="{00000000-0005-0000-0000-000011040000}"/>
    <cellStyle name="20% - Ênfase4 3 3" xfId="1046" xr:uid="{00000000-0005-0000-0000-000012040000}"/>
    <cellStyle name="20% - Ênfase4 3 3 2" xfId="1047" xr:uid="{00000000-0005-0000-0000-000013040000}"/>
    <cellStyle name="20% - Ênfase4 3 4" xfId="1048" xr:uid="{00000000-0005-0000-0000-000014040000}"/>
    <cellStyle name="20% - Ênfase4 3 4 2" xfId="1049" xr:uid="{00000000-0005-0000-0000-000015040000}"/>
    <cellStyle name="20% - Ênfase4 3 5" xfId="1050" xr:uid="{00000000-0005-0000-0000-000016040000}"/>
    <cellStyle name="20% - Ênfase4 3 5 2" xfId="1051" xr:uid="{00000000-0005-0000-0000-000017040000}"/>
    <cellStyle name="20% - Ênfase4 3 6" xfId="1052" xr:uid="{00000000-0005-0000-0000-000018040000}"/>
    <cellStyle name="20% - Ênfase4 30" xfId="1053" xr:uid="{00000000-0005-0000-0000-000019040000}"/>
    <cellStyle name="20% - Ênfase4 30 2" xfId="1054" xr:uid="{00000000-0005-0000-0000-00001A040000}"/>
    <cellStyle name="20% - Ênfase4 30 2 2" xfId="1055" xr:uid="{00000000-0005-0000-0000-00001B040000}"/>
    <cellStyle name="20% - Ênfase4 30 3" xfId="1056" xr:uid="{00000000-0005-0000-0000-00001C040000}"/>
    <cellStyle name="20% - Ênfase4 31" xfId="1057" xr:uid="{00000000-0005-0000-0000-00001D040000}"/>
    <cellStyle name="20% - Ênfase4 31 2" xfId="1058" xr:uid="{00000000-0005-0000-0000-00001E040000}"/>
    <cellStyle name="20% - Ênfase4 32" xfId="1059" xr:uid="{00000000-0005-0000-0000-00001F040000}"/>
    <cellStyle name="20% - Ênfase4 32 2" xfId="1060" xr:uid="{00000000-0005-0000-0000-000020040000}"/>
    <cellStyle name="20% - Ênfase4 33" xfId="1061" xr:uid="{00000000-0005-0000-0000-000021040000}"/>
    <cellStyle name="20% - Ênfase4 33 2" xfId="1062" xr:uid="{00000000-0005-0000-0000-000022040000}"/>
    <cellStyle name="20% - Ênfase4 34" xfId="1063" xr:uid="{00000000-0005-0000-0000-000023040000}"/>
    <cellStyle name="20% - Ênfase4 35" xfId="1064" xr:uid="{00000000-0005-0000-0000-000024040000}"/>
    <cellStyle name="20% - Ênfase4 4" xfId="1065" xr:uid="{00000000-0005-0000-0000-000025040000}"/>
    <cellStyle name="20% - Ênfase4 4 2" xfId="1066" xr:uid="{00000000-0005-0000-0000-000026040000}"/>
    <cellStyle name="20% - Ênfase4 4 2 2" xfId="1067" xr:uid="{00000000-0005-0000-0000-000027040000}"/>
    <cellStyle name="20% - Ênfase4 4 2 2 2" xfId="1068" xr:uid="{00000000-0005-0000-0000-000028040000}"/>
    <cellStyle name="20% - Ênfase4 4 2 3" xfId="1069" xr:uid="{00000000-0005-0000-0000-000029040000}"/>
    <cellStyle name="20% - Ênfase4 4 3" xfId="1070" xr:uid="{00000000-0005-0000-0000-00002A040000}"/>
    <cellStyle name="20% - Ênfase4 4 3 2" xfId="1071" xr:uid="{00000000-0005-0000-0000-00002B040000}"/>
    <cellStyle name="20% - Ênfase4 4 4" xfId="1072" xr:uid="{00000000-0005-0000-0000-00002C040000}"/>
    <cellStyle name="20% - Ênfase4 4 4 2" xfId="1073" xr:uid="{00000000-0005-0000-0000-00002D040000}"/>
    <cellStyle name="20% - Ênfase4 4 5" xfId="1074" xr:uid="{00000000-0005-0000-0000-00002E040000}"/>
    <cellStyle name="20% - Ênfase4 4 5 2" xfId="1075" xr:uid="{00000000-0005-0000-0000-00002F040000}"/>
    <cellStyle name="20% - Ênfase4 4 6" xfId="1076" xr:uid="{00000000-0005-0000-0000-000030040000}"/>
    <cellStyle name="20% - Ênfase4 5" xfId="1077" xr:uid="{00000000-0005-0000-0000-000031040000}"/>
    <cellStyle name="20% - Ênfase4 5 2" xfId="1078" xr:uid="{00000000-0005-0000-0000-000032040000}"/>
    <cellStyle name="20% - Ênfase4 5 2 2" xfId="1079" xr:uid="{00000000-0005-0000-0000-000033040000}"/>
    <cellStyle name="20% - Ênfase4 5 2 2 2" xfId="1080" xr:uid="{00000000-0005-0000-0000-000034040000}"/>
    <cellStyle name="20% - Ênfase4 5 2 3" xfId="1081" xr:uid="{00000000-0005-0000-0000-000035040000}"/>
    <cellStyle name="20% - Ênfase4 5 3" xfId="1082" xr:uid="{00000000-0005-0000-0000-000036040000}"/>
    <cellStyle name="20% - Ênfase4 5 3 2" xfId="1083" xr:uid="{00000000-0005-0000-0000-000037040000}"/>
    <cellStyle name="20% - Ênfase4 5 4" xfId="1084" xr:uid="{00000000-0005-0000-0000-000038040000}"/>
    <cellStyle name="20% - Ênfase4 5 4 2" xfId="1085" xr:uid="{00000000-0005-0000-0000-000039040000}"/>
    <cellStyle name="20% - Ênfase4 5 5" xfId="1086" xr:uid="{00000000-0005-0000-0000-00003A040000}"/>
    <cellStyle name="20% - Ênfase4 5 5 2" xfId="1087" xr:uid="{00000000-0005-0000-0000-00003B040000}"/>
    <cellStyle name="20% - Ênfase4 5 6" xfId="1088" xr:uid="{00000000-0005-0000-0000-00003C040000}"/>
    <cellStyle name="20% - Ênfase4 6" xfId="1089" xr:uid="{00000000-0005-0000-0000-00003D040000}"/>
    <cellStyle name="20% - Ênfase4 6 2" xfId="1090" xr:uid="{00000000-0005-0000-0000-00003E040000}"/>
    <cellStyle name="20% - Ênfase4 6 2 2" xfId="1091" xr:uid="{00000000-0005-0000-0000-00003F040000}"/>
    <cellStyle name="20% - Ênfase4 6 2 2 2" xfId="1092" xr:uid="{00000000-0005-0000-0000-000040040000}"/>
    <cellStyle name="20% - Ênfase4 6 2 3" xfId="1093" xr:uid="{00000000-0005-0000-0000-000041040000}"/>
    <cellStyle name="20% - Ênfase4 6 3" xfId="1094" xr:uid="{00000000-0005-0000-0000-000042040000}"/>
    <cellStyle name="20% - Ênfase4 6 3 2" xfId="1095" xr:uid="{00000000-0005-0000-0000-000043040000}"/>
    <cellStyle name="20% - Ênfase4 6 4" xfId="1096" xr:uid="{00000000-0005-0000-0000-000044040000}"/>
    <cellStyle name="20% - Ênfase4 6 4 2" xfId="1097" xr:uid="{00000000-0005-0000-0000-000045040000}"/>
    <cellStyle name="20% - Ênfase4 6 5" xfId="1098" xr:uid="{00000000-0005-0000-0000-000046040000}"/>
    <cellStyle name="20% - Ênfase4 6 5 2" xfId="1099" xr:uid="{00000000-0005-0000-0000-000047040000}"/>
    <cellStyle name="20% - Ênfase4 6 6" xfId="1100" xr:uid="{00000000-0005-0000-0000-000048040000}"/>
    <cellStyle name="20% - Ênfase4 7" xfId="1101" xr:uid="{00000000-0005-0000-0000-000049040000}"/>
    <cellStyle name="20% - Ênfase4 7 2" xfId="1102" xr:uid="{00000000-0005-0000-0000-00004A040000}"/>
    <cellStyle name="20% - Ênfase4 7 2 2" xfId="1103" xr:uid="{00000000-0005-0000-0000-00004B040000}"/>
    <cellStyle name="20% - Ênfase4 7 2 2 2" xfId="1104" xr:uid="{00000000-0005-0000-0000-00004C040000}"/>
    <cellStyle name="20% - Ênfase4 7 2 3" xfId="1105" xr:uid="{00000000-0005-0000-0000-00004D040000}"/>
    <cellStyle name="20% - Ênfase4 7 3" xfId="1106" xr:uid="{00000000-0005-0000-0000-00004E040000}"/>
    <cellStyle name="20% - Ênfase4 7 3 2" xfId="1107" xr:uid="{00000000-0005-0000-0000-00004F040000}"/>
    <cellStyle name="20% - Ênfase4 7 4" xfId="1108" xr:uid="{00000000-0005-0000-0000-000050040000}"/>
    <cellStyle name="20% - Ênfase4 7 4 2" xfId="1109" xr:uid="{00000000-0005-0000-0000-000051040000}"/>
    <cellStyle name="20% - Ênfase4 7 5" xfId="1110" xr:uid="{00000000-0005-0000-0000-000052040000}"/>
    <cellStyle name="20% - Ênfase4 8" xfId="1111" xr:uid="{00000000-0005-0000-0000-000053040000}"/>
    <cellStyle name="20% - Ênfase4 8 2" xfId="1112" xr:uid="{00000000-0005-0000-0000-000054040000}"/>
    <cellStyle name="20% - Ênfase4 8 2 2" xfId="1113" xr:uid="{00000000-0005-0000-0000-000055040000}"/>
    <cellStyle name="20% - Ênfase4 8 2 2 2" xfId="1114" xr:uid="{00000000-0005-0000-0000-000056040000}"/>
    <cellStyle name="20% - Ênfase4 8 2 3" xfId="1115" xr:uid="{00000000-0005-0000-0000-000057040000}"/>
    <cellStyle name="20% - Ênfase4 8 3" xfId="1116" xr:uid="{00000000-0005-0000-0000-000058040000}"/>
    <cellStyle name="20% - Ênfase4 8 3 2" xfId="1117" xr:uid="{00000000-0005-0000-0000-000059040000}"/>
    <cellStyle name="20% - Ênfase4 8 4" xfId="1118" xr:uid="{00000000-0005-0000-0000-00005A040000}"/>
    <cellStyle name="20% - Ênfase4 8 4 2" xfId="1119" xr:uid="{00000000-0005-0000-0000-00005B040000}"/>
    <cellStyle name="20% - Ênfase4 8 5" xfId="1120" xr:uid="{00000000-0005-0000-0000-00005C040000}"/>
    <cellStyle name="20% - Ênfase4 9" xfId="1121" xr:uid="{00000000-0005-0000-0000-00005D040000}"/>
    <cellStyle name="20% - Ênfase4 9 2" xfId="1122" xr:uid="{00000000-0005-0000-0000-00005E040000}"/>
    <cellStyle name="20% - Ênfase4 9 2 2" xfId="1123" xr:uid="{00000000-0005-0000-0000-00005F040000}"/>
    <cellStyle name="20% - Ênfase4 9 2 2 2" xfId="1124" xr:uid="{00000000-0005-0000-0000-000060040000}"/>
    <cellStyle name="20% - Ênfase4 9 2 3" xfId="1125" xr:uid="{00000000-0005-0000-0000-000061040000}"/>
    <cellStyle name="20% - Ênfase4 9 3" xfId="1126" xr:uid="{00000000-0005-0000-0000-000062040000}"/>
    <cellStyle name="20% - Ênfase4 9 3 2" xfId="1127" xr:uid="{00000000-0005-0000-0000-000063040000}"/>
    <cellStyle name="20% - Ênfase4 9 4" xfId="1128" xr:uid="{00000000-0005-0000-0000-000064040000}"/>
    <cellStyle name="20% - Ênfase4 9 4 2" xfId="1129" xr:uid="{00000000-0005-0000-0000-000065040000}"/>
    <cellStyle name="20% - Ênfase4 9 5" xfId="1130" xr:uid="{00000000-0005-0000-0000-000066040000}"/>
    <cellStyle name="20% - Ênfase5 10" xfId="1131" xr:uid="{00000000-0005-0000-0000-000067040000}"/>
    <cellStyle name="20% - Ênfase5 10 2" xfId="1132" xr:uid="{00000000-0005-0000-0000-000068040000}"/>
    <cellStyle name="20% - Ênfase5 10 2 2" xfId="1133" xr:uid="{00000000-0005-0000-0000-000069040000}"/>
    <cellStyle name="20% - Ênfase5 10 2 2 2" xfId="1134" xr:uid="{00000000-0005-0000-0000-00006A040000}"/>
    <cellStyle name="20% - Ênfase5 10 2 3" xfId="1135" xr:uid="{00000000-0005-0000-0000-00006B040000}"/>
    <cellStyle name="20% - Ênfase5 10 3" xfId="1136" xr:uid="{00000000-0005-0000-0000-00006C040000}"/>
    <cellStyle name="20% - Ênfase5 10 3 2" xfId="1137" xr:uid="{00000000-0005-0000-0000-00006D040000}"/>
    <cellStyle name="20% - Ênfase5 10 4" xfId="1138" xr:uid="{00000000-0005-0000-0000-00006E040000}"/>
    <cellStyle name="20% - Ênfase5 10 4 2" xfId="1139" xr:uid="{00000000-0005-0000-0000-00006F040000}"/>
    <cellStyle name="20% - Ênfase5 10 5" xfId="1140" xr:uid="{00000000-0005-0000-0000-000070040000}"/>
    <cellStyle name="20% - Ênfase5 11" xfId="1141" xr:uid="{00000000-0005-0000-0000-000071040000}"/>
    <cellStyle name="20% - Ênfase5 11 2" xfId="1142" xr:uid="{00000000-0005-0000-0000-000072040000}"/>
    <cellStyle name="20% - Ênfase5 11 2 2" xfId="1143" xr:uid="{00000000-0005-0000-0000-000073040000}"/>
    <cellStyle name="20% - Ênfase5 11 2 2 2" xfId="1144" xr:uid="{00000000-0005-0000-0000-000074040000}"/>
    <cellStyle name="20% - Ênfase5 11 2 3" xfId="1145" xr:uid="{00000000-0005-0000-0000-000075040000}"/>
    <cellStyle name="20% - Ênfase5 11 3" xfId="1146" xr:uid="{00000000-0005-0000-0000-000076040000}"/>
    <cellStyle name="20% - Ênfase5 11 3 2" xfId="1147" xr:uid="{00000000-0005-0000-0000-000077040000}"/>
    <cellStyle name="20% - Ênfase5 11 4" xfId="1148" xr:uid="{00000000-0005-0000-0000-000078040000}"/>
    <cellStyle name="20% - Ênfase5 11 4 2" xfId="1149" xr:uid="{00000000-0005-0000-0000-000079040000}"/>
    <cellStyle name="20% - Ênfase5 11 5" xfId="1150" xr:uid="{00000000-0005-0000-0000-00007A040000}"/>
    <cellStyle name="20% - Ênfase5 12" xfId="1151" xr:uid="{00000000-0005-0000-0000-00007B040000}"/>
    <cellStyle name="20% - Ênfase5 12 2" xfId="1152" xr:uid="{00000000-0005-0000-0000-00007C040000}"/>
    <cellStyle name="20% - Ênfase5 12 2 2" xfId="1153" xr:uid="{00000000-0005-0000-0000-00007D040000}"/>
    <cellStyle name="20% - Ênfase5 12 2 2 2" xfId="1154" xr:uid="{00000000-0005-0000-0000-00007E040000}"/>
    <cellStyle name="20% - Ênfase5 12 2 3" xfId="1155" xr:uid="{00000000-0005-0000-0000-00007F040000}"/>
    <cellStyle name="20% - Ênfase5 12 3" xfId="1156" xr:uid="{00000000-0005-0000-0000-000080040000}"/>
    <cellStyle name="20% - Ênfase5 12 3 2" xfId="1157" xr:uid="{00000000-0005-0000-0000-000081040000}"/>
    <cellStyle name="20% - Ênfase5 12 4" xfId="1158" xr:uid="{00000000-0005-0000-0000-000082040000}"/>
    <cellStyle name="20% - Ênfase5 12 4 2" xfId="1159" xr:uid="{00000000-0005-0000-0000-000083040000}"/>
    <cellStyle name="20% - Ênfase5 12 5" xfId="1160" xr:uid="{00000000-0005-0000-0000-000084040000}"/>
    <cellStyle name="20% - Ênfase5 13" xfId="1161" xr:uid="{00000000-0005-0000-0000-000085040000}"/>
    <cellStyle name="20% - Ênfase5 13 2" xfId="1162" xr:uid="{00000000-0005-0000-0000-000086040000}"/>
    <cellStyle name="20% - Ênfase5 13 2 2" xfId="1163" xr:uid="{00000000-0005-0000-0000-000087040000}"/>
    <cellStyle name="20% - Ênfase5 13 2 2 2" xfId="1164" xr:uid="{00000000-0005-0000-0000-000088040000}"/>
    <cellStyle name="20% - Ênfase5 13 2 3" xfId="1165" xr:uid="{00000000-0005-0000-0000-000089040000}"/>
    <cellStyle name="20% - Ênfase5 13 3" xfId="1166" xr:uid="{00000000-0005-0000-0000-00008A040000}"/>
    <cellStyle name="20% - Ênfase5 13 3 2" xfId="1167" xr:uid="{00000000-0005-0000-0000-00008B040000}"/>
    <cellStyle name="20% - Ênfase5 13 4" xfId="1168" xr:uid="{00000000-0005-0000-0000-00008C040000}"/>
    <cellStyle name="20% - Ênfase5 13 4 2" xfId="1169" xr:uid="{00000000-0005-0000-0000-00008D040000}"/>
    <cellStyle name="20% - Ênfase5 13 5" xfId="1170" xr:uid="{00000000-0005-0000-0000-00008E040000}"/>
    <cellStyle name="20% - Ênfase5 14" xfId="1171" xr:uid="{00000000-0005-0000-0000-00008F040000}"/>
    <cellStyle name="20% - Ênfase5 14 2" xfId="1172" xr:uid="{00000000-0005-0000-0000-000090040000}"/>
    <cellStyle name="20% - Ênfase5 14 2 2" xfId="1173" xr:uid="{00000000-0005-0000-0000-000091040000}"/>
    <cellStyle name="20% - Ênfase5 14 2 2 2" xfId="1174" xr:uid="{00000000-0005-0000-0000-000092040000}"/>
    <cellStyle name="20% - Ênfase5 14 2 3" xfId="1175" xr:uid="{00000000-0005-0000-0000-000093040000}"/>
    <cellStyle name="20% - Ênfase5 14 3" xfId="1176" xr:uid="{00000000-0005-0000-0000-000094040000}"/>
    <cellStyle name="20% - Ênfase5 14 3 2" xfId="1177" xr:uid="{00000000-0005-0000-0000-000095040000}"/>
    <cellStyle name="20% - Ênfase5 14 4" xfId="1178" xr:uid="{00000000-0005-0000-0000-000096040000}"/>
    <cellStyle name="20% - Ênfase5 14 4 2" xfId="1179" xr:uid="{00000000-0005-0000-0000-000097040000}"/>
    <cellStyle name="20% - Ênfase5 14 5" xfId="1180" xr:uid="{00000000-0005-0000-0000-000098040000}"/>
    <cellStyle name="20% - Ênfase5 15" xfId="1181" xr:uid="{00000000-0005-0000-0000-000099040000}"/>
    <cellStyle name="20% - Ênfase5 15 2" xfId="1182" xr:uid="{00000000-0005-0000-0000-00009A040000}"/>
    <cellStyle name="20% - Ênfase5 15 2 2" xfId="1183" xr:uid="{00000000-0005-0000-0000-00009B040000}"/>
    <cellStyle name="20% - Ênfase5 15 2 2 2" xfId="1184" xr:uid="{00000000-0005-0000-0000-00009C040000}"/>
    <cellStyle name="20% - Ênfase5 15 2 3" xfId="1185" xr:uid="{00000000-0005-0000-0000-00009D040000}"/>
    <cellStyle name="20% - Ênfase5 15 3" xfId="1186" xr:uid="{00000000-0005-0000-0000-00009E040000}"/>
    <cellStyle name="20% - Ênfase5 15 3 2" xfId="1187" xr:uid="{00000000-0005-0000-0000-00009F040000}"/>
    <cellStyle name="20% - Ênfase5 15 4" xfId="1188" xr:uid="{00000000-0005-0000-0000-0000A0040000}"/>
    <cellStyle name="20% - Ênfase5 15 4 2" xfId="1189" xr:uid="{00000000-0005-0000-0000-0000A1040000}"/>
    <cellStyle name="20% - Ênfase5 15 5" xfId="1190" xr:uid="{00000000-0005-0000-0000-0000A2040000}"/>
    <cellStyle name="20% - Ênfase5 16" xfId="1191" xr:uid="{00000000-0005-0000-0000-0000A3040000}"/>
    <cellStyle name="20% - Ênfase5 16 2" xfId="1192" xr:uid="{00000000-0005-0000-0000-0000A4040000}"/>
    <cellStyle name="20% - Ênfase5 16 2 2" xfId="1193" xr:uid="{00000000-0005-0000-0000-0000A5040000}"/>
    <cellStyle name="20% - Ênfase5 16 2 2 2" xfId="1194" xr:uid="{00000000-0005-0000-0000-0000A6040000}"/>
    <cellStyle name="20% - Ênfase5 16 2 3" xfId="1195" xr:uid="{00000000-0005-0000-0000-0000A7040000}"/>
    <cellStyle name="20% - Ênfase5 16 3" xfId="1196" xr:uid="{00000000-0005-0000-0000-0000A8040000}"/>
    <cellStyle name="20% - Ênfase5 16 3 2" xfId="1197" xr:uid="{00000000-0005-0000-0000-0000A9040000}"/>
    <cellStyle name="20% - Ênfase5 16 4" xfId="1198" xr:uid="{00000000-0005-0000-0000-0000AA040000}"/>
    <cellStyle name="20% - Ênfase5 16 4 2" xfId="1199" xr:uid="{00000000-0005-0000-0000-0000AB040000}"/>
    <cellStyle name="20% - Ênfase5 16 5" xfId="1200" xr:uid="{00000000-0005-0000-0000-0000AC040000}"/>
    <cellStyle name="20% - Ênfase5 17" xfId="1201" xr:uid="{00000000-0005-0000-0000-0000AD040000}"/>
    <cellStyle name="20% - Ênfase5 17 2" xfId="1202" xr:uid="{00000000-0005-0000-0000-0000AE040000}"/>
    <cellStyle name="20% - Ênfase5 17 2 2" xfId="1203" xr:uid="{00000000-0005-0000-0000-0000AF040000}"/>
    <cellStyle name="20% - Ênfase5 17 2 2 2" xfId="1204" xr:uid="{00000000-0005-0000-0000-0000B0040000}"/>
    <cellStyle name="20% - Ênfase5 17 2 3" xfId="1205" xr:uid="{00000000-0005-0000-0000-0000B1040000}"/>
    <cellStyle name="20% - Ênfase5 17 3" xfId="1206" xr:uid="{00000000-0005-0000-0000-0000B2040000}"/>
    <cellStyle name="20% - Ênfase5 17 3 2" xfId="1207" xr:uid="{00000000-0005-0000-0000-0000B3040000}"/>
    <cellStyle name="20% - Ênfase5 17 4" xfId="1208" xr:uid="{00000000-0005-0000-0000-0000B4040000}"/>
    <cellStyle name="20% - Ênfase5 17 4 2" xfId="1209" xr:uid="{00000000-0005-0000-0000-0000B5040000}"/>
    <cellStyle name="20% - Ênfase5 17 5" xfId="1210" xr:uid="{00000000-0005-0000-0000-0000B6040000}"/>
    <cellStyle name="20% - Ênfase5 18" xfId="1211" xr:uid="{00000000-0005-0000-0000-0000B7040000}"/>
    <cellStyle name="20% - Ênfase5 18 2" xfId="1212" xr:uid="{00000000-0005-0000-0000-0000B8040000}"/>
    <cellStyle name="20% - Ênfase5 18 2 2" xfId="1213" xr:uid="{00000000-0005-0000-0000-0000B9040000}"/>
    <cellStyle name="20% - Ênfase5 18 2 2 2" xfId="1214" xr:uid="{00000000-0005-0000-0000-0000BA040000}"/>
    <cellStyle name="20% - Ênfase5 18 2 3" xfId="1215" xr:uid="{00000000-0005-0000-0000-0000BB040000}"/>
    <cellStyle name="20% - Ênfase5 18 3" xfId="1216" xr:uid="{00000000-0005-0000-0000-0000BC040000}"/>
    <cellStyle name="20% - Ênfase5 18 3 2" xfId="1217" xr:uid="{00000000-0005-0000-0000-0000BD040000}"/>
    <cellStyle name="20% - Ênfase5 18 4" xfId="1218" xr:uid="{00000000-0005-0000-0000-0000BE040000}"/>
    <cellStyle name="20% - Ênfase5 19" xfId="1219" xr:uid="{00000000-0005-0000-0000-0000BF040000}"/>
    <cellStyle name="20% - Ênfase5 19 2" xfId="1220" xr:uid="{00000000-0005-0000-0000-0000C0040000}"/>
    <cellStyle name="20% - Ênfase5 19 2 2" xfId="1221" xr:uid="{00000000-0005-0000-0000-0000C1040000}"/>
    <cellStyle name="20% - Ênfase5 19 2 2 2" xfId="1222" xr:uid="{00000000-0005-0000-0000-0000C2040000}"/>
    <cellStyle name="20% - Ênfase5 19 2 3" xfId="1223" xr:uid="{00000000-0005-0000-0000-0000C3040000}"/>
    <cellStyle name="20% - Ênfase5 19 3" xfId="1224" xr:uid="{00000000-0005-0000-0000-0000C4040000}"/>
    <cellStyle name="20% - Ênfase5 19 3 2" xfId="1225" xr:uid="{00000000-0005-0000-0000-0000C5040000}"/>
    <cellStyle name="20% - Ênfase5 19 4" xfId="1226" xr:uid="{00000000-0005-0000-0000-0000C6040000}"/>
    <cellStyle name="20% - Ênfase5 2" xfId="1227" xr:uid="{00000000-0005-0000-0000-0000C7040000}"/>
    <cellStyle name="20% - Ênfase5 2 2" xfId="1228" xr:uid="{00000000-0005-0000-0000-0000C8040000}"/>
    <cellStyle name="20% - Ênfase5 2 2 2" xfId="1229" xr:uid="{00000000-0005-0000-0000-0000C9040000}"/>
    <cellStyle name="20% - Ênfase5 2 2 2 2" xfId="1230" xr:uid="{00000000-0005-0000-0000-0000CA040000}"/>
    <cellStyle name="20% - Ênfase5 2 2 2 2 2" xfId="1231" xr:uid="{00000000-0005-0000-0000-0000CB040000}"/>
    <cellStyle name="20% - Ênfase5 2 2 2 3" xfId="1232" xr:uid="{00000000-0005-0000-0000-0000CC040000}"/>
    <cellStyle name="20% - Ênfase5 2 2 3" xfId="1233" xr:uid="{00000000-0005-0000-0000-0000CD040000}"/>
    <cellStyle name="20% - Ênfase5 2 2 3 2" xfId="1234" xr:uid="{00000000-0005-0000-0000-0000CE040000}"/>
    <cellStyle name="20% - Ênfase5 2 2 3 2 2" xfId="1235" xr:uid="{00000000-0005-0000-0000-0000CF040000}"/>
    <cellStyle name="20% - Ênfase5 2 2 3 3" xfId="1236" xr:uid="{00000000-0005-0000-0000-0000D0040000}"/>
    <cellStyle name="20% - Ênfase5 2 2 4" xfId="1237" xr:uid="{00000000-0005-0000-0000-0000D1040000}"/>
    <cellStyle name="20% - Ênfase5 2 2 4 2" xfId="1238" xr:uid="{00000000-0005-0000-0000-0000D2040000}"/>
    <cellStyle name="20% - Ênfase5 2 2 5" xfId="1239" xr:uid="{00000000-0005-0000-0000-0000D3040000}"/>
    <cellStyle name="20% - Ênfase5 2 3" xfId="1240" xr:uid="{00000000-0005-0000-0000-0000D4040000}"/>
    <cellStyle name="20% - Ênfase5 2 3 2" xfId="1241" xr:uid="{00000000-0005-0000-0000-0000D5040000}"/>
    <cellStyle name="20% - Ênfase5 2 3 2 2" xfId="1242" xr:uid="{00000000-0005-0000-0000-0000D6040000}"/>
    <cellStyle name="20% - Ênfase5 2 3 3" xfId="1243" xr:uid="{00000000-0005-0000-0000-0000D7040000}"/>
    <cellStyle name="20% - Ênfase5 2 4" xfId="1244" xr:uid="{00000000-0005-0000-0000-0000D8040000}"/>
    <cellStyle name="20% - Ênfase5 2 4 2" xfId="1245" xr:uid="{00000000-0005-0000-0000-0000D9040000}"/>
    <cellStyle name="20% - Ênfase5 2 4 2 2" xfId="1246" xr:uid="{00000000-0005-0000-0000-0000DA040000}"/>
    <cellStyle name="20% - Ênfase5 2 4 3" xfId="1247" xr:uid="{00000000-0005-0000-0000-0000DB040000}"/>
    <cellStyle name="20% - Ênfase5 2 5" xfId="1248" xr:uid="{00000000-0005-0000-0000-0000DC040000}"/>
    <cellStyle name="20% - Ênfase5 2 5 2" xfId="1249" xr:uid="{00000000-0005-0000-0000-0000DD040000}"/>
    <cellStyle name="20% - Ênfase5 2 6" xfId="1250" xr:uid="{00000000-0005-0000-0000-0000DE040000}"/>
    <cellStyle name="20% - Ênfase5 20" xfId="1251" xr:uid="{00000000-0005-0000-0000-0000DF040000}"/>
    <cellStyle name="20% - Ênfase5 20 2" xfId="1252" xr:uid="{00000000-0005-0000-0000-0000E0040000}"/>
    <cellStyle name="20% - Ênfase5 20 2 2" xfId="1253" xr:uid="{00000000-0005-0000-0000-0000E1040000}"/>
    <cellStyle name="20% - Ênfase5 20 2 2 2" xfId="1254" xr:uid="{00000000-0005-0000-0000-0000E2040000}"/>
    <cellStyle name="20% - Ênfase5 20 2 3" xfId="1255" xr:uid="{00000000-0005-0000-0000-0000E3040000}"/>
    <cellStyle name="20% - Ênfase5 20 3" xfId="1256" xr:uid="{00000000-0005-0000-0000-0000E4040000}"/>
    <cellStyle name="20% - Ênfase5 20 3 2" xfId="1257" xr:uid="{00000000-0005-0000-0000-0000E5040000}"/>
    <cellStyle name="20% - Ênfase5 20 4" xfId="1258" xr:uid="{00000000-0005-0000-0000-0000E6040000}"/>
    <cellStyle name="20% - Ênfase5 21" xfId="1259" xr:uid="{00000000-0005-0000-0000-0000E7040000}"/>
    <cellStyle name="20% - Ênfase5 21 2" xfId="1260" xr:uid="{00000000-0005-0000-0000-0000E8040000}"/>
    <cellStyle name="20% - Ênfase5 21 2 2" xfId="1261" xr:uid="{00000000-0005-0000-0000-0000E9040000}"/>
    <cellStyle name="20% - Ênfase5 21 2 2 2" xfId="1262" xr:uid="{00000000-0005-0000-0000-0000EA040000}"/>
    <cellStyle name="20% - Ênfase5 21 2 3" xfId="1263" xr:uid="{00000000-0005-0000-0000-0000EB040000}"/>
    <cellStyle name="20% - Ênfase5 21 3" xfId="1264" xr:uid="{00000000-0005-0000-0000-0000EC040000}"/>
    <cellStyle name="20% - Ênfase5 21 3 2" xfId="1265" xr:uid="{00000000-0005-0000-0000-0000ED040000}"/>
    <cellStyle name="20% - Ênfase5 21 4" xfId="1266" xr:uid="{00000000-0005-0000-0000-0000EE040000}"/>
    <cellStyle name="20% - Ênfase5 22" xfId="1267" xr:uid="{00000000-0005-0000-0000-0000EF040000}"/>
    <cellStyle name="20% - Ênfase5 22 2" xfId="1268" xr:uid="{00000000-0005-0000-0000-0000F0040000}"/>
    <cellStyle name="20% - Ênfase5 22 2 2" xfId="1269" xr:uid="{00000000-0005-0000-0000-0000F1040000}"/>
    <cellStyle name="20% - Ênfase5 22 2 2 2" xfId="1270" xr:uid="{00000000-0005-0000-0000-0000F2040000}"/>
    <cellStyle name="20% - Ênfase5 22 2 3" xfId="1271" xr:uid="{00000000-0005-0000-0000-0000F3040000}"/>
    <cellStyle name="20% - Ênfase5 22 3" xfId="1272" xr:uid="{00000000-0005-0000-0000-0000F4040000}"/>
    <cellStyle name="20% - Ênfase5 22 3 2" xfId="1273" xr:uid="{00000000-0005-0000-0000-0000F5040000}"/>
    <cellStyle name="20% - Ênfase5 22 4" xfId="1274" xr:uid="{00000000-0005-0000-0000-0000F6040000}"/>
    <cellStyle name="20% - Ênfase5 23" xfId="1275" xr:uid="{00000000-0005-0000-0000-0000F7040000}"/>
    <cellStyle name="20% - Ênfase5 23 2" xfId="1276" xr:uid="{00000000-0005-0000-0000-0000F8040000}"/>
    <cellStyle name="20% - Ênfase5 23 2 2" xfId="1277" xr:uid="{00000000-0005-0000-0000-0000F9040000}"/>
    <cellStyle name="20% - Ênfase5 23 2 2 2" xfId="1278" xr:uid="{00000000-0005-0000-0000-0000FA040000}"/>
    <cellStyle name="20% - Ênfase5 23 2 3" xfId="1279" xr:uid="{00000000-0005-0000-0000-0000FB040000}"/>
    <cellStyle name="20% - Ênfase5 23 3" xfId="1280" xr:uid="{00000000-0005-0000-0000-0000FC040000}"/>
    <cellStyle name="20% - Ênfase5 23 3 2" xfId="1281" xr:uid="{00000000-0005-0000-0000-0000FD040000}"/>
    <cellStyle name="20% - Ênfase5 23 4" xfId="1282" xr:uid="{00000000-0005-0000-0000-0000FE040000}"/>
    <cellStyle name="20% - Ênfase5 24" xfId="1283" xr:uid="{00000000-0005-0000-0000-0000FF040000}"/>
    <cellStyle name="20% - Ênfase5 24 2" xfId="1284" xr:uid="{00000000-0005-0000-0000-000000050000}"/>
    <cellStyle name="20% - Ênfase5 24 2 2" xfId="1285" xr:uid="{00000000-0005-0000-0000-000001050000}"/>
    <cellStyle name="20% - Ênfase5 24 2 2 2" xfId="1286" xr:uid="{00000000-0005-0000-0000-000002050000}"/>
    <cellStyle name="20% - Ênfase5 24 2 3" xfId="1287" xr:uid="{00000000-0005-0000-0000-000003050000}"/>
    <cellStyle name="20% - Ênfase5 24 3" xfId="1288" xr:uid="{00000000-0005-0000-0000-000004050000}"/>
    <cellStyle name="20% - Ênfase5 24 3 2" xfId="1289" xr:uid="{00000000-0005-0000-0000-000005050000}"/>
    <cellStyle name="20% - Ênfase5 24 4" xfId="1290" xr:uid="{00000000-0005-0000-0000-000006050000}"/>
    <cellStyle name="20% - Ênfase5 25" xfId="1291" xr:uid="{00000000-0005-0000-0000-000007050000}"/>
    <cellStyle name="20% - Ênfase5 25 2" xfId="1292" xr:uid="{00000000-0005-0000-0000-000008050000}"/>
    <cellStyle name="20% - Ênfase5 25 2 2" xfId="1293" xr:uid="{00000000-0005-0000-0000-000009050000}"/>
    <cellStyle name="20% - Ênfase5 25 2 2 2" xfId="1294" xr:uid="{00000000-0005-0000-0000-00000A050000}"/>
    <cellStyle name="20% - Ênfase5 25 2 3" xfId="1295" xr:uid="{00000000-0005-0000-0000-00000B050000}"/>
    <cellStyle name="20% - Ênfase5 25 3" xfId="1296" xr:uid="{00000000-0005-0000-0000-00000C050000}"/>
    <cellStyle name="20% - Ênfase5 25 3 2" xfId="1297" xr:uid="{00000000-0005-0000-0000-00000D050000}"/>
    <cellStyle name="20% - Ênfase5 25 4" xfId="1298" xr:uid="{00000000-0005-0000-0000-00000E050000}"/>
    <cellStyle name="20% - Ênfase5 26" xfId="1299" xr:uid="{00000000-0005-0000-0000-00000F050000}"/>
    <cellStyle name="20% - Ênfase5 26 2" xfId="1300" xr:uid="{00000000-0005-0000-0000-000010050000}"/>
    <cellStyle name="20% - Ênfase5 26 2 2" xfId="1301" xr:uid="{00000000-0005-0000-0000-000011050000}"/>
    <cellStyle name="20% - Ênfase5 26 2 2 2" xfId="1302" xr:uid="{00000000-0005-0000-0000-000012050000}"/>
    <cellStyle name="20% - Ênfase5 26 2 3" xfId="1303" xr:uid="{00000000-0005-0000-0000-000013050000}"/>
    <cellStyle name="20% - Ênfase5 26 3" xfId="1304" xr:uid="{00000000-0005-0000-0000-000014050000}"/>
    <cellStyle name="20% - Ênfase5 26 3 2" xfId="1305" xr:uid="{00000000-0005-0000-0000-000015050000}"/>
    <cellStyle name="20% - Ênfase5 26 4" xfId="1306" xr:uid="{00000000-0005-0000-0000-000016050000}"/>
    <cellStyle name="20% - Ênfase5 27" xfId="1307" xr:uid="{00000000-0005-0000-0000-000017050000}"/>
    <cellStyle name="20% - Ênfase5 27 2" xfId="1308" xr:uid="{00000000-0005-0000-0000-000018050000}"/>
    <cellStyle name="20% - Ênfase5 27 2 2" xfId="1309" xr:uid="{00000000-0005-0000-0000-000019050000}"/>
    <cellStyle name="20% - Ênfase5 27 3" xfId="1310" xr:uid="{00000000-0005-0000-0000-00001A050000}"/>
    <cellStyle name="20% - Ênfase5 28" xfId="1311" xr:uid="{00000000-0005-0000-0000-00001B050000}"/>
    <cellStyle name="20% - Ênfase5 28 2" xfId="1312" xr:uid="{00000000-0005-0000-0000-00001C050000}"/>
    <cellStyle name="20% - Ênfase5 28 2 2" xfId="1313" xr:uid="{00000000-0005-0000-0000-00001D050000}"/>
    <cellStyle name="20% - Ênfase5 28 3" xfId="1314" xr:uid="{00000000-0005-0000-0000-00001E050000}"/>
    <cellStyle name="20% - Ênfase5 29" xfId="1315" xr:uid="{00000000-0005-0000-0000-00001F050000}"/>
    <cellStyle name="20% - Ênfase5 29 2" xfId="1316" xr:uid="{00000000-0005-0000-0000-000020050000}"/>
    <cellStyle name="20% - Ênfase5 29 2 2" xfId="1317" xr:uid="{00000000-0005-0000-0000-000021050000}"/>
    <cellStyle name="20% - Ênfase5 29 3" xfId="1318" xr:uid="{00000000-0005-0000-0000-000022050000}"/>
    <cellStyle name="20% - Ênfase5 3" xfId="1319" xr:uid="{00000000-0005-0000-0000-000023050000}"/>
    <cellStyle name="20% - Ênfase5 3 2" xfId="1320" xr:uid="{00000000-0005-0000-0000-000024050000}"/>
    <cellStyle name="20% - Ênfase5 3 2 2" xfId="1321" xr:uid="{00000000-0005-0000-0000-000025050000}"/>
    <cellStyle name="20% - Ênfase5 3 2 2 2" xfId="1322" xr:uid="{00000000-0005-0000-0000-000026050000}"/>
    <cellStyle name="20% - Ênfase5 3 2 3" xfId="1323" xr:uid="{00000000-0005-0000-0000-000027050000}"/>
    <cellStyle name="20% - Ênfase5 3 3" xfId="1324" xr:uid="{00000000-0005-0000-0000-000028050000}"/>
    <cellStyle name="20% - Ênfase5 3 3 2" xfId="1325" xr:uid="{00000000-0005-0000-0000-000029050000}"/>
    <cellStyle name="20% - Ênfase5 3 4" xfId="1326" xr:uid="{00000000-0005-0000-0000-00002A050000}"/>
    <cellStyle name="20% - Ênfase5 3 4 2" xfId="1327" xr:uid="{00000000-0005-0000-0000-00002B050000}"/>
    <cellStyle name="20% - Ênfase5 3 5" xfId="1328" xr:uid="{00000000-0005-0000-0000-00002C050000}"/>
    <cellStyle name="20% - Ênfase5 3 5 2" xfId="1329" xr:uid="{00000000-0005-0000-0000-00002D050000}"/>
    <cellStyle name="20% - Ênfase5 3 6" xfId="1330" xr:uid="{00000000-0005-0000-0000-00002E050000}"/>
    <cellStyle name="20% - Ênfase5 30" xfId="1331" xr:uid="{00000000-0005-0000-0000-00002F050000}"/>
    <cellStyle name="20% - Ênfase5 30 2" xfId="1332" xr:uid="{00000000-0005-0000-0000-000030050000}"/>
    <cellStyle name="20% - Ênfase5 30 2 2" xfId="1333" xr:uid="{00000000-0005-0000-0000-000031050000}"/>
    <cellStyle name="20% - Ênfase5 30 3" xfId="1334" xr:uid="{00000000-0005-0000-0000-000032050000}"/>
    <cellStyle name="20% - Ênfase5 31" xfId="1335" xr:uid="{00000000-0005-0000-0000-000033050000}"/>
    <cellStyle name="20% - Ênfase5 31 2" xfId="1336" xr:uid="{00000000-0005-0000-0000-000034050000}"/>
    <cellStyle name="20% - Ênfase5 32" xfId="1337" xr:uid="{00000000-0005-0000-0000-000035050000}"/>
    <cellStyle name="20% - Ênfase5 32 2" xfId="1338" xr:uid="{00000000-0005-0000-0000-000036050000}"/>
    <cellStyle name="20% - Ênfase5 33" xfId="1339" xr:uid="{00000000-0005-0000-0000-000037050000}"/>
    <cellStyle name="20% - Ênfase5 33 2" xfId="1340" xr:uid="{00000000-0005-0000-0000-000038050000}"/>
    <cellStyle name="20% - Ênfase5 34" xfId="1341" xr:uid="{00000000-0005-0000-0000-000039050000}"/>
    <cellStyle name="20% - Ênfase5 35" xfId="1342" xr:uid="{00000000-0005-0000-0000-00003A050000}"/>
    <cellStyle name="20% - Ênfase5 4" xfId="1343" xr:uid="{00000000-0005-0000-0000-00003B050000}"/>
    <cellStyle name="20% - Ênfase5 4 2" xfId="1344" xr:uid="{00000000-0005-0000-0000-00003C050000}"/>
    <cellStyle name="20% - Ênfase5 4 2 2" xfId="1345" xr:uid="{00000000-0005-0000-0000-00003D050000}"/>
    <cellStyle name="20% - Ênfase5 4 2 2 2" xfId="1346" xr:uid="{00000000-0005-0000-0000-00003E050000}"/>
    <cellStyle name="20% - Ênfase5 4 2 3" xfId="1347" xr:uid="{00000000-0005-0000-0000-00003F050000}"/>
    <cellStyle name="20% - Ênfase5 4 3" xfId="1348" xr:uid="{00000000-0005-0000-0000-000040050000}"/>
    <cellStyle name="20% - Ênfase5 4 3 2" xfId="1349" xr:uid="{00000000-0005-0000-0000-000041050000}"/>
    <cellStyle name="20% - Ênfase5 4 4" xfId="1350" xr:uid="{00000000-0005-0000-0000-000042050000}"/>
    <cellStyle name="20% - Ênfase5 4 4 2" xfId="1351" xr:uid="{00000000-0005-0000-0000-000043050000}"/>
    <cellStyle name="20% - Ênfase5 4 5" xfId="1352" xr:uid="{00000000-0005-0000-0000-000044050000}"/>
    <cellStyle name="20% - Ênfase5 4 5 2" xfId="1353" xr:uid="{00000000-0005-0000-0000-000045050000}"/>
    <cellStyle name="20% - Ênfase5 4 6" xfId="1354" xr:uid="{00000000-0005-0000-0000-000046050000}"/>
    <cellStyle name="20% - Ênfase5 5" xfId="1355" xr:uid="{00000000-0005-0000-0000-000047050000}"/>
    <cellStyle name="20% - Ênfase5 5 2" xfId="1356" xr:uid="{00000000-0005-0000-0000-000048050000}"/>
    <cellStyle name="20% - Ênfase5 5 2 2" xfId="1357" xr:uid="{00000000-0005-0000-0000-000049050000}"/>
    <cellStyle name="20% - Ênfase5 5 2 2 2" xfId="1358" xr:uid="{00000000-0005-0000-0000-00004A050000}"/>
    <cellStyle name="20% - Ênfase5 5 2 3" xfId="1359" xr:uid="{00000000-0005-0000-0000-00004B050000}"/>
    <cellStyle name="20% - Ênfase5 5 3" xfId="1360" xr:uid="{00000000-0005-0000-0000-00004C050000}"/>
    <cellStyle name="20% - Ênfase5 5 3 2" xfId="1361" xr:uid="{00000000-0005-0000-0000-00004D050000}"/>
    <cellStyle name="20% - Ênfase5 5 4" xfId="1362" xr:uid="{00000000-0005-0000-0000-00004E050000}"/>
    <cellStyle name="20% - Ênfase5 5 4 2" xfId="1363" xr:uid="{00000000-0005-0000-0000-00004F050000}"/>
    <cellStyle name="20% - Ênfase5 5 5" xfId="1364" xr:uid="{00000000-0005-0000-0000-000050050000}"/>
    <cellStyle name="20% - Ênfase5 5 5 2" xfId="1365" xr:uid="{00000000-0005-0000-0000-000051050000}"/>
    <cellStyle name="20% - Ênfase5 5 6" xfId="1366" xr:uid="{00000000-0005-0000-0000-000052050000}"/>
    <cellStyle name="20% - Ênfase5 6" xfId="1367" xr:uid="{00000000-0005-0000-0000-000053050000}"/>
    <cellStyle name="20% - Ênfase5 6 2" xfId="1368" xr:uid="{00000000-0005-0000-0000-000054050000}"/>
    <cellStyle name="20% - Ênfase5 6 2 2" xfId="1369" xr:uid="{00000000-0005-0000-0000-000055050000}"/>
    <cellStyle name="20% - Ênfase5 6 2 2 2" xfId="1370" xr:uid="{00000000-0005-0000-0000-000056050000}"/>
    <cellStyle name="20% - Ênfase5 6 2 3" xfId="1371" xr:uid="{00000000-0005-0000-0000-000057050000}"/>
    <cellStyle name="20% - Ênfase5 6 3" xfId="1372" xr:uid="{00000000-0005-0000-0000-000058050000}"/>
    <cellStyle name="20% - Ênfase5 6 3 2" xfId="1373" xr:uid="{00000000-0005-0000-0000-000059050000}"/>
    <cellStyle name="20% - Ênfase5 6 4" xfId="1374" xr:uid="{00000000-0005-0000-0000-00005A050000}"/>
    <cellStyle name="20% - Ênfase5 6 4 2" xfId="1375" xr:uid="{00000000-0005-0000-0000-00005B050000}"/>
    <cellStyle name="20% - Ênfase5 6 5" xfId="1376" xr:uid="{00000000-0005-0000-0000-00005C050000}"/>
    <cellStyle name="20% - Ênfase5 6 5 2" xfId="1377" xr:uid="{00000000-0005-0000-0000-00005D050000}"/>
    <cellStyle name="20% - Ênfase5 6 6" xfId="1378" xr:uid="{00000000-0005-0000-0000-00005E050000}"/>
    <cellStyle name="20% - Ênfase5 7" xfId="1379" xr:uid="{00000000-0005-0000-0000-00005F050000}"/>
    <cellStyle name="20% - Ênfase5 7 2" xfId="1380" xr:uid="{00000000-0005-0000-0000-000060050000}"/>
    <cellStyle name="20% - Ênfase5 7 2 2" xfId="1381" xr:uid="{00000000-0005-0000-0000-000061050000}"/>
    <cellStyle name="20% - Ênfase5 7 2 2 2" xfId="1382" xr:uid="{00000000-0005-0000-0000-000062050000}"/>
    <cellStyle name="20% - Ênfase5 7 2 3" xfId="1383" xr:uid="{00000000-0005-0000-0000-000063050000}"/>
    <cellStyle name="20% - Ênfase5 7 3" xfId="1384" xr:uid="{00000000-0005-0000-0000-000064050000}"/>
    <cellStyle name="20% - Ênfase5 7 3 2" xfId="1385" xr:uid="{00000000-0005-0000-0000-000065050000}"/>
    <cellStyle name="20% - Ênfase5 7 4" xfId="1386" xr:uid="{00000000-0005-0000-0000-000066050000}"/>
    <cellStyle name="20% - Ênfase5 7 4 2" xfId="1387" xr:uid="{00000000-0005-0000-0000-000067050000}"/>
    <cellStyle name="20% - Ênfase5 7 5" xfId="1388" xr:uid="{00000000-0005-0000-0000-000068050000}"/>
    <cellStyle name="20% - Ênfase5 8" xfId="1389" xr:uid="{00000000-0005-0000-0000-000069050000}"/>
    <cellStyle name="20% - Ênfase5 8 2" xfId="1390" xr:uid="{00000000-0005-0000-0000-00006A050000}"/>
    <cellStyle name="20% - Ênfase5 8 2 2" xfId="1391" xr:uid="{00000000-0005-0000-0000-00006B050000}"/>
    <cellStyle name="20% - Ênfase5 8 2 2 2" xfId="1392" xr:uid="{00000000-0005-0000-0000-00006C050000}"/>
    <cellStyle name="20% - Ênfase5 8 2 3" xfId="1393" xr:uid="{00000000-0005-0000-0000-00006D050000}"/>
    <cellStyle name="20% - Ênfase5 8 3" xfId="1394" xr:uid="{00000000-0005-0000-0000-00006E050000}"/>
    <cellStyle name="20% - Ênfase5 8 3 2" xfId="1395" xr:uid="{00000000-0005-0000-0000-00006F050000}"/>
    <cellStyle name="20% - Ênfase5 8 4" xfId="1396" xr:uid="{00000000-0005-0000-0000-000070050000}"/>
    <cellStyle name="20% - Ênfase5 8 4 2" xfId="1397" xr:uid="{00000000-0005-0000-0000-000071050000}"/>
    <cellStyle name="20% - Ênfase5 8 5" xfId="1398" xr:uid="{00000000-0005-0000-0000-000072050000}"/>
    <cellStyle name="20% - Ênfase5 9" xfId="1399" xr:uid="{00000000-0005-0000-0000-000073050000}"/>
    <cellStyle name="20% - Ênfase5 9 2" xfId="1400" xr:uid="{00000000-0005-0000-0000-000074050000}"/>
    <cellStyle name="20% - Ênfase5 9 2 2" xfId="1401" xr:uid="{00000000-0005-0000-0000-000075050000}"/>
    <cellStyle name="20% - Ênfase5 9 2 2 2" xfId="1402" xr:uid="{00000000-0005-0000-0000-000076050000}"/>
    <cellStyle name="20% - Ênfase5 9 2 3" xfId="1403" xr:uid="{00000000-0005-0000-0000-000077050000}"/>
    <cellStyle name="20% - Ênfase5 9 3" xfId="1404" xr:uid="{00000000-0005-0000-0000-000078050000}"/>
    <cellStyle name="20% - Ênfase5 9 3 2" xfId="1405" xr:uid="{00000000-0005-0000-0000-000079050000}"/>
    <cellStyle name="20% - Ênfase5 9 4" xfId="1406" xr:uid="{00000000-0005-0000-0000-00007A050000}"/>
    <cellStyle name="20% - Ênfase5 9 4 2" xfId="1407" xr:uid="{00000000-0005-0000-0000-00007B050000}"/>
    <cellStyle name="20% - Ênfase5 9 5" xfId="1408" xr:uid="{00000000-0005-0000-0000-00007C050000}"/>
    <cellStyle name="20% - Ênfase6 10" xfId="1409" xr:uid="{00000000-0005-0000-0000-00007D050000}"/>
    <cellStyle name="20% - Ênfase6 10 2" xfId="1410" xr:uid="{00000000-0005-0000-0000-00007E050000}"/>
    <cellStyle name="20% - Ênfase6 10 2 2" xfId="1411" xr:uid="{00000000-0005-0000-0000-00007F050000}"/>
    <cellStyle name="20% - Ênfase6 10 2 2 2" xfId="1412" xr:uid="{00000000-0005-0000-0000-000080050000}"/>
    <cellStyle name="20% - Ênfase6 10 2 3" xfId="1413" xr:uid="{00000000-0005-0000-0000-000081050000}"/>
    <cellStyle name="20% - Ênfase6 10 3" xfId="1414" xr:uid="{00000000-0005-0000-0000-000082050000}"/>
    <cellStyle name="20% - Ênfase6 10 3 2" xfId="1415" xr:uid="{00000000-0005-0000-0000-000083050000}"/>
    <cellStyle name="20% - Ênfase6 10 4" xfId="1416" xr:uid="{00000000-0005-0000-0000-000084050000}"/>
    <cellStyle name="20% - Ênfase6 10 4 2" xfId="1417" xr:uid="{00000000-0005-0000-0000-000085050000}"/>
    <cellStyle name="20% - Ênfase6 10 5" xfId="1418" xr:uid="{00000000-0005-0000-0000-000086050000}"/>
    <cellStyle name="20% - Ênfase6 11" xfId="1419" xr:uid="{00000000-0005-0000-0000-000087050000}"/>
    <cellStyle name="20% - Ênfase6 11 2" xfId="1420" xr:uid="{00000000-0005-0000-0000-000088050000}"/>
    <cellStyle name="20% - Ênfase6 11 2 2" xfId="1421" xr:uid="{00000000-0005-0000-0000-000089050000}"/>
    <cellStyle name="20% - Ênfase6 11 2 2 2" xfId="1422" xr:uid="{00000000-0005-0000-0000-00008A050000}"/>
    <cellStyle name="20% - Ênfase6 11 2 3" xfId="1423" xr:uid="{00000000-0005-0000-0000-00008B050000}"/>
    <cellStyle name="20% - Ênfase6 11 3" xfId="1424" xr:uid="{00000000-0005-0000-0000-00008C050000}"/>
    <cellStyle name="20% - Ênfase6 11 3 2" xfId="1425" xr:uid="{00000000-0005-0000-0000-00008D050000}"/>
    <cellStyle name="20% - Ênfase6 11 4" xfId="1426" xr:uid="{00000000-0005-0000-0000-00008E050000}"/>
    <cellStyle name="20% - Ênfase6 11 4 2" xfId="1427" xr:uid="{00000000-0005-0000-0000-00008F050000}"/>
    <cellStyle name="20% - Ênfase6 11 5" xfId="1428" xr:uid="{00000000-0005-0000-0000-000090050000}"/>
    <cellStyle name="20% - Ênfase6 12" xfId="1429" xr:uid="{00000000-0005-0000-0000-000091050000}"/>
    <cellStyle name="20% - Ênfase6 12 2" xfId="1430" xr:uid="{00000000-0005-0000-0000-000092050000}"/>
    <cellStyle name="20% - Ênfase6 12 2 2" xfId="1431" xr:uid="{00000000-0005-0000-0000-000093050000}"/>
    <cellStyle name="20% - Ênfase6 12 2 2 2" xfId="1432" xr:uid="{00000000-0005-0000-0000-000094050000}"/>
    <cellStyle name="20% - Ênfase6 12 2 3" xfId="1433" xr:uid="{00000000-0005-0000-0000-000095050000}"/>
    <cellStyle name="20% - Ênfase6 12 3" xfId="1434" xr:uid="{00000000-0005-0000-0000-000096050000}"/>
    <cellStyle name="20% - Ênfase6 12 3 2" xfId="1435" xr:uid="{00000000-0005-0000-0000-000097050000}"/>
    <cellStyle name="20% - Ênfase6 12 4" xfId="1436" xr:uid="{00000000-0005-0000-0000-000098050000}"/>
    <cellStyle name="20% - Ênfase6 12 4 2" xfId="1437" xr:uid="{00000000-0005-0000-0000-000099050000}"/>
    <cellStyle name="20% - Ênfase6 12 5" xfId="1438" xr:uid="{00000000-0005-0000-0000-00009A050000}"/>
    <cellStyle name="20% - Ênfase6 13" xfId="1439" xr:uid="{00000000-0005-0000-0000-00009B050000}"/>
    <cellStyle name="20% - Ênfase6 13 2" xfId="1440" xr:uid="{00000000-0005-0000-0000-00009C050000}"/>
    <cellStyle name="20% - Ênfase6 13 2 2" xfId="1441" xr:uid="{00000000-0005-0000-0000-00009D050000}"/>
    <cellStyle name="20% - Ênfase6 13 2 2 2" xfId="1442" xr:uid="{00000000-0005-0000-0000-00009E050000}"/>
    <cellStyle name="20% - Ênfase6 13 2 3" xfId="1443" xr:uid="{00000000-0005-0000-0000-00009F050000}"/>
    <cellStyle name="20% - Ênfase6 13 3" xfId="1444" xr:uid="{00000000-0005-0000-0000-0000A0050000}"/>
    <cellStyle name="20% - Ênfase6 13 3 2" xfId="1445" xr:uid="{00000000-0005-0000-0000-0000A1050000}"/>
    <cellStyle name="20% - Ênfase6 13 4" xfId="1446" xr:uid="{00000000-0005-0000-0000-0000A2050000}"/>
    <cellStyle name="20% - Ênfase6 13 4 2" xfId="1447" xr:uid="{00000000-0005-0000-0000-0000A3050000}"/>
    <cellStyle name="20% - Ênfase6 13 5" xfId="1448" xr:uid="{00000000-0005-0000-0000-0000A4050000}"/>
    <cellStyle name="20% - Ênfase6 14" xfId="1449" xr:uid="{00000000-0005-0000-0000-0000A5050000}"/>
    <cellStyle name="20% - Ênfase6 14 2" xfId="1450" xr:uid="{00000000-0005-0000-0000-0000A6050000}"/>
    <cellStyle name="20% - Ênfase6 14 2 2" xfId="1451" xr:uid="{00000000-0005-0000-0000-0000A7050000}"/>
    <cellStyle name="20% - Ênfase6 14 2 2 2" xfId="1452" xr:uid="{00000000-0005-0000-0000-0000A8050000}"/>
    <cellStyle name="20% - Ênfase6 14 2 3" xfId="1453" xr:uid="{00000000-0005-0000-0000-0000A9050000}"/>
    <cellStyle name="20% - Ênfase6 14 3" xfId="1454" xr:uid="{00000000-0005-0000-0000-0000AA050000}"/>
    <cellStyle name="20% - Ênfase6 14 3 2" xfId="1455" xr:uid="{00000000-0005-0000-0000-0000AB050000}"/>
    <cellStyle name="20% - Ênfase6 14 4" xfId="1456" xr:uid="{00000000-0005-0000-0000-0000AC050000}"/>
    <cellStyle name="20% - Ênfase6 14 4 2" xfId="1457" xr:uid="{00000000-0005-0000-0000-0000AD050000}"/>
    <cellStyle name="20% - Ênfase6 14 5" xfId="1458" xr:uid="{00000000-0005-0000-0000-0000AE050000}"/>
    <cellStyle name="20% - Ênfase6 15" xfId="1459" xr:uid="{00000000-0005-0000-0000-0000AF050000}"/>
    <cellStyle name="20% - Ênfase6 15 2" xfId="1460" xr:uid="{00000000-0005-0000-0000-0000B0050000}"/>
    <cellStyle name="20% - Ênfase6 15 2 2" xfId="1461" xr:uid="{00000000-0005-0000-0000-0000B1050000}"/>
    <cellStyle name="20% - Ênfase6 15 2 2 2" xfId="1462" xr:uid="{00000000-0005-0000-0000-0000B2050000}"/>
    <cellStyle name="20% - Ênfase6 15 2 3" xfId="1463" xr:uid="{00000000-0005-0000-0000-0000B3050000}"/>
    <cellStyle name="20% - Ênfase6 15 3" xfId="1464" xr:uid="{00000000-0005-0000-0000-0000B4050000}"/>
    <cellStyle name="20% - Ênfase6 15 3 2" xfId="1465" xr:uid="{00000000-0005-0000-0000-0000B5050000}"/>
    <cellStyle name="20% - Ênfase6 15 4" xfId="1466" xr:uid="{00000000-0005-0000-0000-0000B6050000}"/>
    <cellStyle name="20% - Ênfase6 15 4 2" xfId="1467" xr:uid="{00000000-0005-0000-0000-0000B7050000}"/>
    <cellStyle name="20% - Ênfase6 15 5" xfId="1468" xr:uid="{00000000-0005-0000-0000-0000B8050000}"/>
    <cellStyle name="20% - Ênfase6 16" xfId="1469" xr:uid="{00000000-0005-0000-0000-0000B9050000}"/>
    <cellStyle name="20% - Ênfase6 16 2" xfId="1470" xr:uid="{00000000-0005-0000-0000-0000BA050000}"/>
    <cellStyle name="20% - Ênfase6 16 2 2" xfId="1471" xr:uid="{00000000-0005-0000-0000-0000BB050000}"/>
    <cellStyle name="20% - Ênfase6 16 2 2 2" xfId="1472" xr:uid="{00000000-0005-0000-0000-0000BC050000}"/>
    <cellStyle name="20% - Ênfase6 16 2 3" xfId="1473" xr:uid="{00000000-0005-0000-0000-0000BD050000}"/>
    <cellStyle name="20% - Ênfase6 16 3" xfId="1474" xr:uid="{00000000-0005-0000-0000-0000BE050000}"/>
    <cellStyle name="20% - Ênfase6 16 3 2" xfId="1475" xr:uid="{00000000-0005-0000-0000-0000BF050000}"/>
    <cellStyle name="20% - Ênfase6 16 4" xfId="1476" xr:uid="{00000000-0005-0000-0000-0000C0050000}"/>
    <cellStyle name="20% - Ênfase6 16 4 2" xfId="1477" xr:uid="{00000000-0005-0000-0000-0000C1050000}"/>
    <cellStyle name="20% - Ênfase6 16 5" xfId="1478" xr:uid="{00000000-0005-0000-0000-0000C2050000}"/>
    <cellStyle name="20% - Ênfase6 17" xfId="1479" xr:uid="{00000000-0005-0000-0000-0000C3050000}"/>
    <cellStyle name="20% - Ênfase6 17 2" xfId="1480" xr:uid="{00000000-0005-0000-0000-0000C4050000}"/>
    <cellStyle name="20% - Ênfase6 17 2 2" xfId="1481" xr:uid="{00000000-0005-0000-0000-0000C5050000}"/>
    <cellStyle name="20% - Ênfase6 17 2 2 2" xfId="1482" xr:uid="{00000000-0005-0000-0000-0000C6050000}"/>
    <cellStyle name="20% - Ênfase6 17 2 3" xfId="1483" xr:uid="{00000000-0005-0000-0000-0000C7050000}"/>
    <cellStyle name="20% - Ênfase6 17 3" xfId="1484" xr:uid="{00000000-0005-0000-0000-0000C8050000}"/>
    <cellStyle name="20% - Ênfase6 17 3 2" xfId="1485" xr:uid="{00000000-0005-0000-0000-0000C9050000}"/>
    <cellStyle name="20% - Ênfase6 17 4" xfId="1486" xr:uid="{00000000-0005-0000-0000-0000CA050000}"/>
    <cellStyle name="20% - Ênfase6 17 4 2" xfId="1487" xr:uid="{00000000-0005-0000-0000-0000CB050000}"/>
    <cellStyle name="20% - Ênfase6 17 5" xfId="1488" xr:uid="{00000000-0005-0000-0000-0000CC050000}"/>
    <cellStyle name="20% - Ênfase6 18" xfId="1489" xr:uid="{00000000-0005-0000-0000-0000CD050000}"/>
    <cellStyle name="20% - Ênfase6 18 2" xfId="1490" xr:uid="{00000000-0005-0000-0000-0000CE050000}"/>
    <cellStyle name="20% - Ênfase6 18 2 2" xfId="1491" xr:uid="{00000000-0005-0000-0000-0000CF050000}"/>
    <cellStyle name="20% - Ênfase6 18 2 2 2" xfId="1492" xr:uid="{00000000-0005-0000-0000-0000D0050000}"/>
    <cellStyle name="20% - Ênfase6 18 2 3" xfId="1493" xr:uid="{00000000-0005-0000-0000-0000D1050000}"/>
    <cellStyle name="20% - Ênfase6 18 3" xfId="1494" xr:uid="{00000000-0005-0000-0000-0000D2050000}"/>
    <cellStyle name="20% - Ênfase6 18 3 2" xfId="1495" xr:uid="{00000000-0005-0000-0000-0000D3050000}"/>
    <cellStyle name="20% - Ênfase6 18 4" xfId="1496" xr:uid="{00000000-0005-0000-0000-0000D4050000}"/>
    <cellStyle name="20% - Ênfase6 19" xfId="1497" xr:uid="{00000000-0005-0000-0000-0000D5050000}"/>
    <cellStyle name="20% - Ênfase6 19 2" xfId="1498" xr:uid="{00000000-0005-0000-0000-0000D6050000}"/>
    <cellStyle name="20% - Ênfase6 19 2 2" xfId="1499" xr:uid="{00000000-0005-0000-0000-0000D7050000}"/>
    <cellStyle name="20% - Ênfase6 19 2 2 2" xfId="1500" xr:uid="{00000000-0005-0000-0000-0000D8050000}"/>
    <cellStyle name="20% - Ênfase6 19 2 3" xfId="1501" xr:uid="{00000000-0005-0000-0000-0000D9050000}"/>
    <cellStyle name="20% - Ênfase6 19 3" xfId="1502" xr:uid="{00000000-0005-0000-0000-0000DA050000}"/>
    <cellStyle name="20% - Ênfase6 19 3 2" xfId="1503" xr:uid="{00000000-0005-0000-0000-0000DB050000}"/>
    <cellStyle name="20% - Ênfase6 19 4" xfId="1504" xr:uid="{00000000-0005-0000-0000-0000DC050000}"/>
    <cellStyle name="20% - Ênfase6 2" xfId="1505" xr:uid="{00000000-0005-0000-0000-0000DD050000}"/>
    <cellStyle name="20% - Ênfase6 2 2" xfId="1506" xr:uid="{00000000-0005-0000-0000-0000DE050000}"/>
    <cellStyle name="20% - Ênfase6 2 2 2" xfId="1507" xr:uid="{00000000-0005-0000-0000-0000DF050000}"/>
    <cellStyle name="20% - Ênfase6 2 2 2 2" xfId="1508" xr:uid="{00000000-0005-0000-0000-0000E0050000}"/>
    <cellStyle name="20% - Ênfase6 2 2 2 2 2" xfId="1509" xr:uid="{00000000-0005-0000-0000-0000E1050000}"/>
    <cellStyle name="20% - Ênfase6 2 2 2 3" xfId="1510" xr:uid="{00000000-0005-0000-0000-0000E2050000}"/>
    <cellStyle name="20% - Ênfase6 2 2 3" xfId="1511" xr:uid="{00000000-0005-0000-0000-0000E3050000}"/>
    <cellStyle name="20% - Ênfase6 2 2 3 2" xfId="1512" xr:uid="{00000000-0005-0000-0000-0000E4050000}"/>
    <cellStyle name="20% - Ênfase6 2 2 3 2 2" xfId="1513" xr:uid="{00000000-0005-0000-0000-0000E5050000}"/>
    <cellStyle name="20% - Ênfase6 2 2 3 3" xfId="1514" xr:uid="{00000000-0005-0000-0000-0000E6050000}"/>
    <cellStyle name="20% - Ênfase6 2 2 4" xfId="1515" xr:uid="{00000000-0005-0000-0000-0000E7050000}"/>
    <cellStyle name="20% - Ênfase6 2 2 4 2" xfId="1516" xr:uid="{00000000-0005-0000-0000-0000E8050000}"/>
    <cellStyle name="20% - Ênfase6 2 2 5" xfId="1517" xr:uid="{00000000-0005-0000-0000-0000E9050000}"/>
    <cellStyle name="20% - Ênfase6 2 3" xfId="1518" xr:uid="{00000000-0005-0000-0000-0000EA050000}"/>
    <cellStyle name="20% - Ênfase6 2 3 2" xfId="1519" xr:uid="{00000000-0005-0000-0000-0000EB050000}"/>
    <cellStyle name="20% - Ênfase6 2 3 2 2" xfId="1520" xr:uid="{00000000-0005-0000-0000-0000EC050000}"/>
    <cellStyle name="20% - Ênfase6 2 3 3" xfId="1521" xr:uid="{00000000-0005-0000-0000-0000ED050000}"/>
    <cellStyle name="20% - Ênfase6 2 4" xfId="1522" xr:uid="{00000000-0005-0000-0000-0000EE050000}"/>
    <cellStyle name="20% - Ênfase6 2 4 2" xfId="1523" xr:uid="{00000000-0005-0000-0000-0000EF050000}"/>
    <cellStyle name="20% - Ênfase6 2 4 2 2" xfId="1524" xr:uid="{00000000-0005-0000-0000-0000F0050000}"/>
    <cellStyle name="20% - Ênfase6 2 4 3" xfId="1525" xr:uid="{00000000-0005-0000-0000-0000F1050000}"/>
    <cellStyle name="20% - Ênfase6 2 5" xfId="1526" xr:uid="{00000000-0005-0000-0000-0000F2050000}"/>
    <cellStyle name="20% - Ênfase6 2 5 2" xfId="1527" xr:uid="{00000000-0005-0000-0000-0000F3050000}"/>
    <cellStyle name="20% - Ênfase6 2 6" xfId="1528" xr:uid="{00000000-0005-0000-0000-0000F4050000}"/>
    <cellStyle name="20% - Ênfase6 20" xfId="1529" xr:uid="{00000000-0005-0000-0000-0000F5050000}"/>
    <cellStyle name="20% - Ênfase6 20 2" xfId="1530" xr:uid="{00000000-0005-0000-0000-0000F6050000}"/>
    <cellStyle name="20% - Ênfase6 20 2 2" xfId="1531" xr:uid="{00000000-0005-0000-0000-0000F7050000}"/>
    <cellStyle name="20% - Ênfase6 20 2 2 2" xfId="1532" xr:uid="{00000000-0005-0000-0000-0000F8050000}"/>
    <cellStyle name="20% - Ênfase6 20 2 3" xfId="1533" xr:uid="{00000000-0005-0000-0000-0000F9050000}"/>
    <cellStyle name="20% - Ênfase6 20 3" xfId="1534" xr:uid="{00000000-0005-0000-0000-0000FA050000}"/>
    <cellStyle name="20% - Ênfase6 20 3 2" xfId="1535" xr:uid="{00000000-0005-0000-0000-0000FB050000}"/>
    <cellStyle name="20% - Ênfase6 20 4" xfId="1536" xr:uid="{00000000-0005-0000-0000-0000FC050000}"/>
    <cellStyle name="20% - Ênfase6 21" xfId="1537" xr:uid="{00000000-0005-0000-0000-0000FD050000}"/>
    <cellStyle name="20% - Ênfase6 21 2" xfId="1538" xr:uid="{00000000-0005-0000-0000-0000FE050000}"/>
    <cellStyle name="20% - Ênfase6 21 2 2" xfId="1539" xr:uid="{00000000-0005-0000-0000-0000FF050000}"/>
    <cellStyle name="20% - Ênfase6 21 2 2 2" xfId="1540" xr:uid="{00000000-0005-0000-0000-000000060000}"/>
    <cellStyle name="20% - Ênfase6 21 2 3" xfId="1541" xr:uid="{00000000-0005-0000-0000-000001060000}"/>
    <cellStyle name="20% - Ênfase6 21 3" xfId="1542" xr:uid="{00000000-0005-0000-0000-000002060000}"/>
    <cellStyle name="20% - Ênfase6 21 3 2" xfId="1543" xr:uid="{00000000-0005-0000-0000-000003060000}"/>
    <cellStyle name="20% - Ênfase6 21 4" xfId="1544" xr:uid="{00000000-0005-0000-0000-000004060000}"/>
    <cellStyle name="20% - Ênfase6 22" xfId="1545" xr:uid="{00000000-0005-0000-0000-000005060000}"/>
    <cellStyle name="20% - Ênfase6 22 2" xfId="1546" xr:uid="{00000000-0005-0000-0000-000006060000}"/>
    <cellStyle name="20% - Ênfase6 22 2 2" xfId="1547" xr:uid="{00000000-0005-0000-0000-000007060000}"/>
    <cellStyle name="20% - Ênfase6 22 2 2 2" xfId="1548" xr:uid="{00000000-0005-0000-0000-000008060000}"/>
    <cellStyle name="20% - Ênfase6 22 2 3" xfId="1549" xr:uid="{00000000-0005-0000-0000-000009060000}"/>
    <cellStyle name="20% - Ênfase6 22 3" xfId="1550" xr:uid="{00000000-0005-0000-0000-00000A060000}"/>
    <cellStyle name="20% - Ênfase6 22 3 2" xfId="1551" xr:uid="{00000000-0005-0000-0000-00000B060000}"/>
    <cellStyle name="20% - Ênfase6 22 4" xfId="1552" xr:uid="{00000000-0005-0000-0000-00000C060000}"/>
    <cellStyle name="20% - Ênfase6 23" xfId="1553" xr:uid="{00000000-0005-0000-0000-00000D060000}"/>
    <cellStyle name="20% - Ênfase6 23 2" xfId="1554" xr:uid="{00000000-0005-0000-0000-00000E060000}"/>
    <cellStyle name="20% - Ênfase6 23 2 2" xfId="1555" xr:uid="{00000000-0005-0000-0000-00000F060000}"/>
    <cellStyle name="20% - Ênfase6 23 2 2 2" xfId="1556" xr:uid="{00000000-0005-0000-0000-000010060000}"/>
    <cellStyle name="20% - Ênfase6 23 2 3" xfId="1557" xr:uid="{00000000-0005-0000-0000-000011060000}"/>
    <cellStyle name="20% - Ênfase6 23 3" xfId="1558" xr:uid="{00000000-0005-0000-0000-000012060000}"/>
    <cellStyle name="20% - Ênfase6 23 3 2" xfId="1559" xr:uid="{00000000-0005-0000-0000-000013060000}"/>
    <cellStyle name="20% - Ênfase6 23 4" xfId="1560" xr:uid="{00000000-0005-0000-0000-000014060000}"/>
    <cellStyle name="20% - Ênfase6 24" xfId="1561" xr:uid="{00000000-0005-0000-0000-000015060000}"/>
    <cellStyle name="20% - Ênfase6 24 2" xfId="1562" xr:uid="{00000000-0005-0000-0000-000016060000}"/>
    <cellStyle name="20% - Ênfase6 24 2 2" xfId="1563" xr:uid="{00000000-0005-0000-0000-000017060000}"/>
    <cellStyle name="20% - Ênfase6 24 2 2 2" xfId="1564" xr:uid="{00000000-0005-0000-0000-000018060000}"/>
    <cellStyle name="20% - Ênfase6 24 2 3" xfId="1565" xr:uid="{00000000-0005-0000-0000-000019060000}"/>
    <cellStyle name="20% - Ênfase6 24 3" xfId="1566" xr:uid="{00000000-0005-0000-0000-00001A060000}"/>
    <cellStyle name="20% - Ênfase6 24 3 2" xfId="1567" xr:uid="{00000000-0005-0000-0000-00001B060000}"/>
    <cellStyle name="20% - Ênfase6 24 4" xfId="1568" xr:uid="{00000000-0005-0000-0000-00001C060000}"/>
    <cellStyle name="20% - Ênfase6 25" xfId="1569" xr:uid="{00000000-0005-0000-0000-00001D060000}"/>
    <cellStyle name="20% - Ênfase6 25 2" xfId="1570" xr:uid="{00000000-0005-0000-0000-00001E060000}"/>
    <cellStyle name="20% - Ênfase6 25 2 2" xfId="1571" xr:uid="{00000000-0005-0000-0000-00001F060000}"/>
    <cellStyle name="20% - Ênfase6 25 2 2 2" xfId="1572" xr:uid="{00000000-0005-0000-0000-000020060000}"/>
    <cellStyle name="20% - Ênfase6 25 2 3" xfId="1573" xr:uid="{00000000-0005-0000-0000-000021060000}"/>
    <cellStyle name="20% - Ênfase6 25 3" xfId="1574" xr:uid="{00000000-0005-0000-0000-000022060000}"/>
    <cellStyle name="20% - Ênfase6 25 3 2" xfId="1575" xr:uid="{00000000-0005-0000-0000-000023060000}"/>
    <cellStyle name="20% - Ênfase6 25 4" xfId="1576" xr:uid="{00000000-0005-0000-0000-000024060000}"/>
    <cellStyle name="20% - Ênfase6 26" xfId="1577" xr:uid="{00000000-0005-0000-0000-000025060000}"/>
    <cellStyle name="20% - Ênfase6 26 2" xfId="1578" xr:uid="{00000000-0005-0000-0000-000026060000}"/>
    <cellStyle name="20% - Ênfase6 26 2 2" xfId="1579" xr:uid="{00000000-0005-0000-0000-000027060000}"/>
    <cellStyle name="20% - Ênfase6 26 2 2 2" xfId="1580" xr:uid="{00000000-0005-0000-0000-000028060000}"/>
    <cellStyle name="20% - Ênfase6 26 2 3" xfId="1581" xr:uid="{00000000-0005-0000-0000-000029060000}"/>
    <cellStyle name="20% - Ênfase6 26 3" xfId="1582" xr:uid="{00000000-0005-0000-0000-00002A060000}"/>
    <cellStyle name="20% - Ênfase6 26 3 2" xfId="1583" xr:uid="{00000000-0005-0000-0000-00002B060000}"/>
    <cellStyle name="20% - Ênfase6 26 4" xfId="1584" xr:uid="{00000000-0005-0000-0000-00002C060000}"/>
    <cellStyle name="20% - Ênfase6 27" xfId="1585" xr:uid="{00000000-0005-0000-0000-00002D060000}"/>
    <cellStyle name="20% - Ênfase6 27 2" xfId="1586" xr:uid="{00000000-0005-0000-0000-00002E060000}"/>
    <cellStyle name="20% - Ênfase6 27 2 2" xfId="1587" xr:uid="{00000000-0005-0000-0000-00002F060000}"/>
    <cellStyle name="20% - Ênfase6 27 3" xfId="1588" xr:uid="{00000000-0005-0000-0000-000030060000}"/>
    <cellStyle name="20% - Ênfase6 28" xfId="1589" xr:uid="{00000000-0005-0000-0000-000031060000}"/>
    <cellStyle name="20% - Ênfase6 28 2" xfId="1590" xr:uid="{00000000-0005-0000-0000-000032060000}"/>
    <cellStyle name="20% - Ênfase6 28 2 2" xfId="1591" xr:uid="{00000000-0005-0000-0000-000033060000}"/>
    <cellStyle name="20% - Ênfase6 28 3" xfId="1592" xr:uid="{00000000-0005-0000-0000-000034060000}"/>
    <cellStyle name="20% - Ênfase6 29" xfId="1593" xr:uid="{00000000-0005-0000-0000-000035060000}"/>
    <cellStyle name="20% - Ênfase6 29 2" xfId="1594" xr:uid="{00000000-0005-0000-0000-000036060000}"/>
    <cellStyle name="20% - Ênfase6 29 2 2" xfId="1595" xr:uid="{00000000-0005-0000-0000-000037060000}"/>
    <cellStyle name="20% - Ênfase6 29 3" xfId="1596" xr:uid="{00000000-0005-0000-0000-000038060000}"/>
    <cellStyle name="20% - Ênfase6 3" xfId="1597" xr:uid="{00000000-0005-0000-0000-000039060000}"/>
    <cellStyle name="20% - Ênfase6 3 2" xfId="1598" xr:uid="{00000000-0005-0000-0000-00003A060000}"/>
    <cellStyle name="20% - Ênfase6 3 2 2" xfId="1599" xr:uid="{00000000-0005-0000-0000-00003B060000}"/>
    <cellStyle name="20% - Ênfase6 3 2 2 2" xfId="1600" xr:uid="{00000000-0005-0000-0000-00003C060000}"/>
    <cellStyle name="20% - Ênfase6 3 2 3" xfId="1601" xr:uid="{00000000-0005-0000-0000-00003D060000}"/>
    <cellStyle name="20% - Ênfase6 3 3" xfId="1602" xr:uid="{00000000-0005-0000-0000-00003E060000}"/>
    <cellStyle name="20% - Ênfase6 3 3 2" xfId="1603" xr:uid="{00000000-0005-0000-0000-00003F060000}"/>
    <cellStyle name="20% - Ênfase6 3 4" xfId="1604" xr:uid="{00000000-0005-0000-0000-000040060000}"/>
    <cellStyle name="20% - Ênfase6 3 4 2" xfId="1605" xr:uid="{00000000-0005-0000-0000-000041060000}"/>
    <cellStyle name="20% - Ênfase6 3 5" xfId="1606" xr:uid="{00000000-0005-0000-0000-000042060000}"/>
    <cellStyle name="20% - Ênfase6 3 5 2" xfId="1607" xr:uid="{00000000-0005-0000-0000-000043060000}"/>
    <cellStyle name="20% - Ênfase6 3 6" xfId="1608" xr:uid="{00000000-0005-0000-0000-000044060000}"/>
    <cellStyle name="20% - Ênfase6 30" xfId="1609" xr:uid="{00000000-0005-0000-0000-000045060000}"/>
    <cellStyle name="20% - Ênfase6 30 2" xfId="1610" xr:uid="{00000000-0005-0000-0000-000046060000}"/>
    <cellStyle name="20% - Ênfase6 30 2 2" xfId="1611" xr:uid="{00000000-0005-0000-0000-000047060000}"/>
    <cellStyle name="20% - Ênfase6 30 3" xfId="1612" xr:uid="{00000000-0005-0000-0000-000048060000}"/>
    <cellStyle name="20% - Ênfase6 31" xfId="1613" xr:uid="{00000000-0005-0000-0000-000049060000}"/>
    <cellStyle name="20% - Ênfase6 31 2" xfId="1614" xr:uid="{00000000-0005-0000-0000-00004A060000}"/>
    <cellStyle name="20% - Ênfase6 32" xfId="1615" xr:uid="{00000000-0005-0000-0000-00004B060000}"/>
    <cellStyle name="20% - Ênfase6 32 2" xfId="1616" xr:uid="{00000000-0005-0000-0000-00004C060000}"/>
    <cellStyle name="20% - Ênfase6 33" xfId="1617" xr:uid="{00000000-0005-0000-0000-00004D060000}"/>
    <cellStyle name="20% - Ênfase6 33 2" xfId="1618" xr:uid="{00000000-0005-0000-0000-00004E060000}"/>
    <cellStyle name="20% - Ênfase6 34" xfId="1619" xr:uid="{00000000-0005-0000-0000-00004F060000}"/>
    <cellStyle name="20% - Ênfase6 35" xfId="1620" xr:uid="{00000000-0005-0000-0000-000050060000}"/>
    <cellStyle name="20% - Ênfase6 4" xfId="1621" xr:uid="{00000000-0005-0000-0000-000051060000}"/>
    <cellStyle name="20% - Ênfase6 4 2" xfId="1622" xr:uid="{00000000-0005-0000-0000-000052060000}"/>
    <cellStyle name="20% - Ênfase6 4 2 2" xfId="1623" xr:uid="{00000000-0005-0000-0000-000053060000}"/>
    <cellStyle name="20% - Ênfase6 4 2 2 2" xfId="1624" xr:uid="{00000000-0005-0000-0000-000054060000}"/>
    <cellStyle name="20% - Ênfase6 4 2 3" xfId="1625" xr:uid="{00000000-0005-0000-0000-000055060000}"/>
    <cellStyle name="20% - Ênfase6 4 3" xfId="1626" xr:uid="{00000000-0005-0000-0000-000056060000}"/>
    <cellStyle name="20% - Ênfase6 4 3 2" xfId="1627" xr:uid="{00000000-0005-0000-0000-000057060000}"/>
    <cellStyle name="20% - Ênfase6 4 4" xfId="1628" xr:uid="{00000000-0005-0000-0000-000058060000}"/>
    <cellStyle name="20% - Ênfase6 4 4 2" xfId="1629" xr:uid="{00000000-0005-0000-0000-000059060000}"/>
    <cellStyle name="20% - Ênfase6 4 5" xfId="1630" xr:uid="{00000000-0005-0000-0000-00005A060000}"/>
    <cellStyle name="20% - Ênfase6 4 5 2" xfId="1631" xr:uid="{00000000-0005-0000-0000-00005B060000}"/>
    <cellStyle name="20% - Ênfase6 4 6" xfId="1632" xr:uid="{00000000-0005-0000-0000-00005C060000}"/>
    <cellStyle name="20% - Ênfase6 5" xfId="1633" xr:uid="{00000000-0005-0000-0000-00005D060000}"/>
    <cellStyle name="20% - Ênfase6 5 2" xfId="1634" xr:uid="{00000000-0005-0000-0000-00005E060000}"/>
    <cellStyle name="20% - Ênfase6 5 2 2" xfId="1635" xr:uid="{00000000-0005-0000-0000-00005F060000}"/>
    <cellStyle name="20% - Ênfase6 5 2 2 2" xfId="1636" xr:uid="{00000000-0005-0000-0000-000060060000}"/>
    <cellStyle name="20% - Ênfase6 5 2 3" xfId="1637" xr:uid="{00000000-0005-0000-0000-000061060000}"/>
    <cellStyle name="20% - Ênfase6 5 3" xfId="1638" xr:uid="{00000000-0005-0000-0000-000062060000}"/>
    <cellStyle name="20% - Ênfase6 5 3 2" xfId="1639" xr:uid="{00000000-0005-0000-0000-000063060000}"/>
    <cellStyle name="20% - Ênfase6 5 4" xfId="1640" xr:uid="{00000000-0005-0000-0000-000064060000}"/>
    <cellStyle name="20% - Ênfase6 5 4 2" xfId="1641" xr:uid="{00000000-0005-0000-0000-000065060000}"/>
    <cellStyle name="20% - Ênfase6 5 5" xfId="1642" xr:uid="{00000000-0005-0000-0000-000066060000}"/>
    <cellStyle name="20% - Ênfase6 5 5 2" xfId="1643" xr:uid="{00000000-0005-0000-0000-000067060000}"/>
    <cellStyle name="20% - Ênfase6 5 6" xfId="1644" xr:uid="{00000000-0005-0000-0000-000068060000}"/>
    <cellStyle name="20% - Ênfase6 6" xfId="1645" xr:uid="{00000000-0005-0000-0000-000069060000}"/>
    <cellStyle name="20% - Ênfase6 6 2" xfId="1646" xr:uid="{00000000-0005-0000-0000-00006A060000}"/>
    <cellStyle name="20% - Ênfase6 6 2 2" xfId="1647" xr:uid="{00000000-0005-0000-0000-00006B060000}"/>
    <cellStyle name="20% - Ênfase6 6 2 2 2" xfId="1648" xr:uid="{00000000-0005-0000-0000-00006C060000}"/>
    <cellStyle name="20% - Ênfase6 6 2 3" xfId="1649" xr:uid="{00000000-0005-0000-0000-00006D060000}"/>
    <cellStyle name="20% - Ênfase6 6 3" xfId="1650" xr:uid="{00000000-0005-0000-0000-00006E060000}"/>
    <cellStyle name="20% - Ênfase6 6 3 2" xfId="1651" xr:uid="{00000000-0005-0000-0000-00006F060000}"/>
    <cellStyle name="20% - Ênfase6 6 4" xfId="1652" xr:uid="{00000000-0005-0000-0000-000070060000}"/>
    <cellStyle name="20% - Ênfase6 6 4 2" xfId="1653" xr:uid="{00000000-0005-0000-0000-000071060000}"/>
    <cellStyle name="20% - Ênfase6 6 5" xfId="1654" xr:uid="{00000000-0005-0000-0000-000072060000}"/>
    <cellStyle name="20% - Ênfase6 6 5 2" xfId="1655" xr:uid="{00000000-0005-0000-0000-000073060000}"/>
    <cellStyle name="20% - Ênfase6 6 6" xfId="1656" xr:uid="{00000000-0005-0000-0000-000074060000}"/>
    <cellStyle name="20% - Ênfase6 7" xfId="1657" xr:uid="{00000000-0005-0000-0000-000075060000}"/>
    <cellStyle name="20% - Ênfase6 7 2" xfId="1658" xr:uid="{00000000-0005-0000-0000-000076060000}"/>
    <cellStyle name="20% - Ênfase6 7 2 2" xfId="1659" xr:uid="{00000000-0005-0000-0000-000077060000}"/>
    <cellStyle name="20% - Ênfase6 7 2 2 2" xfId="1660" xr:uid="{00000000-0005-0000-0000-000078060000}"/>
    <cellStyle name="20% - Ênfase6 7 2 3" xfId="1661" xr:uid="{00000000-0005-0000-0000-000079060000}"/>
    <cellStyle name="20% - Ênfase6 7 3" xfId="1662" xr:uid="{00000000-0005-0000-0000-00007A060000}"/>
    <cellStyle name="20% - Ênfase6 7 3 2" xfId="1663" xr:uid="{00000000-0005-0000-0000-00007B060000}"/>
    <cellStyle name="20% - Ênfase6 7 4" xfId="1664" xr:uid="{00000000-0005-0000-0000-00007C060000}"/>
    <cellStyle name="20% - Ênfase6 7 4 2" xfId="1665" xr:uid="{00000000-0005-0000-0000-00007D060000}"/>
    <cellStyle name="20% - Ênfase6 7 5" xfId="1666" xr:uid="{00000000-0005-0000-0000-00007E060000}"/>
    <cellStyle name="20% - Ênfase6 8" xfId="1667" xr:uid="{00000000-0005-0000-0000-00007F060000}"/>
    <cellStyle name="20% - Ênfase6 8 2" xfId="1668" xr:uid="{00000000-0005-0000-0000-000080060000}"/>
    <cellStyle name="20% - Ênfase6 8 2 2" xfId="1669" xr:uid="{00000000-0005-0000-0000-000081060000}"/>
    <cellStyle name="20% - Ênfase6 8 2 2 2" xfId="1670" xr:uid="{00000000-0005-0000-0000-000082060000}"/>
    <cellStyle name="20% - Ênfase6 8 2 3" xfId="1671" xr:uid="{00000000-0005-0000-0000-000083060000}"/>
    <cellStyle name="20% - Ênfase6 8 3" xfId="1672" xr:uid="{00000000-0005-0000-0000-000084060000}"/>
    <cellStyle name="20% - Ênfase6 8 3 2" xfId="1673" xr:uid="{00000000-0005-0000-0000-000085060000}"/>
    <cellStyle name="20% - Ênfase6 8 4" xfId="1674" xr:uid="{00000000-0005-0000-0000-000086060000}"/>
    <cellStyle name="20% - Ênfase6 8 4 2" xfId="1675" xr:uid="{00000000-0005-0000-0000-000087060000}"/>
    <cellStyle name="20% - Ênfase6 8 5" xfId="1676" xr:uid="{00000000-0005-0000-0000-000088060000}"/>
    <cellStyle name="20% - Ênfase6 9" xfId="1677" xr:uid="{00000000-0005-0000-0000-000089060000}"/>
    <cellStyle name="20% - Ênfase6 9 2" xfId="1678" xr:uid="{00000000-0005-0000-0000-00008A060000}"/>
    <cellStyle name="20% - Ênfase6 9 2 2" xfId="1679" xr:uid="{00000000-0005-0000-0000-00008B060000}"/>
    <cellStyle name="20% - Ênfase6 9 2 2 2" xfId="1680" xr:uid="{00000000-0005-0000-0000-00008C060000}"/>
    <cellStyle name="20% - Ênfase6 9 2 3" xfId="1681" xr:uid="{00000000-0005-0000-0000-00008D060000}"/>
    <cellStyle name="20% - Ênfase6 9 3" xfId="1682" xr:uid="{00000000-0005-0000-0000-00008E060000}"/>
    <cellStyle name="20% - Ênfase6 9 3 2" xfId="1683" xr:uid="{00000000-0005-0000-0000-00008F060000}"/>
    <cellStyle name="20% - Ênfase6 9 4" xfId="1684" xr:uid="{00000000-0005-0000-0000-000090060000}"/>
    <cellStyle name="20% - Ênfase6 9 4 2" xfId="1685" xr:uid="{00000000-0005-0000-0000-000091060000}"/>
    <cellStyle name="20% - Ênfase6 9 5" xfId="1686" xr:uid="{00000000-0005-0000-0000-000092060000}"/>
    <cellStyle name="20% - Énfasis1" xfId="1687" xr:uid="{00000000-0005-0000-0000-000093060000}"/>
    <cellStyle name="20% - Énfasis2" xfId="1688" xr:uid="{00000000-0005-0000-0000-000094060000}"/>
    <cellStyle name="20% - Énfasis3" xfId="1689" xr:uid="{00000000-0005-0000-0000-000095060000}"/>
    <cellStyle name="20% - Énfasis4" xfId="1690" xr:uid="{00000000-0005-0000-0000-000096060000}"/>
    <cellStyle name="20% - Énfasis5" xfId="1691" xr:uid="{00000000-0005-0000-0000-000097060000}"/>
    <cellStyle name="20% - Énfasis6" xfId="1692" xr:uid="{00000000-0005-0000-0000-000098060000}"/>
    <cellStyle name="40% - Accent1" xfId="1693" xr:uid="{00000000-0005-0000-0000-000099060000}"/>
    <cellStyle name="40% - Accent1 2" xfId="1694" xr:uid="{00000000-0005-0000-0000-00009A060000}"/>
    <cellStyle name="40% - Accent2" xfId="1695" xr:uid="{00000000-0005-0000-0000-00009B060000}"/>
    <cellStyle name="40% - Accent2 2" xfId="1696" xr:uid="{00000000-0005-0000-0000-00009C060000}"/>
    <cellStyle name="40% - Accent3" xfId="1697" xr:uid="{00000000-0005-0000-0000-00009D060000}"/>
    <cellStyle name="40% - Accent3 2" xfId="1698" xr:uid="{00000000-0005-0000-0000-00009E060000}"/>
    <cellStyle name="40% - Accent4" xfId="1699" xr:uid="{00000000-0005-0000-0000-00009F060000}"/>
    <cellStyle name="40% - Accent4 2" xfId="1700" xr:uid="{00000000-0005-0000-0000-0000A0060000}"/>
    <cellStyle name="40% - Accent5" xfId="1701" xr:uid="{00000000-0005-0000-0000-0000A1060000}"/>
    <cellStyle name="40% - Accent5 2" xfId="1702" xr:uid="{00000000-0005-0000-0000-0000A2060000}"/>
    <cellStyle name="40% - Accent6" xfId="1703" xr:uid="{00000000-0005-0000-0000-0000A3060000}"/>
    <cellStyle name="40% - Accent6 2" xfId="1704" xr:uid="{00000000-0005-0000-0000-0000A4060000}"/>
    <cellStyle name="40% - Ênfase1 10" xfId="1705" xr:uid="{00000000-0005-0000-0000-0000A5060000}"/>
    <cellStyle name="40% - Ênfase1 10 2" xfId="1706" xr:uid="{00000000-0005-0000-0000-0000A6060000}"/>
    <cellStyle name="40% - Ênfase1 10 2 2" xfId="1707" xr:uid="{00000000-0005-0000-0000-0000A7060000}"/>
    <cellStyle name="40% - Ênfase1 10 2 2 2" xfId="1708" xr:uid="{00000000-0005-0000-0000-0000A8060000}"/>
    <cellStyle name="40% - Ênfase1 10 2 3" xfId="1709" xr:uid="{00000000-0005-0000-0000-0000A9060000}"/>
    <cellStyle name="40% - Ênfase1 10 3" xfId="1710" xr:uid="{00000000-0005-0000-0000-0000AA060000}"/>
    <cellStyle name="40% - Ênfase1 10 3 2" xfId="1711" xr:uid="{00000000-0005-0000-0000-0000AB060000}"/>
    <cellStyle name="40% - Ênfase1 10 4" xfId="1712" xr:uid="{00000000-0005-0000-0000-0000AC060000}"/>
    <cellStyle name="40% - Ênfase1 10 4 2" xfId="1713" xr:uid="{00000000-0005-0000-0000-0000AD060000}"/>
    <cellStyle name="40% - Ênfase1 10 5" xfId="1714" xr:uid="{00000000-0005-0000-0000-0000AE060000}"/>
    <cellStyle name="40% - Ênfase1 11" xfId="1715" xr:uid="{00000000-0005-0000-0000-0000AF060000}"/>
    <cellStyle name="40% - Ênfase1 11 2" xfId="1716" xr:uid="{00000000-0005-0000-0000-0000B0060000}"/>
    <cellStyle name="40% - Ênfase1 11 2 2" xfId="1717" xr:uid="{00000000-0005-0000-0000-0000B1060000}"/>
    <cellStyle name="40% - Ênfase1 11 2 2 2" xfId="1718" xr:uid="{00000000-0005-0000-0000-0000B2060000}"/>
    <cellStyle name="40% - Ênfase1 11 2 3" xfId="1719" xr:uid="{00000000-0005-0000-0000-0000B3060000}"/>
    <cellStyle name="40% - Ênfase1 11 3" xfId="1720" xr:uid="{00000000-0005-0000-0000-0000B4060000}"/>
    <cellStyle name="40% - Ênfase1 11 3 2" xfId="1721" xr:uid="{00000000-0005-0000-0000-0000B5060000}"/>
    <cellStyle name="40% - Ênfase1 11 4" xfId="1722" xr:uid="{00000000-0005-0000-0000-0000B6060000}"/>
    <cellStyle name="40% - Ênfase1 11 4 2" xfId="1723" xr:uid="{00000000-0005-0000-0000-0000B7060000}"/>
    <cellStyle name="40% - Ênfase1 11 5" xfId="1724" xr:uid="{00000000-0005-0000-0000-0000B8060000}"/>
    <cellStyle name="40% - Ênfase1 12" xfId="1725" xr:uid="{00000000-0005-0000-0000-0000B9060000}"/>
    <cellStyle name="40% - Ênfase1 12 2" xfId="1726" xr:uid="{00000000-0005-0000-0000-0000BA060000}"/>
    <cellStyle name="40% - Ênfase1 12 2 2" xfId="1727" xr:uid="{00000000-0005-0000-0000-0000BB060000}"/>
    <cellStyle name="40% - Ênfase1 12 2 2 2" xfId="1728" xr:uid="{00000000-0005-0000-0000-0000BC060000}"/>
    <cellStyle name="40% - Ênfase1 12 2 3" xfId="1729" xr:uid="{00000000-0005-0000-0000-0000BD060000}"/>
    <cellStyle name="40% - Ênfase1 12 3" xfId="1730" xr:uid="{00000000-0005-0000-0000-0000BE060000}"/>
    <cellStyle name="40% - Ênfase1 12 3 2" xfId="1731" xr:uid="{00000000-0005-0000-0000-0000BF060000}"/>
    <cellStyle name="40% - Ênfase1 12 4" xfId="1732" xr:uid="{00000000-0005-0000-0000-0000C0060000}"/>
    <cellStyle name="40% - Ênfase1 12 4 2" xfId="1733" xr:uid="{00000000-0005-0000-0000-0000C1060000}"/>
    <cellStyle name="40% - Ênfase1 12 5" xfId="1734" xr:uid="{00000000-0005-0000-0000-0000C2060000}"/>
    <cellStyle name="40% - Ênfase1 13" xfId="1735" xr:uid="{00000000-0005-0000-0000-0000C3060000}"/>
    <cellStyle name="40% - Ênfase1 13 2" xfId="1736" xr:uid="{00000000-0005-0000-0000-0000C4060000}"/>
    <cellStyle name="40% - Ênfase1 13 2 2" xfId="1737" xr:uid="{00000000-0005-0000-0000-0000C5060000}"/>
    <cellStyle name="40% - Ênfase1 13 2 2 2" xfId="1738" xr:uid="{00000000-0005-0000-0000-0000C6060000}"/>
    <cellStyle name="40% - Ênfase1 13 2 3" xfId="1739" xr:uid="{00000000-0005-0000-0000-0000C7060000}"/>
    <cellStyle name="40% - Ênfase1 13 3" xfId="1740" xr:uid="{00000000-0005-0000-0000-0000C8060000}"/>
    <cellStyle name="40% - Ênfase1 13 3 2" xfId="1741" xr:uid="{00000000-0005-0000-0000-0000C9060000}"/>
    <cellStyle name="40% - Ênfase1 13 4" xfId="1742" xr:uid="{00000000-0005-0000-0000-0000CA060000}"/>
    <cellStyle name="40% - Ênfase1 13 4 2" xfId="1743" xr:uid="{00000000-0005-0000-0000-0000CB060000}"/>
    <cellStyle name="40% - Ênfase1 13 5" xfId="1744" xr:uid="{00000000-0005-0000-0000-0000CC060000}"/>
    <cellStyle name="40% - Ênfase1 14" xfId="1745" xr:uid="{00000000-0005-0000-0000-0000CD060000}"/>
    <cellStyle name="40% - Ênfase1 14 2" xfId="1746" xr:uid="{00000000-0005-0000-0000-0000CE060000}"/>
    <cellStyle name="40% - Ênfase1 14 2 2" xfId="1747" xr:uid="{00000000-0005-0000-0000-0000CF060000}"/>
    <cellStyle name="40% - Ênfase1 14 2 2 2" xfId="1748" xr:uid="{00000000-0005-0000-0000-0000D0060000}"/>
    <cellStyle name="40% - Ênfase1 14 2 3" xfId="1749" xr:uid="{00000000-0005-0000-0000-0000D1060000}"/>
    <cellStyle name="40% - Ênfase1 14 3" xfId="1750" xr:uid="{00000000-0005-0000-0000-0000D2060000}"/>
    <cellStyle name="40% - Ênfase1 14 3 2" xfId="1751" xr:uid="{00000000-0005-0000-0000-0000D3060000}"/>
    <cellStyle name="40% - Ênfase1 14 4" xfId="1752" xr:uid="{00000000-0005-0000-0000-0000D4060000}"/>
    <cellStyle name="40% - Ênfase1 14 4 2" xfId="1753" xr:uid="{00000000-0005-0000-0000-0000D5060000}"/>
    <cellStyle name="40% - Ênfase1 14 5" xfId="1754" xr:uid="{00000000-0005-0000-0000-0000D6060000}"/>
    <cellStyle name="40% - Ênfase1 15" xfId="1755" xr:uid="{00000000-0005-0000-0000-0000D7060000}"/>
    <cellStyle name="40% - Ênfase1 15 2" xfId="1756" xr:uid="{00000000-0005-0000-0000-0000D8060000}"/>
    <cellStyle name="40% - Ênfase1 15 2 2" xfId="1757" xr:uid="{00000000-0005-0000-0000-0000D9060000}"/>
    <cellStyle name="40% - Ênfase1 15 2 2 2" xfId="1758" xr:uid="{00000000-0005-0000-0000-0000DA060000}"/>
    <cellStyle name="40% - Ênfase1 15 2 3" xfId="1759" xr:uid="{00000000-0005-0000-0000-0000DB060000}"/>
    <cellStyle name="40% - Ênfase1 15 3" xfId="1760" xr:uid="{00000000-0005-0000-0000-0000DC060000}"/>
    <cellStyle name="40% - Ênfase1 15 3 2" xfId="1761" xr:uid="{00000000-0005-0000-0000-0000DD060000}"/>
    <cellStyle name="40% - Ênfase1 15 4" xfId="1762" xr:uid="{00000000-0005-0000-0000-0000DE060000}"/>
    <cellStyle name="40% - Ênfase1 15 4 2" xfId="1763" xr:uid="{00000000-0005-0000-0000-0000DF060000}"/>
    <cellStyle name="40% - Ênfase1 15 5" xfId="1764" xr:uid="{00000000-0005-0000-0000-0000E0060000}"/>
    <cellStyle name="40% - Ênfase1 16" xfId="1765" xr:uid="{00000000-0005-0000-0000-0000E1060000}"/>
    <cellStyle name="40% - Ênfase1 16 2" xfId="1766" xr:uid="{00000000-0005-0000-0000-0000E2060000}"/>
    <cellStyle name="40% - Ênfase1 16 2 2" xfId="1767" xr:uid="{00000000-0005-0000-0000-0000E3060000}"/>
    <cellStyle name="40% - Ênfase1 16 2 2 2" xfId="1768" xr:uid="{00000000-0005-0000-0000-0000E4060000}"/>
    <cellStyle name="40% - Ênfase1 16 2 3" xfId="1769" xr:uid="{00000000-0005-0000-0000-0000E5060000}"/>
    <cellStyle name="40% - Ênfase1 16 3" xfId="1770" xr:uid="{00000000-0005-0000-0000-0000E6060000}"/>
    <cellStyle name="40% - Ênfase1 16 3 2" xfId="1771" xr:uid="{00000000-0005-0000-0000-0000E7060000}"/>
    <cellStyle name="40% - Ênfase1 16 4" xfId="1772" xr:uid="{00000000-0005-0000-0000-0000E8060000}"/>
    <cellStyle name="40% - Ênfase1 16 4 2" xfId="1773" xr:uid="{00000000-0005-0000-0000-0000E9060000}"/>
    <cellStyle name="40% - Ênfase1 16 5" xfId="1774" xr:uid="{00000000-0005-0000-0000-0000EA060000}"/>
    <cellStyle name="40% - Ênfase1 17" xfId="1775" xr:uid="{00000000-0005-0000-0000-0000EB060000}"/>
    <cellStyle name="40% - Ênfase1 17 2" xfId="1776" xr:uid="{00000000-0005-0000-0000-0000EC060000}"/>
    <cellStyle name="40% - Ênfase1 17 2 2" xfId="1777" xr:uid="{00000000-0005-0000-0000-0000ED060000}"/>
    <cellStyle name="40% - Ênfase1 17 2 2 2" xfId="1778" xr:uid="{00000000-0005-0000-0000-0000EE060000}"/>
    <cellStyle name="40% - Ênfase1 17 2 3" xfId="1779" xr:uid="{00000000-0005-0000-0000-0000EF060000}"/>
    <cellStyle name="40% - Ênfase1 17 3" xfId="1780" xr:uid="{00000000-0005-0000-0000-0000F0060000}"/>
    <cellStyle name="40% - Ênfase1 17 3 2" xfId="1781" xr:uid="{00000000-0005-0000-0000-0000F1060000}"/>
    <cellStyle name="40% - Ênfase1 17 4" xfId="1782" xr:uid="{00000000-0005-0000-0000-0000F2060000}"/>
    <cellStyle name="40% - Ênfase1 17 4 2" xfId="1783" xr:uid="{00000000-0005-0000-0000-0000F3060000}"/>
    <cellStyle name="40% - Ênfase1 17 5" xfId="1784" xr:uid="{00000000-0005-0000-0000-0000F4060000}"/>
    <cellStyle name="40% - Ênfase1 18" xfId="1785" xr:uid="{00000000-0005-0000-0000-0000F5060000}"/>
    <cellStyle name="40% - Ênfase1 18 2" xfId="1786" xr:uid="{00000000-0005-0000-0000-0000F6060000}"/>
    <cellStyle name="40% - Ênfase1 18 2 2" xfId="1787" xr:uid="{00000000-0005-0000-0000-0000F7060000}"/>
    <cellStyle name="40% - Ênfase1 18 2 2 2" xfId="1788" xr:uid="{00000000-0005-0000-0000-0000F8060000}"/>
    <cellStyle name="40% - Ênfase1 18 2 3" xfId="1789" xr:uid="{00000000-0005-0000-0000-0000F9060000}"/>
    <cellStyle name="40% - Ênfase1 18 3" xfId="1790" xr:uid="{00000000-0005-0000-0000-0000FA060000}"/>
    <cellStyle name="40% - Ênfase1 18 3 2" xfId="1791" xr:uid="{00000000-0005-0000-0000-0000FB060000}"/>
    <cellStyle name="40% - Ênfase1 18 4" xfId="1792" xr:uid="{00000000-0005-0000-0000-0000FC060000}"/>
    <cellStyle name="40% - Ênfase1 19" xfId="1793" xr:uid="{00000000-0005-0000-0000-0000FD060000}"/>
    <cellStyle name="40% - Ênfase1 19 2" xfId="1794" xr:uid="{00000000-0005-0000-0000-0000FE060000}"/>
    <cellStyle name="40% - Ênfase1 19 2 2" xfId="1795" xr:uid="{00000000-0005-0000-0000-0000FF060000}"/>
    <cellStyle name="40% - Ênfase1 19 2 2 2" xfId="1796" xr:uid="{00000000-0005-0000-0000-000000070000}"/>
    <cellStyle name="40% - Ênfase1 19 2 3" xfId="1797" xr:uid="{00000000-0005-0000-0000-000001070000}"/>
    <cellStyle name="40% - Ênfase1 19 3" xfId="1798" xr:uid="{00000000-0005-0000-0000-000002070000}"/>
    <cellStyle name="40% - Ênfase1 19 3 2" xfId="1799" xr:uid="{00000000-0005-0000-0000-000003070000}"/>
    <cellStyle name="40% - Ênfase1 19 4" xfId="1800" xr:uid="{00000000-0005-0000-0000-000004070000}"/>
    <cellStyle name="40% - Ênfase1 2" xfId="1801" xr:uid="{00000000-0005-0000-0000-000005070000}"/>
    <cellStyle name="40% - Ênfase1 2 2" xfId="1802" xr:uid="{00000000-0005-0000-0000-000006070000}"/>
    <cellStyle name="40% - Ênfase1 2 2 2" xfId="1803" xr:uid="{00000000-0005-0000-0000-000007070000}"/>
    <cellStyle name="40% - Ênfase1 2 2 2 2" xfId="1804" xr:uid="{00000000-0005-0000-0000-000008070000}"/>
    <cellStyle name="40% - Ênfase1 2 2 2 2 2" xfId="1805" xr:uid="{00000000-0005-0000-0000-000009070000}"/>
    <cellStyle name="40% - Ênfase1 2 2 2 3" xfId="1806" xr:uid="{00000000-0005-0000-0000-00000A070000}"/>
    <cellStyle name="40% - Ênfase1 2 2 3" xfId="1807" xr:uid="{00000000-0005-0000-0000-00000B070000}"/>
    <cellStyle name="40% - Ênfase1 2 2 3 2" xfId="1808" xr:uid="{00000000-0005-0000-0000-00000C070000}"/>
    <cellStyle name="40% - Ênfase1 2 2 3 2 2" xfId="1809" xr:uid="{00000000-0005-0000-0000-00000D070000}"/>
    <cellStyle name="40% - Ênfase1 2 2 3 3" xfId="1810" xr:uid="{00000000-0005-0000-0000-00000E070000}"/>
    <cellStyle name="40% - Ênfase1 2 2 4" xfId="1811" xr:uid="{00000000-0005-0000-0000-00000F070000}"/>
    <cellStyle name="40% - Ênfase1 2 2 4 2" xfId="1812" xr:uid="{00000000-0005-0000-0000-000010070000}"/>
    <cellStyle name="40% - Ênfase1 2 2 5" xfId="1813" xr:uid="{00000000-0005-0000-0000-000011070000}"/>
    <cellStyle name="40% - Ênfase1 2 3" xfId="1814" xr:uid="{00000000-0005-0000-0000-000012070000}"/>
    <cellStyle name="40% - Ênfase1 2 3 2" xfId="1815" xr:uid="{00000000-0005-0000-0000-000013070000}"/>
    <cellStyle name="40% - Ênfase1 2 3 2 2" xfId="1816" xr:uid="{00000000-0005-0000-0000-000014070000}"/>
    <cellStyle name="40% - Ênfase1 2 3 3" xfId="1817" xr:uid="{00000000-0005-0000-0000-000015070000}"/>
    <cellStyle name="40% - Ênfase1 2 4" xfId="1818" xr:uid="{00000000-0005-0000-0000-000016070000}"/>
    <cellStyle name="40% - Ênfase1 2 4 2" xfId="1819" xr:uid="{00000000-0005-0000-0000-000017070000}"/>
    <cellStyle name="40% - Ênfase1 2 4 2 2" xfId="1820" xr:uid="{00000000-0005-0000-0000-000018070000}"/>
    <cellStyle name="40% - Ênfase1 2 4 3" xfId="1821" xr:uid="{00000000-0005-0000-0000-000019070000}"/>
    <cellStyle name="40% - Ênfase1 2 5" xfId="1822" xr:uid="{00000000-0005-0000-0000-00001A070000}"/>
    <cellStyle name="40% - Ênfase1 2 5 2" xfId="1823" xr:uid="{00000000-0005-0000-0000-00001B070000}"/>
    <cellStyle name="40% - Ênfase1 2 6" xfId="1824" xr:uid="{00000000-0005-0000-0000-00001C070000}"/>
    <cellStyle name="40% - Ênfase1 20" xfId="1825" xr:uid="{00000000-0005-0000-0000-00001D070000}"/>
    <cellStyle name="40% - Ênfase1 20 2" xfId="1826" xr:uid="{00000000-0005-0000-0000-00001E070000}"/>
    <cellStyle name="40% - Ênfase1 20 2 2" xfId="1827" xr:uid="{00000000-0005-0000-0000-00001F070000}"/>
    <cellStyle name="40% - Ênfase1 20 2 2 2" xfId="1828" xr:uid="{00000000-0005-0000-0000-000020070000}"/>
    <cellStyle name="40% - Ênfase1 20 2 3" xfId="1829" xr:uid="{00000000-0005-0000-0000-000021070000}"/>
    <cellStyle name="40% - Ênfase1 20 3" xfId="1830" xr:uid="{00000000-0005-0000-0000-000022070000}"/>
    <cellStyle name="40% - Ênfase1 20 3 2" xfId="1831" xr:uid="{00000000-0005-0000-0000-000023070000}"/>
    <cellStyle name="40% - Ênfase1 20 4" xfId="1832" xr:uid="{00000000-0005-0000-0000-000024070000}"/>
    <cellStyle name="40% - Ênfase1 21" xfId="1833" xr:uid="{00000000-0005-0000-0000-000025070000}"/>
    <cellStyle name="40% - Ênfase1 21 2" xfId="1834" xr:uid="{00000000-0005-0000-0000-000026070000}"/>
    <cellStyle name="40% - Ênfase1 21 2 2" xfId="1835" xr:uid="{00000000-0005-0000-0000-000027070000}"/>
    <cellStyle name="40% - Ênfase1 21 2 2 2" xfId="1836" xr:uid="{00000000-0005-0000-0000-000028070000}"/>
    <cellStyle name="40% - Ênfase1 21 2 3" xfId="1837" xr:uid="{00000000-0005-0000-0000-000029070000}"/>
    <cellStyle name="40% - Ênfase1 21 3" xfId="1838" xr:uid="{00000000-0005-0000-0000-00002A070000}"/>
    <cellStyle name="40% - Ênfase1 21 3 2" xfId="1839" xr:uid="{00000000-0005-0000-0000-00002B070000}"/>
    <cellStyle name="40% - Ênfase1 21 4" xfId="1840" xr:uid="{00000000-0005-0000-0000-00002C070000}"/>
    <cellStyle name="40% - Ênfase1 22" xfId="1841" xr:uid="{00000000-0005-0000-0000-00002D070000}"/>
    <cellStyle name="40% - Ênfase1 22 2" xfId="1842" xr:uid="{00000000-0005-0000-0000-00002E070000}"/>
    <cellStyle name="40% - Ênfase1 22 2 2" xfId="1843" xr:uid="{00000000-0005-0000-0000-00002F070000}"/>
    <cellStyle name="40% - Ênfase1 22 2 2 2" xfId="1844" xr:uid="{00000000-0005-0000-0000-000030070000}"/>
    <cellStyle name="40% - Ênfase1 22 2 3" xfId="1845" xr:uid="{00000000-0005-0000-0000-000031070000}"/>
    <cellStyle name="40% - Ênfase1 22 3" xfId="1846" xr:uid="{00000000-0005-0000-0000-000032070000}"/>
    <cellStyle name="40% - Ênfase1 22 3 2" xfId="1847" xr:uid="{00000000-0005-0000-0000-000033070000}"/>
    <cellStyle name="40% - Ênfase1 22 4" xfId="1848" xr:uid="{00000000-0005-0000-0000-000034070000}"/>
    <cellStyle name="40% - Ênfase1 23" xfId="1849" xr:uid="{00000000-0005-0000-0000-000035070000}"/>
    <cellStyle name="40% - Ênfase1 23 2" xfId="1850" xr:uid="{00000000-0005-0000-0000-000036070000}"/>
    <cellStyle name="40% - Ênfase1 23 2 2" xfId="1851" xr:uid="{00000000-0005-0000-0000-000037070000}"/>
    <cellStyle name="40% - Ênfase1 23 2 2 2" xfId="1852" xr:uid="{00000000-0005-0000-0000-000038070000}"/>
    <cellStyle name="40% - Ênfase1 23 2 3" xfId="1853" xr:uid="{00000000-0005-0000-0000-000039070000}"/>
    <cellStyle name="40% - Ênfase1 23 3" xfId="1854" xr:uid="{00000000-0005-0000-0000-00003A070000}"/>
    <cellStyle name="40% - Ênfase1 23 3 2" xfId="1855" xr:uid="{00000000-0005-0000-0000-00003B070000}"/>
    <cellStyle name="40% - Ênfase1 23 4" xfId="1856" xr:uid="{00000000-0005-0000-0000-00003C070000}"/>
    <cellStyle name="40% - Ênfase1 24" xfId="1857" xr:uid="{00000000-0005-0000-0000-00003D070000}"/>
    <cellStyle name="40% - Ênfase1 24 2" xfId="1858" xr:uid="{00000000-0005-0000-0000-00003E070000}"/>
    <cellStyle name="40% - Ênfase1 24 2 2" xfId="1859" xr:uid="{00000000-0005-0000-0000-00003F070000}"/>
    <cellStyle name="40% - Ênfase1 24 2 2 2" xfId="1860" xr:uid="{00000000-0005-0000-0000-000040070000}"/>
    <cellStyle name="40% - Ênfase1 24 2 3" xfId="1861" xr:uid="{00000000-0005-0000-0000-000041070000}"/>
    <cellStyle name="40% - Ênfase1 24 3" xfId="1862" xr:uid="{00000000-0005-0000-0000-000042070000}"/>
    <cellStyle name="40% - Ênfase1 24 3 2" xfId="1863" xr:uid="{00000000-0005-0000-0000-000043070000}"/>
    <cellStyle name="40% - Ênfase1 24 4" xfId="1864" xr:uid="{00000000-0005-0000-0000-000044070000}"/>
    <cellStyle name="40% - Ênfase1 25" xfId="1865" xr:uid="{00000000-0005-0000-0000-000045070000}"/>
    <cellStyle name="40% - Ênfase1 25 2" xfId="1866" xr:uid="{00000000-0005-0000-0000-000046070000}"/>
    <cellStyle name="40% - Ênfase1 25 2 2" xfId="1867" xr:uid="{00000000-0005-0000-0000-000047070000}"/>
    <cellStyle name="40% - Ênfase1 25 2 2 2" xfId="1868" xr:uid="{00000000-0005-0000-0000-000048070000}"/>
    <cellStyle name="40% - Ênfase1 25 2 3" xfId="1869" xr:uid="{00000000-0005-0000-0000-000049070000}"/>
    <cellStyle name="40% - Ênfase1 25 3" xfId="1870" xr:uid="{00000000-0005-0000-0000-00004A070000}"/>
    <cellStyle name="40% - Ênfase1 25 3 2" xfId="1871" xr:uid="{00000000-0005-0000-0000-00004B070000}"/>
    <cellStyle name="40% - Ênfase1 25 4" xfId="1872" xr:uid="{00000000-0005-0000-0000-00004C070000}"/>
    <cellStyle name="40% - Ênfase1 26" xfId="1873" xr:uid="{00000000-0005-0000-0000-00004D070000}"/>
    <cellStyle name="40% - Ênfase1 26 2" xfId="1874" xr:uid="{00000000-0005-0000-0000-00004E070000}"/>
    <cellStyle name="40% - Ênfase1 26 2 2" xfId="1875" xr:uid="{00000000-0005-0000-0000-00004F070000}"/>
    <cellStyle name="40% - Ênfase1 26 2 2 2" xfId="1876" xr:uid="{00000000-0005-0000-0000-000050070000}"/>
    <cellStyle name="40% - Ênfase1 26 2 3" xfId="1877" xr:uid="{00000000-0005-0000-0000-000051070000}"/>
    <cellStyle name="40% - Ênfase1 26 3" xfId="1878" xr:uid="{00000000-0005-0000-0000-000052070000}"/>
    <cellStyle name="40% - Ênfase1 26 3 2" xfId="1879" xr:uid="{00000000-0005-0000-0000-000053070000}"/>
    <cellStyle name="40% - Ênfase1 26 4" xfId="1880" xr:uid="{00000000-0005-0000-0000-000054070000}"/>
    <cellStyle name="40% - Ênfase1 27" xfId="1881" xr:uid="{00000000-0005-0000-0000-000055070000}"/>
    <cellStyle name="40% - Ênfase1 27 2" xfId="1882" xr:uid="{00000000-0005-0000-0000-000056070000}"/>
    <cellStyle name="40% - Ênfase1 27 2 2" xfId="1883" xr:uid="{00000000-0005-0000-0000-000057070000}"/>
    <cellStyle name="40% - Ênfase1 27 3" xfId="1884" xr:uid="{00000000-0005-0000-0000-000058070000}"/>
    <cellStyle name="40% - Ênfase1 28" xfId="1885" xr:uid="{00000000-0005-0000-0000-000059070000}"/>
    <cellStyle name="40% - Ênfase1 28 2" xfId="1886" xr:uid="{00000000-0005-0000-0000-00005A070000}"/>
    <cellStyle name="40% - Ênfase1 28 2 2" xfId="1887" xr:uid="{00000000-0005-0000-0000-00005B070000}"/>
    <cellStyle name="40% - Ênfase1 28 3" xfId="1888" xr:uid="{00000000-0005-0000-0000-00005C070000}"/>
    <cellStyle name="40% - Ênfase1 29" xfId="1889" xr:uid="{00000000-0005-0000-0000-00005D070000}"/>
    <cellStyle name="40% - Ênfase1 29 2" xfId="1890" xr:uid="{00000000-0005-0000-0000-00005E070000}"/>
    <cellStyle name="40% - Ênfase1 29 2 2" xfId="1891" xr:uid="{00000000-0005-0000-0000-00005F070000}"/>
    <cellStyle name="40% - Ênfase1 29 3" xfId="1892" xr:uid="{00000000-0005-0000-0000-000060070000}"/>
    <cellStyle name="40% - Ênfase1 3" xfId="1893" xr:uid="{00000000-0005-0000-0000-000061070000}"/>
    <cellStyle name="40% - Ênfase1 3 2" xfId="1894" xr:uid="{00000000-0005-0000-0000-000062070000}"/>
    <cellStyle name="40% - Ênfase1 3 2 2" xfId="1895" xr:uid="{00000000-0005-0000-0000-000063070000}"/>
    <cellStyle name="40% - Ênfase1 3 2 2 2" xfId="1896" xr:uid="{00000000-0005-0000-0000-000064070000}"/>
    <cellStyle name="40% - Ênfase1 3 2 3" xfId="1897" xr:uid="{00000000-0005-0000-0000-000065070000}"/>
    <cellStyle name="40% - Ênfase1 3 3" xfId="1898" xr:uid="{00000000-0005-0000-0000-000066070000}"/>
    <cellStyle name="40% - Ênfase1 3 3 2" xfId="1899" xr:uid="{00000000-0005-0000-0000-000067070000}"/>
    <cellStyle name="40% - Ênfase1 3 4" xfId="1900" xr:uid="{00000000-0005-0000-0000-000068070000}"/>
    <cellStyle name="40% - Ênfase1 3 4 2" xfId="1901" xr:uid="{00000000-0005-0000-0000-000069070000}"/>
    <cellStyle name="40% - Ênfase1 3 5" xfId="1902" xr:uid="{00000000-0005-0000-0000-00006A070000}"/>
    <cellStyle name="40% - Ênfase1 3 5 2" xfId="1903" xr:uid="{00000000-0005-0000-0000-00006B070000}"/>
    <cellStyle name="40% - Ênfase1 3 6" xfId="1904" xr:uid="{00000000-0005-0000-0000-00006C070000}"/>
    <cellStyle name="40% - Ênfase1 30" xfId="1905" xr:uid="{00000000-0005-0000-0000-00006D070000}"/>
    <cellStyle name="40% - Ênfase1 30 2" xfId="1906" xr:uid="{00000000-0005-0000-0000-00006E070000}"/>
    <cellStyle name="40% - Ênfase1 30 2 2" xfId="1907" xr:uid="{00000000-0005-0000-0000-00006F070000}"/>
    <cellStyle name="40% - Ênfase1 30 3" xfId="1908" xr:uid="{00000000-0005-0000-0000-000070070000}"/>
    <cellStyle name="40% - Ênfase1 31" xfId="1909" xr:uid="{00000000-0005-0000-0000-000071070000}"/>
    <cellStyle name="40% - Ênfase1 31 2" xfId="1910" xr:uid="{00000000-0005-0000-0000-000072070000}"/>
    <cellStyle name="40% - Ênfase1 32" xfId="1911" xr:uid="{00000000-0005-0000-0000-000073070000}"/>
    <cellStyle name="40% - Ênfase1 32 2" xfId="1912" xr:uid="{00000000-0005-0000-0000-000074070000}"/>
    <cellStyle name="40% - Ênfase1 33" xfId="1913" xr:uid="{00000000-0005-0000-0000-000075070000}"/>
    <cellStyle name="40% - Ênfase1 33 2" xfId="1914" xr:uid="{00000000-0005-0000-0000-000076070000}"/>
    <cellStyle name="40% - Ênfase1 34" xfId="1915" xr:uid="{00000000-0005-0000-0000-000077070000}"/>
    <cellStyle name="40% - Ênfase1 35" xfId="1916" xr:uid="{00000000-0005-0000-0000-000078070000}"/>
    <cellStyle name="40% - Ênfase1 4" xfId="1917" xr:uid="{00000000-0005-0000-0000-000079070000}"/>
    <cellStyle name="40% - Ênfase1 4 2" xfId="1918" xr:uid="{00000000-0005-0000-0000-00007A070000}"/>
    <cellStyle name="40% - Ênfase1 4 2 2" xfId="1919" xr:uid="{00000000-0005-0000-0000-00007B070000}"/>
    <cellStyle name="40% - Ênfase1 4 2 2 2" xfId="1920" xr:uid="{00000000-0005-0000-0000-00007C070000}"/>
    <cellStyle name="40% - Ênfase1 4 2 3" xfId="1921" xr:uid="{00000000-0005-0000-0000-00007D070000}"/>
    <cellStyle name="40% - Ênfase1 4 3" xfId="1922" xr:uid="{00000000-0005-0000-0000-00007E070000}"/>
    <cellStyle name="40% - Ênfase1 4 3 2" xfId="1923" xr:uid="{00000000-0005-0000-0000-00007F070000}"/>
    <cellStyle name="40% - Ênfase1 4 4" xfId="1924" xr:uid="{00000000-0005-0000-0000-000080070000}"/>
    <cellStyle name="40% - Ênfase1 4 4 2" xfId="1925" xr:uid="{00000000-0005-0000-0000-000081070000}"/>
    <cellStyle name="40% - Ênfase1 4 5" xfId="1926" xr:uid="{00000000-0005-0000-0000-000082070000}"/>
    <cellStyle name="40% - Ênfase1 4 5 2" xfId="1927" xr:uid="{00000000-0005-0000-0000-000083070000}"/>
    <cellStyle name="40% - Ênfase1 4 6" xfId="1928" xr:uid="{00000000-0005-0000-0000-000084070000}"/>
    <cellStyle name="40% - Ênfase1 5" xfId="1929" xr:uid="{00000000-0005-0000-0000-000085070000}"/>
    <cellStyle name="40% - Ênfase1 5 2" xfId="1930" xr:uid="{00000000-0005-0000-0000-000086070000}"/>
    <cellStyle name="40% - Ênfase1 5 2 2" xfId="1931" xr:uid="{00000000-0005-0000-0000-000087070000}"/>
    <cellStyle name="40% - Ênfase1 5 2 2 2" xfId="1932" xr:uid="{00000000-0005-0000-0000-000088070000}"/>
    <cellStyle name="40% - Ênfase1 5 2 3" xfId="1933" xr:uid="{00000000-0005-0000-0000-000089070000}"/>
    <cellStyle name="40% - Ênfase1 5 3" xfId="1934" xr:uid="{00000000-0005-0000-0000-00008A070000}"/>
    <cellStyle name="40% - Ênfase1 5 3 2" xfId="1935" xr:uid="{00000000-0005-0000-0000-00008B070000}"/>
    <cellStyle name="40% - Ênfase1 5 4" xfId="1936" xr:uid="{00000000-0005-0000-0000-00008C070000}"/>
    <cellStyle name="40% - Ênfase1 5 4 2" xfId="1937" xr:uid="{00000000-0005-0000-0000-00008D070000}"/>
    <cellStyle name="40% - Ênfase1 5 5" xfId="1938" xr:uid="{00000000-0005-0000-0000-00008E070000}"/>
    <cellStyle name="40% - Ênfase1 5 5 2" xfId="1939" xr:uid="{00000000-0005-0000-0000-00008F070000}"/>
    <cellStyle name="40% - Ênfase1 5 6" xfId="1940" xr:uid="{00000000-0005-0000-0000-000090070000}"/>
    <cellStyle name="40% - Ênfase1 6" xfId="1941" xr:uid="{00000000-0005-0000-0000-000091070000}"/>
    <cellStyle name="40% - Ênfase1 6 2" xfId="1942" xr:uid="{00000000-0005-0000-0000-000092070000}"/>
    <cellStyle name="40% - Ênfase1 6 2 2" xfId="1943" xr:uid="{00000000-0005-0000-0000-000093070000}"/>
    <cellStyle name="40% - Ênfase1 6 2 2 2" xfId="1944" xr:uid="{00000000-0005-0000-0000-000094070000}"/>
    <cellStyle name="40% - Ênfase1 6 2 3" xfId="1945" xr:uid="{00000000-0005-0000-0000-000095070000}"/>
    <cellStyle name="40% - Ênfase1 6 3" xfId="1946" xr:uid="{00000000-0005-0000-0000-000096070000}"/>
    <cellStyle name="40% - Ênfase1 6 3 2" xfId="1947" xr:uid="{00000000-0005-0000-0000-000097070000}"/>
    <cellStyle name="40% - Ênfase1 6 4" xfId="1948" xr:uid="{00000000-0005-0000-0000-000098070000}"/>
    <cellStyle name="40% - Ênfase1 6 4 2" xfId="1949" xr:uid="{00000000-0005-0000-0000-000099070000}"/>
    <cellStyle name="40% - Ênfase1 6 5" xfId="1950" xr:uid="{00000000-0005-0000-0000-00009A070000}"/>
    <cellStyle name="40% - Ênfase1 6 5 2" xfId="1951" xr:uid="{00000000-0005-0000-0000-00009B070000}"/>
    <cellStyle name="40% - Ênfase1 6 6" xfId="1952" xr:uid="{00000000-0005-0000-0000-00009C070000}"/>
    <cellStyle name="40% - Ênfase1 7" xfId="1953" xr:uid="{00000000-0005-0000-0000-00009D070000}"/>
    <cellStyle name="40% - Ênfase1 7 2" xfId="1954" xr:uid="{00000000-0005-0000-0000-00009E070000}"/>
    <cellStyle name="40% - Ênfase1 7 2 2" xfId="1955" xr:uid="{00000000-0005-0000-0000-00009F070000}"/>
    <cellStyle name="40% - Ênfase1 7 2 2 2" xfId="1956" xr:uid="{00000000-0005-0000-0000-0000A0070000}"/>
    <cellStyle name="40% - Ênfase1 7 2 3" xfId="1957" xr:uid="{00000000-0005-0000-0000-0000A1070000}"/>
    <cellStyle name="40% - Ênfase1 7 3" xfId="1958" xr:uid="{00000000-0005-0000-0000-0000A2070000}"/>
    <cellStyle name="40% - Ênfase1 7 3 2" xfId="1959" xr:uid="{00000000-0005-0000-0000-0000A3070000}"/>
    <cellStyle name="40% - Ênfase1 7 4" xfId="1960" xr:uid="{00000000-0005-0000-0000-0000A4070000}"/>
    <cellStyle name="40% - Ênfase1 7 4 2" xfId="1961" xr:uid="{00000000-0005-0000-0000-0000A5070000}"/>
    <cellStyle name="40% - Ênfase1 7 5" xfId="1962" xr:uid="{00000000-0005-0000-0000-0000A6070000}"/>
    <cellStyle name="40% - Ênfase1 8" xfId="1963" xr:uid="{00000000-0005-0000-0000-0000A7070000}"/>
    <cellStyle name="40% - Ênfase1 8 2" xfId="1964" xr:uid="{00000000-0005-0000-0000-0000A8070000}"/>
    <cellStyle name="40% - Ênfase1 8 2 2" xfId="1965" xr:uid="{00000000-0005-0000-0000-0000A9070000}"/>
    <cellStyle name="40% - Ênfase1 8 2 2 2" xfId="1966" xr:uid="{00000000-0005-0000-0000-0000AA070000}"/>
    <cellStyle name="40% - Ênfase1 8 2 3" xfId="1967" xr:uid="{00000000-0005-0000-0000-0000AB070000}"/>
    <cellStyle name="40% - Ênfase1 8 3" xfId="1968" xr:uid="{00000000-0005-0000-0000-0000AC070000}"/>
    <cellStyle name="40% - Ênfase1 8 3 2" xfId="1969" xr:uid="{00000000-0005-0000-0000-0000AD070000}"/>
    <cellStyle name="40% - Ênfase1 8 4" xfId="1970" xr:uid="{00000000-0005-0000-0000-0000AE070000}"/>
    <cellStyle name="40% - Ênfase1 8 4 2" xfId="1971" xr:uid="{00000000-0005-0000-0000-0000AF070000}"/>
    <cellStyle name="40% - Ênfase1 8 5" xfId="1972" xr:uid="{00000000-0005-0000-0000-0000B0070000}"/>
    <cellStyle name="40% - Ênfase1 9" xfId="1973" xr:uid="{00000000-0005-0000-0000-0000B1070000}"/>
    <cellStyle name="40% - Ênfase1 9 2" xfId="1974" xr:uid="{00000000-0005-0000-0000-0000B2070000}"/>
    <cellStyle name="40% - Ênfase1 9 2 2" xfId="1975" xr:uid="{00000000-0005-0000-0000-0000B3070000}"/>
    <cellStyle name="40% - Ênfase1 9 2 2 2" xfId="1976" xr:uid="{00000000-0005-0000-0000-0000B4070000}"/>
    <cellStyle name="40% - Ênfase1 9 2 3" xfId="1977" xr:uid="{00000000-0005-0000-0000-0000B5070000}"/>
    <cellStyle name="40% - Ênfase1 9 3" xfId="1978" xr:uid="{00000000-0005-0000-0000-0000B6070000}"/>
    <cellStyle name="40% - Ênfase1 9 3 2" xfId="1979" xr:uid="{00000000-0005-0000-0000-0000B7070000}"/>
    <cellStyle name="40% - Ênfase1 9 4" xfId="1980" xr:uid="{00000000-0005-0000-0000-0000B8070000}"/>
    <cellStyle name="40% - Ênfase1 9 4 2" xfId="1981" xr:uid="{00000000-0005-0000-0000-0000B9070000}"/>
    <cellStyle name="40% - Ênfase1 9 5" xfId="1982" xr:uid="{00000000-0005-0000-0000-0000BA070000}"/>
    <cellStyle name="40% - Ênfase2 10" xfId="1983" xr:uid="{00000000-0005-0000-0000-0000BB070000}"/>
    <cellStyle name="40% - Ênfase2 10 2" xfId="1984" xr:uid="{00000000-0005-0000-0000-0000BC070000}"/>
    <cellStyle name="40% - Ênfase2 10 2 2" xfId="1985" xr:uid="{00000000-0005-0000-0000-0000BD070000}"/>
    <cellStyle name="40% - Ênfase2 10 2 2 2" xfId="1986" xr:uid="{00000000-0005-0000-0000-0000BE070000}"/>
    <cellStyle name="40% - Ênfase2 10 2 3" xfId="1987" xr:uid="{00000000-0005-0000-0000-0000BF070000}"/>
    <cellStyle name="40% - Ênfase2 10 3" xfId="1988" xr:uid="{00000000-0005-0000-0000-0000C0070000}"/>
    <cellStyle name="40% - Ênfase2 10 3 2" xfId="1989" xr:uid="{00000000-0005-0000-0000-0000C1070000}"/>
    <cellStyle name="40% - Ênfase2 10 4" xfId="1990" xr:uid="{00000000-0005-0000-0000-0000C2070000}"/>
    <cellStyle name="40% - Ênfase2 10 4 2" xfId="1991" xr:uid="{00000000-0005-0000-0000-0000C3070000}"/>
    <cellStyle name="40% - Ênfase2 10 5" xfId="1992" xr:uid="{00000000-0005-0000-0000-0000C4070000}"/>
    <cellStyle name="40% - Ênfase2 11" xfId="1993" xr:uid="{00000000-0005-0000-0000-0000C5070000}"/>
    <cellStyle name="40% - Ênfase2 11 2" xfId="1994" xr:uid="{00000000-0005-0000-0000-0000C6070000}"/>
    <cellStyle name="40% - Ênfase2 11 2 2" xfId="1995" xr:uid="{00000000-0005-0000-0000-0000C7070000}"/>
    <cellStyle name="40% - Ênfase2 11 2 2 2" xfId="1996" xr:uid="{00000000-0005-0000-0000-0000C8070000}"/>
    <cellStyle name="40% - Ênfase2 11 2 3" xfId="1997" xr:uid="{00000000-0005-0000-0000-0000C9070000}"/>
    <cellStyle name="40% - Ênfase2 11 3" xfId="1998" xr:uid="{00000000-0005-0000-0000-0000CA070000}"/>
    <cellStyle name="40% - Ênfase2 11 3 2" xfId="1999" xr:uid="{00000000-0005-0000-0000-0000CB070000}"/>
    <cellStyle name="40% - Ênfase2 11 4" xfId="2000" xr:uid="{00000000-0005-0000-0000-0000CC070000}"/>
    <cellStyle name="40% - Ênfase2 11 4 2" xfId="2001" xr:uid="{00000000-0005-0000-0000-0000CD070000}"/>
    <cellStyle name="40% - Ênfase2 11 5" xfId="2002" xr:uid="{00000000-0005-0000-0000-0000CE070000}"/>
    <cellStyle name="40% - Ênfase2 12" xfId="2003" xr:uid="{00000000-0005-0000-0000-0000CF070000}"/>
    <cellStyle name="40% - Ênfase2 12 2" xfId="2004" xr:uid="{00000000-0005-0000-0000-0000D0070000}"/>
    <cellStyle name="40% - Ênfase2 12 2 2" xfId="2005" xr:uid="{00000000-0005-0000-0000-0000D1070000}"/>
    <cellStyle name="40% - Ênfase2 12 2 2 2" xfId="2006" xr:uid="{00000000-0005-0000-0000-0000D2070000}"/>
    <cellStyle name="40% - Ênfase2 12 2 3" xfId="2007" xr:uid="{00000000-0005-0000-0000-0000D3070000}"/>
    <cellStyle name="40% - Ênfase2 12 3" xfId="2008" xr:uid="{00000000-0005-0000-0000-0000D4070000}"/>
    <cellStyle name="40% - Ênfase2 12 3 2" xfId="2009" xr:uid="{00000000-0005-0000-0000-0000D5070000}"/>
    <cellStyle name="40% - Ênfase2 12 4" xfId="2010" xr:uid="{00000000-0005-0000-0000-0000D6070000}"/>
    <cellStyle name="40% - Ênfase2 12 4 2" xfId="2011" xr:uid="{00000000-0005-0000-0000-0000D7070000}"/>
    <cellStyle name="40% - Ênfase2 12 5" xfId="2012" xr:uid="{00000000-0005-0000-0000-0000D8070000}"/>
    <cellStyle name="40% - Ênfase2 13" xfId="2013" xr:uid="{00000000-0005-0000-0000-0000D9070000}"/>
    <cellStyle name="40% - Ênfase2 13 2" xfId="2014" xr:uid="{00000000-0005-0000-0000-0000DA070000}"/>
    <cellStyle name="40% - Ênfase2 13 2 2" xfId="2015" xr:uid="{00000000-0005-0000-0000-0000DB070000}"/>
    <cellStyle name="40% - Ênfase2 13 2 2 2" xfId="2016" xr:uid="{00000000-0005-0000-0000-0000DC070000}"/>
    <cellStyle name="40% - Ênfase2 13 2 3" xfId="2017" xr:uid="{00000000-0005-0000-0000-0000DD070000}"/>
    <cellStyle name="40% - Ênfase2 13 3" xfId="2018" xr:uid="{00000000-0005-0000-0000-0000DE070000}"/>
    <cellStyle name="40% - Ênfase2 13 3 2" xfId="2019" xr:uid="{00000000-0005-0000-0000-0000DF070000}"/>
    <cellStyle name="40% - Ênfase2 13 4" xfId="2020" xr:uid="{00000000-0005-0000-0000-0000E0070000}"/>
    <cellStyle name="40% - Ênfase2 13 4 2" xfId="2021" xr:uid="{00000000-0005-0000-0000-0000E1070000}"/>
    <cellStyle name="40% - Ênfase2 13 5" xfId="2022" xr:uid="{00000000-0005-0000-0000-0000E2070000}"/>
    <cellStyle name="40% - Ênfase2 14" xfId="2023" xr:uid="{00000000-0005-0000-0000-0000E3070000}"/>
    <cellStyle name="40% - Ênfase2 14 2" xfId="2024" xr:uid="{00000000-0005-0000-0000-0000E4070000}"/>
    <cellStyle name="40% - Ênfase2 14 2 2" xfId="2025" xr:uid="{00000000-0005-0000-0000-0000E5070000}"/>
    <cellStyle name="40% - Ênfase2 14 2 2 2" xfId="2026" xr:uid="{00000000-0005-0000-0000-0000E6070000}"/>
    <cellStyle name="40% - Ênfase2 14 2 3" xfId="2027" xr:uid="{00000000-0005-0000-0000-0000E7070000}"/>
    <cellStyle name="40% - Ênfase2 14 3" xfId="2028" xr:uid="{00000000-0005-0000-0000-0000E8070000}"/>
    <cellStyle name="40% - Ênfase2 14 3 2" xfId="2029" xr:uid="{00000000-0005-0000-0000-0000E9070000}"/>
    <cellStyle name="40% - Ênfase2 14 4" xfId="2030" xr:uid="{00000000-0005-0000-0000-0000EA070000}"/>
    <cellStyle name="40% - Ênfase2 14 4 2" xfId="2031" xr:uid="{00000000-0005-0000-0000-0000EB070000}"/>
    <cellStyle name="40% - Ênfase2 14 5" xfId="2032" xr:uid="{00000000-0005-0000-0000-0000EC070000}"/>
    <cellStyle name="40% - Ênfase2 15" xfId="2033" xr:uid="{00000000-0005-0000-0000-0000ED070000}"/>
    <cellStyle name="40% - Ênfase2 15 2" xfId="2034" xr:uid="{00000000-0005-0000-0000-0000EE070000}"/>
    <cellStyle name="40% - Ênfase2 15 2 2" xfId="2035" xr:uid="{00000000-0005-0000-0000-0000EF070000}"/>
    <cellStyle name="40% - Ênfase2 15 2 2 2" xfId="2036" xr:uid="{00000000-0005-0000-0000-0000F0070000}"/>
    <cellStyle name="40% - Ênfase2 15 2 3" xfId="2037" xr:uid="{00000000-0005-0000-0000-0000F1070000}"/>
    <cellStyle name="40% - Ênfase2 15 3" xfId="2038" xr:uid="{00000000-0005-0000-0000-0000F2070000}"/>
    <cellStyle name="40% - Ênfase2 15 3 2" xfId="2039" xr:uid="{00000000-0005-0000-0000-0000F3070000}"/>
    <cellStyle name="40% - Ênfase2 15 4" xfId="2040" xr:uid="{00000000-0005-0000-0000-0000F4070000}"/>
    <cellStyle name="40% - Ênfase2 15 4 2" xfId="2041" xr:uid="{00000000-0005-0000-0000-0000F5070000}"/>
    <cellStyle name="40% - Ênfase2 15 5" xfId="2042" xr:uid="{00000000-0005-0000-0000-0000F6070000}"/>
    <cellStyle name="40% - Ênfase2 16" xfId="2043" xr:uid="{00000000-0005-0000-0000-0000F7070000}"/>
    <cellStyle name="40% - Ênfase2 16 2" xfId="2044" xr:uid="{00000000-0005-0000-0000-0000F8070000}"/>
    <cellStyle name="40% - Ênfase2 16 2 2" xfId="2045" xr:uid="{00000000-0005-0000-0000-0000F9070000}"/>
    <cellStyle name="40% - Ênfase2 16 2 2 2" xfId="2046" xr:uid="{00000000-0005-0000-0000-0000FA070000}"/>
    <cellStyle name="40% - Ênfase2 16 2 3" xfId="2047" xr:uid="{00000000-0005-0000-0000-0000FB070000}"/>
    <cellStyle name="40% - Ênfase2 16 3" xfId="2048" xr:uid="{00000000-0005-0000-0000-0000FC070000}"/>
    <cellStyle name="40% - Ênfase2 16 3 2" xfId="2049" xr:uid="{00000000-0005-0000-0000-0000FD070000}"/>
    <cellStyle name="40% - Ênfase2 16 4" xfId="2050" xr:uid="{00000000-0005-0000-0000-0000FE070000}"/>
    <cellStyle name="40% - Ênfase2 16 4 2" xfId="2051" xr:uid="{00000000-0005-0000-0000-0000FF070000}"/>
    <cellStyle name="40% - Ênfase2 16 5" xfId="2052" xr:uid="{00000000-0005-0000-0000-000000080000}"/>
    <cellStyle name="40% - Ênfase2 17" xfId="2053" xr:uid="{00000000-0005-0000-0000-000001080000}"/>
    <cellStyle name="40% - Ênfase2 17 2" xfId="2054" xr:uid="{00000000-0005-0000-0000-000002080000}"/>
    <cellStyle name="40% - Ênfase2 17 2 2" xfId="2055" xr:uid="{00000000-0005-0000-0000-000003080000}"/>
    <cellStyle name="40% - Ênfase2 17 2 2 2" xfId="2056" xr:uid="{00000000-0005-0000-0000-000004080000}"/>
    <cellStyle name="40% - Ênfase2 17 2 3" xfId="2057" xr:uid="{00000000-0005-0000-0000-000005080000}"/>
    <cellStyle name="40% - Ênfase2 17 3" xfId="2058" xr:uid="{00000000-0005-0000-0000-000006080000}"/>
    <cellStyle name="40% - Ênfase2 17 3 2" xfId="2059" xr:uid="{00000000-0005-0000-0000-000007080000}"/>
    <cellStyle name="40% - Ênfase2 17 4" xfId="2060" xr:uid="{00000000-0005-0000-0000-000008080000}"/>
    <cellStyle name="40% - Ênfase2 17 4 2" xfId="2061" xr:uid="{00000000-0005-0000-0000-000009080000}"/>
    <cellStyle name="40% - Ênfase2 17 5" xfId="2062" xr:uid="{00000000-0005-0000-0000-00000A080000}"/>
    <cellStyle name="40% - Ênfase2 18" xfId="2063" xr:uid="{00000000-0005-0000-0000-00000B080000}"/>
    <cellStyle name="40% - Ênfase2 18 2" xfId="2064" xr:uid="{00000000-0005-0000-0000-00000C080000}"/>
    <cellStyle name="40% - Ênfase2 18 2 2" xfId="2065" xr:uid="{00000000-0005-0000-0000-00000D080000}"/>
    <cellStyle name="40% - Ênfase2 18 2 2 2" xfId="2066" xr:uid="{00000000-0005-0000-0000-00000E080000}"/>
    <cellStyle name="40% - Ênfase2 18 2 3" xfId="2067" xr:uid="{00000000-0005-0000-0000-00000F080000}"/>
    <cellStyle name="40% - Ênfase2 18 3" xfId="2068" xr:uid="{00000000-0005-0000-0000-000010080000}"/>
    <cellStyle name="40% - Ênfase2 18 3 2" xfId="2069" xr:uid="{00000000-0005-0000-0000-000011080000}"/>
    <cellStyle name="40% - Ênfase2 18 4" xfId="2070" xr:uid="{00000000-0005-0000-0000-000012080000}"/>
    <cellStyle name="40% - Ênfase2 19" xfId="2071" xr:uid="{00000000-0005-0000-0000-000013080000}"/>
    <cellStyle name="40% - Ênfase2 19 2" xfId="2072" xr:uid="{00000000-0005-0000-0000-000014080000}"/>
    <cellStyle name="40% - Ênfase2 19 2 2" xfId="2073" xr:uid="{00000000-0005-0000-0000-000015080000}"/>
    <cellStyle name="40% - Ênfase2 19 2 2 2" xfId="2074" xr:uid="{00000000-0005-0000-0000-000016080000}"/>
    <cellStyle name="40% - Ênfase2 19 2 3" xfId="2075" xr:uid="{00000000-0005-0000-0000-000017080000}"/>
    <cellStyle name="40% - Ênfase2 19 3" xfId="2076" xr:uid="{00000000-0005-0000-0000-000018080000}"/>
    <cellStyle name="40% - Ênfase2 19 3 2" xfId="2077" xr:uid="{00000000-0005-0000-0000-000019080000}"/>
    <cellStyle name="40% - Ênfase2 19 4" xfId="2078" xr:uid="{00000000-0005-0000-0000-00001A080000}"/>
    <cellStyle name="40% - Ênfase2 2" xfId="2079" xr:uid="{00000000-0005-0000-0000-00001B080000}"/>
    <cellStyle name="40% - Ênfase2 2 2" xfId="2080" xr:uid="{00000000-0005-0000-0000-00001C080000}"/>
    <cellStyle name="40% - Ênfase2 2 2 2" xfId="2081" xr:uid="{00000000-0005-0000-0000-00001D080000}"/>
    <cellStyle name="40% - Ênfase2 2 2 2 2" xfId="2082" xr:uid="{00000000-0005-0000-0000-00001E080000}"/>
    <cellStyle name="40% - Ênfase2 2 2 2 2 2" xfId="2083" xr:uid="{00000000-0005-0000-0000-00001F080000}"/>
    <cellStyle name="40% - Ênfase2 2 2 2 3" xfId="2084" xr:uid="{00000000-0005-0000-0000-000020080000}"/>
    <cellStyle name="40% - Ênfase2 2 2 3" xfId="2085" xr:uid="{00000000-0005-0000-0000-000021080000}"/>
    <cellStyle name="40% - Ênfase2 2 2 3 2" xfId="2086" xr:uid="{00000000-0005-0000-0000-000022080000}"/>
    <cellStyle name="40% - Ênfase2 2 2 3 2 2" xfId="2087" xr:uid="{00000000-0005-0000-0000-000023080000}"/>
    <cellStyle name="40% - Ênfase2 2 2 3 3" xfId="2088" xr:uid="{00000000-0005-0000-0000-000024080000}"/>
    <cellStyle name="40% - Ênfase2 2 2 4" xfId="2089" xr:uid="{00000000-0005-0000-0000-000025080000}"/>
    <cellStyle name="40% - Ênfase2 2 2 4 2" xfId="2090" xr:uid="{00000000-0005-0000-0000-000026080000}"/>
    <cellStyle name="40% - Ênfase2 2 2 5" xfId="2091" xr:uid="{00000000-0005-0000-0000-000027080000}"/>
    <cellStyle name="40% - Ênfase2 2 3" xfId="2092" xr:uid="{00000000-0005-0000-0000-000028080000}"/>
    <cellStyle name="40% - Ênfase2 2 3 2" xfId="2093" xr:uid="{00000000-0005-0000-0000-000029080000}"/>
    <cellStyle name="40% - Ênfase2 2 3 2 2" xfId="2094" xr:uid="{00000000-0005-0000-0000-00002A080000}"/>
    <cellStyle name="40% - Ênfase2 2 3 3" xfId="2095" xr:uid="{00000000-0005-0000-0000-00002B080000}"/>
    <cellStyle name="40% - Ênfase2 2 4" xfId="2096" xr:uid="{00000000-0005-0000-0000-00002C080000}"/>
    <cellStyle name="40% - Ênfase2 2 4 2" xfId="2097" xr:uid="{00000000-0005-0000-0000-00002D080000}"/>
    <cellStyle name="40% - Ênfase2 2 4 2 2" xfId="2098" xr:uid="{00000000-0005-0000-0000-00002E080000}"/>
    <cellStyle name="40% - Ênfase2 2 4 3" xfId="2099" xr:uid="{00000000-0005-0000-0000-00002F080000}"/>
    <cellStyle name="40% - Ênfase2 2 5" xfId="2100" xr:uid="{00000000-0005-0000-0000-000030080000}"/>
    <cellStyle name="40% - Ênfase2 2 5 2" xfId="2101" xr:uid="{00000000-0005-0000-0000-000031080000}"/>
    <cellStyle name="40% - Ênfase2 2 6" xfId="2102" xr:uid="{00000000-0005-0000-0000-000032080000}"/>
    <cellStyle name="40% - Ênfase2 20" xfId="2103" xr:uid="{00000000-0005-0000-0000-000033080000}"/>
    <cellStyle name="40% - Ênfase2 20 2" xfId="2104" xr:uid="{00000000-0005-0000-0000-000034080000}"/>
    <cellStyle name="40% - Ênfase2 20 2 2" xfId="2105" xr:uid="{00000000-0005-0000-0000-000035080000}"/>
    <cellStyle name="40% - Ênfase2 20 2 2 2" xfId="2106" xr:uid="{00000000-0005-0000-0000-000036080000}"/>
    <cellStyle name="40% - Ênfase2 20 2 3" xfId="2107" xr:uid="{00000000-0005-0000-0000-000037080000}"/>
    <cellStyle name="40% - Ênfase2 20 3" xfId="2108" xr:uid="{00000000-0005-0000-0000-000038080000}"/>
    <cellStyle name="40% - Ênfase2 20 3 2" xfId="2109" xr:uid="{00000000-0005-0000-0000-000039080000}"/>
    <cellStyle name="40% - Ênfase2 20 4" xfId="2110" xr:uid="{00000000-0005-0000-0000-00003A080000}"/>
    <cellStyle name="40% - Ênfase2 21" xfId="2111" xr:uid="{00000000-0005-0000-0000-00003B080000}"/>
    <cellStyle name="40% - Ênfase2 21 2" xfId="2112" xr:uid="{00000000-0005-0000-0000-00003C080000}"/>
    <cellStyle name="40% - Ênfase2 21 2 2" xfId="2113" xr:uid="{00000000-0005-0000-0000-00003D080000}"/>
    <cellStyle name="40% - Ênfase2 21 2 2 2" xfId="2114" xr:uid="{00000000-0005-0000-0000-00003E080000}"/>
    <cellStyle name="40% - Ênfase2 21 2 3" xfId="2115" xr:uid="{00000000-0005-0000-0000-00003F080000}"/>
    <cellStyle name="40% - Ênfase2 21 3" xfId="2116" xr:uid="{00000000-0005-0000-0000-000040080000}"/>
    <cellStyle name="40% - Ênfase2 21 3 2" xfId="2117" xr:uid="{00000000-0005-0000-0000-000041080000}"/>
    <cellStyle name="40% - Ênfase2 21 4" xfId="2118" xr:uid="{00000000-0005-0000-0000-000042080000}"/>
    <cellStyle name="40% - Ênfase2 22" xfId="2119" xr:uid="{00000000-0005-0000-0000-000043080000}"/>
    <cellStyle name="40% - Ênfase2 22 2" xfId="2120" xr:uid="{00000000-0005-0000-0000-000044080000}"/>
    <cellStyle name="40% - Ênfase2 22 2 2" xfId="2121" xr:uid="{00000000-0005-0000-0000-000045080000}"/>
    <cellStyle name="40% - Ênfase2 22 2 2 2" xfId="2122" xr:uid="{00000000-0005-0000-0000-000046080000}"/>
    <cellStyle name="40% - Ênfase2 22 2 3" xfId="2123" xr:uid="{00000000-0005-0000-0000-000047080000}"/>
    <cellStyle name="40% - Ênfase2 22 3" xfId="2124" xr:uid="{00000000-0005-0000-0000-000048080000}"/>
    <cellStyle name="40% - Ênfase2 22 3 2" xfId="2125" xr:uid="{00000000-0005-0000-0000-000049080000}"/>
    <cellStyle name="40% - Ênfase2 22 4" xfId="2126" xr:uid="{00000000-0005-0000-0000-00004A080000}"/>
    <cellStyle name="40% - Ênfase2 23" xfId="2127" xr:uid="{00000000-0005-0000-0000-00004B080000}"/>
    <cellStyle name="40% - Ênfase2 23 2" xfId="2128" xr:uid="{00000000-0005-0000-0000-00004C080000}"/>
    <cellStyle name="40% - Ênfase2 23 2 2" xfId="2129" xr:uid="{00000000-0005-0000-0000-00004D080000}"/>
    <cellStyle name="40% - Ênfase2 23 2 2 2" xfId="2130" xr:uid="{00000000-0005-0000-0000-00004E080000}"/>
    <cellStyle name="40% - Ênfase2 23 2 3" xfId="2131" xr:uid="{00000000-0005-0000-0000-00004F080000}"/>
    <cellStyle name="40% - Ênfase2 23 3" xfId="2132" xr:uid="{00000000-0005-0000-0000-000050080000}"/>
    <cellStyle name="40% - Ênfase2 23 3 2" xfId="2133" xr:uid="{00000000-0005-0000-0000-000051080000}"/>
    <cellStyle name="40% - Ênfase2 23 4" xfId="2134" xr:uid="{00000000-0005-0000-0000-000052080000}"/>
    <cellStyle name="40% - Ênfase2 24" xfId="2135" xr:uid="{00000000-0005-0000-0000-000053080000}"/>
    <cellStyle name="40% - Ênfase2 24 2" xfId="2136" xr:uid="{00000000-0005-0000-0000-000054080000}"/>
    <cellStyle name="40% - Ênfase2 24 2 2" xfId="2137" xr:uid="{00000000-0005-0000-0000-000055080000}"/>
    <cellStyle name="40% - Ênfase2 24 2 2 2" xfId="2138" xr:uid="{00000000-0005-0000-0000-000056080000}"/>
    <cellStyle name="40% - Ênfase2 24 2 3" xfId="2139" xr:uid="{00000000-0005-0000-0000-000057080000}"/>
    <cellStyle name="40% - Ênfase2 24 3" xfId="2140" xr:uid="{00000000-0005-0000-0000-000058080000}"/>
    <cellStyle name="40% - Ênfase2 24 3 2" xfId="2141" xr:uid="{00000000-0005-0000-0000-000059080000}"/>
    <cellStyle name="40% - Ênfase2 24 4" xfId="2142" xr:uid="{00000000-0005-0000-0000-00005A080000}"/>
    <cellStyle name="40% - Ênfase2 25" xfId="2143" xr:uid="{00000000-0005-0000-0000-00005B080000}"/>
    <cellStyle name="40% - Ênfase2 25 2" xfId="2144" xr:uid="{00000000-0005-0000-0000-00005C080000}"/>
    <cellStyle name="40% - Ênfase2 25 2 2" xfId="2145" xr:uid="{00000000-0005-0000-0000-00005D080000}"/>
    <cellStyle name="40% - Ênfase2 25 2 2 2" xfId="2146" xr:uid="{00000000-0005-0000-0000-00005E080000}"/>
    <cellStyle name="40% - Ênfase2 25 2 3" xfId="2147" xr:uid="{00000000-0005-0000-0000-00005F080000}"/>
    <cellStyle name="40% - Ênfase2 25 3" xfId="2148" xr:uid="{00000000-0005-0000-0000-000060080000}"/>
    <cellStyle name="40% - Ênfase2 25 3 2" xfId="2149" xr:uid="{00000000-0005-0000-0000-000061080000}"/>
    <cellStyle name="40% - Ênfase2 25 4" xfId="2150" xr:uid="{00000000-0005-0000-0000-000062080000}"/>
    <cellStyle name="40% - Ênfase2 26" xfId="2151" xr:uid="{00000000-0005-0000-0000-000063080000}"/>
    <cellStyle name="40% - Ênfase2 26 2" xfId="2152" xr:uid="{00000000-0005-0000-0000-000064080000}"/>
    <cellStyle name="40% - Ênfase2 26 2 2" xfId="2153" xr:uid="{00000000-0005-0000-0000-000065080000}"/>
    <cellStyle name="40% - Ênfase2 26 2 2 2" xfId="2154" xr:uid="{00000000-0005-0000-0000-000066080000}"/>
    <cellStyle name="40% - Ênfase2 26 2 3" xfId="2155" xr:uid="{00000000-0005-0000-0000-000067080000}"/>
    <cellStyle name="40% - Ênfase2 26 3" xfId="2156" xr:uid="{00000000-0005-0000-0000-000068080000}"/>
    <cellStyle name="40% - Ênfase2 26 3 2" xfId="2157" xr:uid="{00000000-0005-0000-0000-000069080000}"/>
    <cellStyle name="40% - Ênfase2 26 4" xfId="2158" xr:uid="{00000000-0005-0000-0000-00006A080000}"/>
    <cellStyle name="40% - Ênfase2 27" xfId="2159" xr:uid="{00000000-0005-0000-0000-00006B080000}"/>
    <cellStyle name="40% - Ênfase2 27 2" xfId="2160" xr:uid="{00000000-0005-0000-0000-00006C080000}"/>
    <cellStyle name="40% - Ênfase2 27 2 2" xfId="2161" xr:uid="{00000000-0005-0000-0000-00006D080000}"/>
    <cellStyle name="40% - Ênfase2 27 3" xfId="2162" xr:uid="{00000000-0005-0000-0000-00006E080000}"/>
    <cellStyle name="40% - Ênfase2 28" xfId="2163" xr:uid="{00000000-0005-0000-0000-00006F080000}"/>
    <cellStyle name="40% - Ênfase2 28 2" xfId="2164" xr:uid="{00000000-0005-0000-0000-000070080000}"/>
    <cellStyle name="40% - Ênfase2 28 2 2" xfId="2165" xr:uid="{00000000-0005-0000-0000-000071080000}"/>
    <cellStyle name="40% - Ênfase2 28 3" xfId="2166" xr:uid="{00000000-0005-0000-0000-000072080000}"/>
    <cellStyle name="40% - Ênfase2 29" xfId="2167" xr:uid="{00000000-0005-0000-0000-000073080000}"/>
    <cellStyle name="40% - Ênfase2 29 2" xfId="2168" xr:uid="{00000000-0005-0000-0000-000074080000}"/>
    <cellStyle name="40% - Ênfase2 29 2 2" xfId="2169" xr:uid="{00000000-0005-0000-0000-000075080000}"/>
    <cellStyle name="40% - Ênfase2 29 3" xfId="2170" xr:uid="{00000000-0005-0000-0000-000076080000}"/>
    <cellStyle name="40% - Ênfase2 3" xfId="2171" xr:uid="{00000000-0005-0000-0000-000077080000}"/>
    <cellStyle name="40% - Ênfase2 3 2" xfId="2172" xr:uid="{00000000-0005-0000-0000-000078080000}"/>
    <cellStyle name="40% - Ênfase2 3 2 2" xfId="2173" xr:uid="{00000000-0005-0000-0000-000079080000}"/>
    <cellStyle name="40% - Ênfase2 3 2 2 2" xfId="2174" xr:uid="{00000000-0005-0000-0000-00007A080000}"/>
    <cellStyle name="40% - Ênfase2 3 2 3" xfId="2175" xr:uid="{00000000-0005-0000-0000-00007B080000}"/>
    <cellStyle name="40% - Ênfase2 3 3" xfId="2176" xr:uid="{00000000-0005-0000-0000-00007C080000}"/>
    <cellStyle name="40% - Ênfase2 3 3 2" xfId="2177" xr:uid="{00000000-0005-0000-0000-00007D080000}"/>
    <cellStyle name="40% - Ênfase2 3 4" xfId="2178" xr:uid="{00000000-0005-0000-0000-00007E080000}"/>
    <cellStyle name="40% - Ênfase2 3 4 2" xfId="2179" xr:uid="{00000000-0005-0000-0000-00007F080000}"/>
    <cellStyle name="40% - Ênfase2 3 5" xfId="2180" xr:uid="{00000000-0005-0000-0000-000080080000}"/>
    <cellStyle name="40% - Ênfase2 3 5 2" xfId="2181" xr:uid="{00000000-0005-0000-0000-000081080000}"/>
    <cellStyle name="40% - Ênfase2 3 6" xfId="2182" xr:uid="{00000000-0005-0000-0000-000082080000}"/>
    <cellStyle name="40% - Ênfase2 30" xfId="2183" xr:uid="{00000000-0005-0000-0000-000083080000}"/>
    <cellStyle name="40% - Ênfase2 30 2" xfId="2184" xr:uid="{00000000-0005-0000-0000-000084080000}"/>
    <cellStyle name="40% - Ênfase2 30 2 2" xfId="2185" xr:uid="{00000000-0005-0000-0000-000085080000}"/>
    <cellStyle name="40% - Ênfase2 30 3" xfId="2186" xr:uid="{00000000-0005-0000-0000-000086080000}"/>
    <cellStyle name="40% - Ênfase2 31" xfId="2187" xr:uid="{00000000-0005-0000-0000-000087080000}"/>
    <cellStyle name="40% - Ênfase2 31 2" xfId="2188" xr:uid="{00000000-0005-0000-0000-000088080000}"/>
    <cellStyle name="40% - Ênfase2 32" xfId="2189" xr:uid="{00000000-0005-0000-0000-000089080000}"/>
    <cellStyle name="40% - Ênfase2 32 2" xfId="2190" xr:uid="{00000000-0005-0000-0000-00008A080000}"/>
    <cellStyle name="40% - Ênfase2 33" xfId="2191" xr:uid="{00000000-0005-0000-0000-00008B080000}"/>
    <cellStyle name="40% - Ênfase2 33 2" xfId="2192" xr:uid="{00000000-0005-0000-0000-00008C080000}"/>
    <cellStyle name="40% - Ênfase2 34" xfId="2193" xr:uid="{00000000-0005-0000-0000-00008D080000}"/>
    <cellStyle name="40% - Ênfase2 35" xfId="2194" xr:uid="{00000000-0005-0000-0000-00008E080000}"/>
    <cellStyle name="40% - Ênfase2 4" xfId="2195" xr:uid="{00000000-0005-0000-0000-00008F080000}"/>
    <cellStyle name="40% - Ênfase2 4 2" xfId="2196" xr:uid="{00000000-0005-0000-0000-000090080000}"/>
    <cellStyle name="40% - Ênfase2 4 2 2" xfId="2197" xr:uid="{00000000-0005-0000-0000-000091080000}"/>
    <cellStyle name="40% - Ênfase2 4 2 2 2" xfId="2198" xr:uid="{00000000-0005-0000-0000-000092080000}"/>
    <cellStyle name="40% - Ênfase2 4 2 3" xfId="2199" xr:uid="{00000000-0005-0000-0000-000093080000}"/>
    <cellStyle name="40% - Ênfase2 4 3" xfId="2200" xr:uid="{00000000-0005-0000-0000-000094080000}"/>
    <cellStyle name="40% - Ênfase2 4 3 2" xfId="2201" xr:uid="{00000000-0005-0000-0000-000095080000}"/>
    <cellStyle name="40% - Ênfase2 4 4" xfId="2202" xr:uid="{00000000-0005-0000-0000-000096080000}"/>
    <cellStyle name="40% - Ênfase2 4 4 2" xfId="2203" xr:uid="{00000000-0005-0000-0000-000097080000}"/>
    <cellStyle name="40% - Ênfase2 4 5" xfId="2204" xr:uid="{00000000-0005-0000-0000-000098080000}"/>
    <cellStyle name="40% - Ênfase2 4 5 2" xfId="2205" xr:uid="{00000000-0005-0000-0000-000099080000}"/>
    <cellStyle name="40% - Ênfase2 4 6" xfId="2206" xr:uid="{00000000-0005-0000-0000-00009A080000}"/>
    <cellStyle name="40% - Ênfase2 5" xfId="2207" xr:uid="{00000000-0005-0000-0000-00009B080000}"/>
    <cellStyle name="40% - Ênfase2 5 2" xfId="2208" xr:uid="{00000000-0005-0000-0000-00009C080000}"/>
    <cellStyle name="40% - Ênfase2 5 2 2" xfId="2209" xr:uid="{00000000-0005-0000-0000-00009D080000}"/>
    <cellStyle name="40% - Ênfase2 5 2 2 2" xfId="2210" xr:uid="{00000000-0005-0000-0000-00009E080000}"/>
    <cellStyle name="40% - Ênfase2 5 2 3" xfId="2211" xr:uid="{00000000-0005-0000-0000-00009F080000}"/>
    <cellStyle name="40% - Ênfase2 5 3" xfId="2212" xr:uid="{00000000-0005-0000-0000-0000A0080000}"/>
    <cellStyle name="40% - Ênfase2 5 3 2" xfId="2213" xr:uid="{00000000-0005-0000-0000-0000A1080000}"/>
    <cellStyle name="40% - Ênfase2 5 4" xfId="2214" xr:uid="{00000000-0005-0000-0000-0000A2080000}"/>
    <cellStyle name="40% - Ênfase2 5 4 2" xfId="2215" xr:uid="{00000000-0005-0000-0000-0000A3080000}"/>
    <cellStyle name="40% - Ênfase2 5 5" xfId="2216" xr:uid="{00000000-0005-0000-0000-0000A4080000}"/>
    <cellStyle name="40% - Ênfase2 5 5 2" xfId="2217" xr:uid="{00000000-0005-0000-0000-0000A5080000}"/>
    <cellStyle name="40% - Ênfase2 5 6" xfId="2218" xr:uid="{00000000-0005-0000-0000-0000A6080000}"/>
    <cellStyle name="40% - Ênfase2 6" xfId="2219" xr:uid="{00000000-0005-0000-0000-0000A7080000}"/>
    <cellStyle name="40% - Ênfase2 6 2" xfId="2220" xr:uid="{00000000-0005-0000-0000-0000A8080000}"/>
    <cellStyle name="40% - Ênfase2 6 2 2" xfId="2221" xr:uid="{00000000-0005-0000-0000-0000A9080000}"/>
    <cellStyle name="40% - Ênfase2 6 2 2 2" xfId="2222" xr:uid="{00000000-0005-0000-0000-0000AA080000}"/>
    <cellStyle name="40% - Ênfase2 6 2 3" xfId="2223" xr:uid="{00000000-0005-0000-0000-0000AB080000}"/>
    <cellStyle name="40% - Ênfase2 6 3" xfId="2224" xr:uid="{00000000-0005-0000-0000-0000AC080000}"/>
    <cellStyle name="40% - Ênfase2 6 3 2" xfId="2225" xr:uid="{00000000-0005-0000-0000-0000AD080000}"/>
    <cellStyle name="40% - Ênfase2 6 4" xfId="2226" xr:uid="{00000000-0005-0000-0000-0000AE080000}"/>
    <cellStyle name="40% - Ênfase2 6 4 2" xfId="2227" xr:uid="{00000000-0005-0000-0000-0000AF080000}"/>
    <cellStyle name="40% - Ênfase2 6 5" xfId="2228" xr:uid="{00000000-0005-0000-0000-0000B0080000}"/>
    <cellStyle name="40% - Ênfase2 6 5 2" xfId="2229" xr:uid="{00000000-0005-0000-0000-0000B1080000}"/>
    <cellStyle name="40% - Ênfase2 6 6" xfId="2230" xr:uid="{00000000-0005-0000-0000-0000B2080000}"/>
    <cellStyle name="40% - Ênfase2 7" xfId="2231" xr:uid="{00000000-0005-0000-0000-0000B3080000}"/>
    <cellStyle name="40% - Ênfase2 7 2" xfId="2232" xr:uid="{00000000-0005-0000-0000-0000B4080000}"/>
    <cellStyle name="40% - Ênfase2 7 2 2" xfId="2233" xr:uid="{00000000-0005-0000-0000-0000B5080000}"/>
    <cellStyle name="40% - Ênfase2 7 2 2 2" xfId="2234" xr:uid="{00000000-0005-0000-0000-0000B6080000}"/>
    <cellStyle name="40% - Ênfase2 7 2 3" xfId="2235" xr:uid="{00000000-0005-0000-0000-0000B7080000}"/>
    <cellStyle name="40% - Ênfase2 7 3" xfId="2236" xr:uid="{00000000-0005-0000-0000-0000B8080000}"/>
    <cellStyle name="40% - Ênfase2 7 3 2" xfId="2237" xr:uid="{00000000-0005-0000-0000-0000B9080000}"/>
    <cellStyle name="40% - Ênfase2 7 4" xfId="2238" xr:uid="{00000000-0005-0000-0000-0000BA080000}"/>
    <cellStyle name="40% - Ênfase2 7 4 2" xfId="2239" xr:uid="{00000000-0005-0000-0000-0000BB080000}"/>
    <cellStyle name="40% - Ênfase2 7 5" xfId="2240" xr:uid="{00000000-0005-0000-0000-0000BC080000}"/>
    <cellStyle name="40% - Ênfase2 8" xfId="2241" xr:uid="{00000000-0005-0000-0000-0000BD080000}"/>
    <cellStyle name="40% - Ênfase2 8 2" xfId="2242" xr:uid="{00000000-0005-0000-0000-0000BE080000}"/>
    <cellStyle name="40% - Ênfase2 8 2 2" xfId="2243" xr:uid="{00000000-0005-0000-0000-0000BF080000}"/>
    <cellStyle name="40% - Ênfase2 8 2 2 2" xfId="2244" xr:uid="{00000000-0005-0000-0000-0000C0080000}"/>
    <cellStyle name="40% - Ênfase2 8 2 3" xfId="2245" xr:uid="{00000000-0005-0000-0000-0000C1080000}"/>
    <cellStyle name="40% - Ênfase2 8 3" xfId="2246" xr:uid="{00000000-0005-0000-0000-0000C2080000}"/>
    <cellStyle name="40% - Ênfase2 8 3 2" xfId="2247" xr:uid="{00000000-0005-0000-0000-0000C3080000}"/>
    <cellStyle name="40% - Ênfase2 8 4" xfId="2248" xr:uid="{00000000-0005-0000-0000-0000C4080000}"/>
    <cellStyle name="40% - Ênfase2 8 4 2" xfId="2249" xr:uid="{00000000-0005-0000-0000-0000C5080000}"/>
    <cellStyle name="40% - Ênfase2 8 5" xfId="2250" xr:uid="{00000000-0005-0000-0000-0000C6080000}"/>
    <cellStyle name="40% - Ênfase2 9" xfId="2251" xr:uid="{00000000-0005-0000-0000-0000C7080000}"/>
    <cellStyle name="40% - Ênfase2 9 2" xfId="2252" xr:uid="{00000000-0005-0000-0000-0000C8080000}"/>
    <cellStyle name="40% - Ênfase2 9 2 2" xfId="2253" xr:uid="{00000000-0005-0000-0000-0000C9080000}"/>
    <cellStyle name="40% - Ênfase2 9 2 2 2" xfId="2254" xr:uid="{00000000-0005-0000-0000-0000CA080000}"/>
    <cellStyle name="40% - Ênfase2 9 2 3" xfId="2255" xr:uid="{00000000-0005-0000-0000-0000CB080000}"/>
    <cellStyle name="40% - Ênfase2 9 3" xfId="2256" xr:uid="{00000000-0005-0000-0000-0000CC080000}"/>
    <cellStyle name="40% - Ênfase2 9 3 2" xfId="2257" xr:uid="{00000000-0005-0000-0000-0000CD080000}"/>
    <cellStyle name="40% - Ênfase2 9 4" xfId="2258" xr:uid="{00000000-0005-0000-0000-0000CE080000}"/>
    <cellStyle name="40% - Ênfase2 9 4 2" xfId="2259" xr:uid="{00000000-0005-0000-0000-0000CF080000}"/>
    <cellStyle name="40% - Ênfase2 9 5" xfId="2260" xr:uid="{00000000-0005-0000-0000-0000D0080000}"/>
    <cellStyle name="40% - Ênfase3 10" xfId="2261" xr:uid="{00000000-0005-0000-0000-0000D1080000}"/>
    <cellStyle name="40% - Ênfase3 10 2" xfId="2262" xr:uid="{00000000-0005-0000-0000-0000D2080000}"/>
    <cellStyle name="40% - Ênfase3 10 2 2" xfId="2263" xr:uid="{00000000-0005-0000-0000-0000D3080000}"/>
    <cellStyle name="40% - Ênfase3 10 2 2 2" xfId="2264" xr:uid="{00000000-0005-0000-0000-0000D4080000}"/>
    <cellStyle name="40% - Ênfase3 10 2 3" xfId="2265" xr:uid="{00000000-0005-0000-0000-0000D5080000}"/>
    <cellStyle name="40% - Ênfase3 10 3" xfId="2266" xr:uid="{00000000-0005-0000-0000-0000D6080000}"/>
    <cellStyle name="40% - Ênfase3 10 3 2" xfId="2267" xr:uid="{00000000-0005-0000-0000-0000D7080000}"/>
    <cellStyle name="40% - Ênfase3 10 4" xfId="2268" xr:uid="{00000000-0005-0000-0000-0000D8080000}"/>
    <cellStyle name="40% - Ênfase3 10 4 2" xfId="2269" xr:uid="{00000000-0005-0000-0000-0000D9080000}"/>
    <cellStyle name="40% - Ênfase3 10 5" xfId="2270" xr:uid="{00000000-0005-0000-0000-0000DA080000}"/>
    <cellStyle name="40% - Ênfase3 11" xfId="2271" xr:uid="{00000000-0005-0000-0000-0000DB080000}"/>
    <cellStyle name="40% - Ênfase3 11 2" xfId="2272" xr:uid="{00000000-0005-0000-0000-0000DC080000}"/>
    <cellStyle name="40% - Ênfase3 11 2 2" xfId="2273" xr:uid="{00000000-0005-0000-0000-0000DD080000}"/>
    <cellStyle name="40% - Ênfase3 11 2 2 2" xfId="2274" xr:uid="{00000000-0005-0000-0000-0000DE080000}"/>
    <cellStyle name="40% - Ênfase3 11 2 3" xfId="2275" xr:uid="{00000000-0005-0000-0000-0000DF080000}"/>
    <cellStyle name="40% - Ênfase3 11 3" xfId="2276" xr:uid="{00000000-0005-0000-0000-0000E0080000}"/>
    <cellStyle name="40% - Ênfase3 11 3 2" xfId="2277" xr:uid="{00000000-0005-0000-0000-0000E1080000}"/>
    <cellStyle name="40% - Ênfase3 11 4" xfId="2278" xr:uid="{00000000-0005-0000-0000-0000E2080000}"/>
    <cellStyle name="40% - Ênfase3 11 4 2" xfId="2279" xr:uid="{00000000-0005-0000-0000-0000E3080000}"/>
    <cellStyle name="40% - Ênfase3 11 5" xfId="2280" xr:uid="{00000000-0005-0000-0000-0000E4080000}"/>
    <cellStyle name="40% - Ênfase3 12" xfId="2281" xr:uid="{00000000-0005-0000-0000-0000E5080000}"/>
    <cellStyle name="40% - Ênfase3 12 2" xfId="2282" xr:uid="{00000000-0005-0000-0000-0000E6080000}"/>
    <cellStyle name="40% - Ênfase3 12 2 2" xfId="2283" xr:uid="{00000000-0005-0000-0000-0000E7080000}"/>
    <cellStyle name="40% - Ênfase3 12 2 2 2" xfId="2284" xr:uid="{00000000-0005-0000-0000-0000E8080000}"/>
    <cellStyle name="40% - Ênfase3 12 2 3" xfId="2285" xr:uid="{00000000-0005-0000-0000-0000E9080000}"/>
    <cellStyle name="40% - Ênfase3 12 3" xfId="2286" xr:uid="{00000000-0005-0000-0000-0000EA080000}"/>
    <cellStyle name="40% - Ênfase3 12 3 2" xfId="2287" xr:uid="{00000000-0005-0000-0000-0000EB080000}"/>
    <cellStyle name="40% - Ênfase3 12 4" xfId="2288" xr:uid="{00000000-0005-0000-0000-0000EC080000}"/>
    <cellStyle name="40% - Ênfase3 12 4 2" xfId="2289" xr:uid="{00000000-0005-0000-0000-0000ED080000}"/>
    <cellStyle name="40% - Ênfase3 12 5" xfId="2290" xr:uid="{00000000-0005-0000-0000-0000EE080000}"/>
    <cellStyle name="40% - Ênfase3 13" xfId="2291" xr:uid="{00000000-0005-0000-0000-0000EF080000}"/>
    <cellStyle name="40% - Ênfase3 13 2" xfId="2292" xr:uid="{00000000-0005-0000-0000-0000F0080000}"/>
    <cellStyle name="40% - Ênfase3 13 2 2" xfId="2293" xr:uid="{00000000-0005-0000-0000-0000F1080000}"/>
    <cellStyle name="40% - Ênfase3 13 2 2 2" xfId="2294" xr:uid="{00000000-0005-0000-0000-0000F2080000}"/>
    <cellStyle name="40% - Ênfase3 13 2 3" xfId="2295" xr:uid="{00000000-0005-0000-0000-0000F3080000}"/>
    <cellStyle name="40% - Ênfase3 13 3" xfId="2296" xr:uid="{00000000-0005-0000-0000-0000F4080000}"/>
    <cellStyle name="40% - Ênfase3 13 3 2" xfId="2297" xr:uid="{00000000-0005-0000-0000-0000F5080000}"/>
    <cellStyle name="40% - Ênfase3 13 4" xfId="2298" xr:uid="{00000000-0005-0000-0000-0000F6080000}"/>
    <cellStyle name="40% - Ênfase3 13 4 2" xfId="2299" xr:uid="{00000000-0005-0000-0000-0000F7080000}"/>
    <cellStyle name="40% - Ênfase3 13 5" xfId="2300" xr:uid="{00000000-0005-0000-0000-0000F8080000}"/>
    <cellStyle name="40% - Ênfase3 14" xfId="2301" xr:uid="{00000000-0005-0000-0000-0000F9080000}"/>
    <cellStyle name="40% - Ênfase3 14 2" xfId="2302" xr:uid="{00000000-0005-0000-0000-0000FA080000}"/>
    <cellStyle name="40% - Ênfase3 14 2 2" xfId="2303" xr:uid="{00000000-0005-0000-0000-0000FB080000}"/>
    <cellStyle name="40% - Ênfase3 14 2 2 2" xfId="2304" xr:uid="{00000000-0005-0000-0000-0000FC080000}"/>
    <cellStyle name="40% - Ênfase3 14 2 3" xfId="2305" xr:uid="{00000000-0005-0000-0000-0000FD080000}"/>
    <cellStyle name="40% - Ênfase3 14 3" xfId="2306" xr:uid="{00000000-0005-0000-0000-0000FE080000}"/>
    <cellStyle name="40% - Ênfase3 14 3 2" xfId="2307" xr:uid="{00000000-0005-0000-0000-0000FF080000}"/>
    <cellStyle name="40% - Ênfase3 14 4" xfId="2308" xr:uid="{00000000-0005-0000-0000-000000090000}"/>
    <cellStyle name="40% - Ênfase3 14 4 2" xfId="2309" xr:uid="{00000000-0005-0000-0000-000001090000}"/>
    <cellStyle name="40% - Ênfase3 14 5" xfId="2310" xr:uid="{00000000-0005-0000-0000-000002090000}"/>
    <cellStyle name="40% - Ênfase3 15" xfId="2311" xr:uid="{00000000-0005-0000-0000-000003090000}"/>
    <cellStyle name="40% - Ênfase3 15 2" xfId="2312" xr:uid="{00000000-0005-0000-0000-000004090000}"/>
    <cellStyle name="40% - Ênfase3 15 2 2" xfId="2313" xr:uid="{00000000-0005-0000-0000-000005090000}"/>
    <cellStyle name="40% - Ênfase3 15 2 2 2" xfId="2314" xr:uid="{00000000-0005-0000-0000-000006090000}"/>
    <cellStyle name="40% - Ênfase3 15 2 3" xfId="2315" xr:uid="{00000000-0005-0000-0000-000007090000}"/>
    <cellStyle name="40% - Ênfase3 15 3" xfId="2316" xr:uid="{00000000-0005-0000-0000-000008090000}"/>
    <cellStyle name="40% - Ênfase3 15 3 2" xfId="2317" xr:uid="{00000000-0005-0000-0000-000009090000}"/>
    <cellStyle name="40% - Ênfase3 15 4" xfId="2318" xr:uid="{00000000-0005-0000-0000-00000A090000}"/>
    <cellStyle name="40% - Ênfase3 15 4 2" xfId="2319" xr:uid="{00000000-0005-0000-0000-00000B090000}"/>
    <cellStyle name="40% - Ênfase3 15 5" xfId="2320" xr:uid="{00000000-0005-0000-0000-00000C090000}"/>
    <cellStyle name="40% - Ênfase3 16" xfId="2321" xr:uid="{00000000-0005-0000-0000-00000D090000}"/>
    <cellStyle name="40% - Ênfase3 16 2" xfId="2322" xr:uid="{00000000-0005-0000-0000-00000E090000}"/>
    <cellStyle name="40% - Ênfase3 16 2 2" xfId="2323" xr:uid="{00000000-0005-0000-0000-00000F090000}"/>
    <cellStyle name="40% - Ênfase3 16 2 2 2" xfId="2324" xr:uid="{00000000-0005-0000-0000-000010090000}"/>
    <cellStyle name="40% - Ênfase3 16 2 3" xfId="2325" xr:uid="{00000000-0005-0000-0000-000011090000}"/>
    <cellStyle name="40% - Ênfase3 16 3" xfId="2326" xr:uid="{00000000-0005-0000-0000-000012090000}"/>
    <cellStyle name="40% - Ênfase3 16 3 2" xfId="2327" xr:uid="{00000000-0005-0000-0000-000013090000}"/>
    <cellStyle name="40% - Ênfase3 16 4" xfId="2328" xr:uid="{00000000-0005-0000-0000-000014090000}"/>
    <cellStyle name="40% - Ênfase3 16 4 2" xfId="2329" xr:uid="{00000000-0005-0000-0000-000015090000}"/>
    <cellStyle name="40% - Ênfase3 16 5" xfId="2330" xr:uid="{00000000-0005-0000-0000-000016090000}"/>
    <cellStyle name="40% - Ênfase3 17" xfId="2331" xr:uid="{00000000-0005-0000-0000-000017090000}"/>
    <cellStyle name="40% - Ênfase3 17 2" xfId="2332" xr:uid="{00000000-0005-0000-0000-000018090000}"/>
    <cellStyle name="40% - Ênfase3 17 2 2" xfId="2333" xr:uid="{00000000-0005-0000-0000-000019090000}"/>
    <cellStyle name="40% - Ênfase3 17 2 2 2" xfId="2334" xr:uid="{00000000-0005-0000-0000-00001A090000}"/>
    <cellStyle name="40% - Ênfase3 17 2 3" xfId="2335" xr:uid="{00000000-0005-0000-0000-00001B090000}"/>
    <cellStyle name="40% - Ênfase3 17 3" xfId="2336" xr:uid="{00000000-0005-0000-0000-00001C090000}"/>
    <cellStyle name="40% - Ênfase3 17 3 2" xfId="2337" xr:uid="{00000000-0005-0000-0000-00001D090000}"/>
    <cellStyle name="40% - Ênfase3 17 4" xfId="2338" xr:uid="{00000000-0005-0000-0000-00001E090000}"/>
    <cellStyle name="40% - Ênfase3 17 4 2" xfId="2339" xr:uid="{00000000-0005-0000-0000-00001F090000}"/>
    <cellStyle name="40% - Ênfase3 17 5" xfId="2340" xr:uid="{00000000-0005-0000-0000-000020090000}"/>
    <cellStyle name="40% - Ênfase3 18" xfId="2341" xr:uid="{00000000-0005-0000-0000-000021090000}"/>
    <cellStyle name="40% - Ênfase3 18 2" xfId="2342" xr:uid="{00000000-0005-0000-0000-000022090000}"/>
    <cellStyle name="40% - Ênfase3 18 2 2" xfId="2343" xr:uid="{00000000-0005-0000-0000-000023090000}"/>
    <cellStyle name="40% - Ênfase3 18 2 2 2" xfId="2344" xr:uid="{00000000-0005-0000-0000-000024090000}"/>
    <cellStyle name="40% - Ênfase3 18 2 3" xfId="2345" xr:uid="{00000000-0005-0000-0000-000025090000}"/>
    <cellStyle name="40% - Ênfase3 18 3" xfId="2346" xr:uid="{00000000-0005-0000-0000-000026090000}"/>
    <cellStyle name="40% - Ênfase3 18 3 2" xfId="2347" xr:uid="{00000000-0005-0000-0000-000027090000}"/>
    <cellStyle name="40% - Ênfase3 18 4" xfId="2348" xr:uid="{00000000-0005-0000-0000-000028090000}"/>
    <cellStyle name="40% - Ênfase3 19" xfId="2349" xr:uid="{00000000-0005-0000-0000-000029090000}"/>
    <cellStyle name="40% - Ênfase3 19 2" xfId="2350" xr:uid="{00000000-0005-0000-0000-00002A090000}"/>
    <cellStyle name="40% - Ênfase3 19 2 2" xfId="2351" xr:uid="{00000000-0005-0000-0000-00002B090000}"/>
    <cellStyle name="40% - Ênfase3 19 2 2 2" xfId="2352" xr:uid="{00000000-0005-0000-0000-00002C090000}"/>
    <cellStyle name="40% - Ênfase3 19 2 3" xfId="2353" xr:uid="{00000000-0005-0000-0000-00002D090000}"/>
    <cellStyle name="40% - Ênfase3 19 3" xfId="2354" xr:uid="{00000000-0005-0000-0000-00002E090000}"/>
    <cellStyle name="40% - Ênfase3 19 3 2" xfId="2355" xr:uid="{00000000-0005-0000-0000-00002F090000}"/>
    <cellStyle name="40% - Ênfase3 19 4" xfId="2356" xr:uid="{00000000-0005-0000-0000-000030090000}"/>
    <cellStyle name="40% - Ênfase3 2" xfId="2357" xr:uid="{00000000-0005-0000-0000-000031090000}"/>
    <cellStyle name="40% - Ênfase3 2 2" xfId="2358" xr:uid="{00000000-0005-0000-0000-000032090000}"/>
    <cellStyle name="40% - Ênfase3 2 2 2" xfId="2359" xr:uid="{00000000-0005-0000-0000-000033090000}"/>
    <cellStyle name="40% - Ênfase3 2 2 2 2" xfId="2360" xr:uid="{00000000-0005-0000-0000-000034090000}"/>
    <cellStyle name="40% - Ênfase3 2 2 2 2 2" xfId="2361" xr:uid="{00000000-0005-0000-0000-000035090000}"/>
    <cellStyle name="40% - Ênfase3 2 2 2 3" xfId="2362" xr:uid="{00000000-0005-0000-0000-000036090000}"/>
    <cellStyle name="40% - Ênfase3 2 2 3" xfId="2363" xr:uid="{00000000-0005-0000-0000-000037090000}"/>
    <cellStyle name="40% - Ênfase3 2 2 3 2" xfId="2364" xr:uid="{00000000-0005-0000-0000-000038090000}"/>
    <cellStyle name="40% - Ênfase3 2 2 3 2 2" xfId="2365" xr:uid="{00000000-0005-0000-0000-000039090000}"/>
    <cellStyle name="40% - Ênfase3 2 2 3 3" xfId="2366" xr:uid="{00000000-0005-0000-0000-00003A090000}"/>
    <cellStyle name="40% - Ênfase3 2 2 4" xfId="2367" xr:uid="{00000000-0005-0000-0000-00003B090000}"/>
    <cellStyle name="40% - Ênfase3 2 2 4 2" xfId="2368" xr:uid="{00000000-0005-0000-0000-00003C090000}"/>
    <cellStyle name="40% - Ênfase3 2 2 5" xfId="2369" xr:uid="{00000000-0005-0000-0000-00003D090000}"/>
    <cellStyle name="40% - Ênfase3 2 3" xfId="2370" xr:uid="{00000000-0005-0000-0000-00003E090000}"/>
    <cellStyle name="40% - Ênfase3 2 3 2" xfId="2371" xr:uid="{00000000-0005-0000-0000-00003F090000}"/>
    <cellStyle name="40% - Ênfase3 2 3 2 2" xfId="2372" xr:uid="{00000000-0005-0000-0000-000040090000}"/>
    <cellStyle name="40% - Ênfase3 2 3 3" xfId="2373" xr:uid="{00000000-0005-0000-0000-000041090000}"/>
    <cellStyle name="40% - Ênfase3 2 4" xfId="2374" xr:uid="{00000000-0005-0000-0000-000042090000}"/>
    <cellStyle name="40% - Ênfase3 2 4 2" xfId="2375" xr:uid="{00000000-0005-0000-0000-000043090000}"/>
    <cellStyle name="40% - Ênfase3 2 4 2 2" xfId="2376" xr:uid="{00000000-0005-0000-0000-000044090000}"/>
    <cellStyle name="40% - Ênfase3 2 4 3" xfId="2377" xr:uid="{00000000-0005-0000-0000-000045090000}"/>
    <cellStyle name="40% - Ênfase3 2 5" xfId="2378" xr:uid="{00000000-0005-0000-0000-000046090000}"/>
    <cellStyle name="40% - Ênfase3 2 5 2" xfId="2379" xr:uid="{00000000-0005-0000-0000-000047090000}"/>
    <cellStyle name="40% - Ênfase3 2 6" xfId="2380" xr:uid="{00000000-0005-0000-0000-000048090000}"/>
    <cellStyle name="40% - Ênfase3 20" xfId="2381" xr:uid="{00000000-0005-0000-0000-000049090000}"/>
    <cellStyle name="40% - Ênfase3 20 2" xfId="2382" xr:uid="{00000000-0005-0000-0000-00004A090000}"/>
    <cellStyle name="40% - Ênfase3 20 2 2" xfId="2383" xr:uid="{00000000-0005-0000-0000-00004B090000}"/>
    <cellStyle name="40% - Ênfase3 20 2 2 2" xfId="2384" xr:uid="{00000000-0005-0000-0000-00004C090000}"/>
    <cellStyle name="40% - Ênfase3 20 2 3" xfId="2385" xr:uid="{00000000-0005-0000-0000-00004D090000}"/>
    <cellStyle name="40% - Ênfase3 20 3" xfId="2386" xr:uid="{00000000-0005-0000-0000-00004E090000}"/>
    <cellStyle name="40% - Ênfase3 20 3 2" xfId="2387" xr:uid="{00000000-0005-0000-0000-00004F090000}"/>
    <cellStyle name="40% - Ênfase3 20 4" xfId="2388" xr:uid="{00000000-0005-0000-0000-000050090000}"/>
    <cellStyle name="40% - Ênfase3 21" xfId="2389" xr:uid="{00000000-0005-0000-0000-000051090000}"/>
    <cellStyle name="40% - Ênfase3 21 2" xfId="2390" xr:uid="{00000000-0005-0000-0000-000052090000}"/>
    <cellStyle name="40% - Ênfase3 21 2 2" xfId="2391" xr:uid="{00000000-0005-0000-0000-000053090000}"/>
    <cellStyle name="40% - Ênfase3 21 2 2 2" xfId="2392" xr:uid="{00000000-0005-0000-0000-000054090000}"/>
    <cellStyle name="40% - Ênfase3 21 2 3" xfId="2393" xr:uid="{00000000-0005-0000-0000-000055090000}"/>
    <cellStyle name="40% - Ênfase3 21 3" xfId="2394" xr:uid="{00000000-0005-0000-0000-000056090000}"/>
    <cellStyle name="40% - Ênfase3 21 3 2" xfId="2395" xr:uid="{00000000-0005-0000-0000-000057090000}"/>
    <cellStyle name="40% - Ênfase3 21 4" xfId="2396" xr:uid="{00000000-0005-0000-0000-000058090000}"/>
    <cellStyle name="40% - Ênfase3 22" xfId="2397" xr:uid="{00000000-0005-0000-0000-000059090000}"/>
    <cellStyle name="40% - Ênfase3 22 2" xfId="2398" xr:uid="{00000000-0005-0000-0000-00005A090000}"/>
    <cellStyle name="40% - Ênfase3 22 2 2" xfId="2399" xr:uid="{00000000-0005-0000-0000-00005B090000}"/>
    <cellStyle name="40% - Ênfase3 22 2 2 2" xfId="2400" xr:uid="{00000000-0005-0000-0000-00005C090000}"/>
    <cellStyle name="40% - Ênfase3 22 2 3" xfId="2401" xr:uid="{00000000-0005-0000-0000-00005D090000}"/>
    <cellStyle name="40% - Ênfase3 22 3" xfId="2402" xr:uid="{00000000-0005-0000-0000-00005E090000}"/>
    <cellStyle name="40% - Ênfase3 22 3 2" xfId="2403" xr:uid="{00000000-0005-0000-0000-00005F090000}"/>
    <cellStyle name="40% - Ênfase3 22 4" xfId="2404" xr:uid="{00000000-0005-0000-0000-000060090000}"/>
    <cellStyle name="40% - Ênfase3 23" xfId="2405" xr:uid="{00000000-0005-0000-0000-000061090000}"/>
    <cellStyle name="40% - Ênfase3 23 2" xfId="2406" xr:uid="{00000000-0005-0000-0000-000062090000}"/>
    <cellStyle name="40% - Ênfase3 23 2 2" xfId="2407" xr:uid="{00000000-0005-0000-0000-000063090000}"/>
    <cellStyle name="40% - Ênfase3 23 2 2 2" xfId="2408" xr:uid="{00000000-0005-0000-0000-000064090000}"/>
    <cellStyle name="40% - Ênfase3 23 2 3" xfId="2409" xr:uid="{00000000-0005-0000-0000-000065090000}"/>
    <cellStyle name="40% - Ênfase3 23 3" xfId="2410" xr:uid="{00000000-0005-0000-0000-000066090000}"/>
    <cellStyle name="40% - Ênfase3 23 3 2" xfId="2411" xr:uid="{00000000-0005-0000-0000-000067090000}"/>
    <cellStyle name="40% - Ênfase3 23 4" xfId="2412" xr:uid="{00000000-0005-0000-0000-000068090000}"/>
    <cellStyle name="40% - Ênfase3 24" xfId="2413" xr:uid="{00000000-0005-0000-0000-000069090000}"/>
    <cellStyle name="40% - Ênfase3 24 2" xfId="2414" xr:uid="{00000000-0005-0000-0000-00006A090000}"/>
    <cellStyle name="40% - Ênfase3 24 2 2" xfId="2415" xr:uid="{00000000-0005-0000-0000-00006B090000}"/>
    <cellStyle name="40% - Ênfase3 24 2 2 2" xfId="2416" xr:uid="{00000000-0005-0000-0000-00006C090000}"/>
    <cellStyle name="40% - Ênfase3 24 2 3" xfId="2417" xr:uid="{00000000-0005-0000-0000-00006D090000}"/>
    <cellStyle name="40% - Ênfase3 24 3" xfId="2418" xr:uid="{00000000-0005-0000-0000-00006E090000}"/>
    <cellStyle name="40% - Ênfase3 24 3 2" xfId="2419" xr:uid="{00000000-0005-0000-0000-00006F090000}"/>
    <cellStyle name="40% - Ênfase3 24 4" xfId="2420" xr:uid="{00000000-0005-0000-0000-000070090000}"/>
    <cellStyle name="40% - Ênfase3 25" xfId="2421" xr:uid="{00000000-0005-0000-0000-000071090000}"/>
    <cellStyle name="40% - Ênfase3 25 2" xfId="2422" xr:uid="{00000000-0005-0000-0000-000072090000}"/>
    <cellStyle name="40% - Ênfase3 25 2 2" xfId="2423" xr:uid="{00000000-0005-0000-0000-000073090000}"/>
    <cellStyle name="40% - Ênfase3 25 2 2 2" xfId="2424" xr:uid="{00000000-0005-0000-0000-000074090000}"/>
    <cellStyle name="40% - Ênfase3 25 2 3" xfId="2425" xr:uid="{00000000-0005-0000-0000-000075090000}"/>
    <cellStyle name="40% - Ênfase3 25 3" xfId="2426" xr:uid="{00000000-0005-0000-0000-000076090000}"/>
    <cellStyle name="40% - Ênfase3 25 3 2" xfId="2427" xr:uid="{00000000-0005-0000-0000-000077090000}"/>
    <cellStyle name="40% - Ênfase3 25 4" xfId="2428" xr:uid="{00000000-0005-0000-0000-000078090000}"/>
    <cellStyle name="40% - Ênfase3 26" xfId="2429" xr:uid="{00000000-0005-0000-0000-000079090000}"/>
    <cellStyle name="40% - Ênfase3 26 2" xfId="2430" xr:uid="{00000000-0005-0000-0000-00007A090000}"/>
    <cellStyle name="40% - Ênfase3 26 2 2" xfId="2431" xr:uid="{00000000-0005-0000-0000-00007B090000}"/>
    <cellStyle name="40% - Ênfase3 26 2 2 2" xfId="2432" xr:uid="{00000000-0005-0000-0000-00007C090000}"/>
    <cellStyle name="40% - Ênfase3 26 2 3" xfId="2433" xr:uid="{00000000-0005-0000-0000-00007D090000}"/>
    <cellStyle name="40% - Ênfase3 26 3" xfId="2434" xr:uid="{00000000-0005-0000-0000-00007E090000}"/>
    <cellStyle name="40% - Ênfase3 26 3 2" xfId="2435" xr:uid="{00000000-0005-0000-0000-00007F090000}"/>
    <cellStyle name="40% - Ênfase3 26 4" xfId="2436" xr:uid="{00000000-0005-0000-0000-000080090000}"/>
    <cellStyle name="40% - Ênfase3 27" xfId="2437" xr:uid="{00000000-0005-0000-0000-000081090000}"/>
    <cellStyle name="40% - Ênfase3 27 2" xfId="2438" xr:uid="{00000000-0005-0000-0000-000082090000}"/>
    <cellStyle name="40% - Ênfase3 27 2 2" xfId="2439" xr:uid="{00000000-0005-0000-0000-000083090000}"/>
    <cellStyle name="40% - Ênfase3 27 3" xfId="2440" xr:uid="{00000000-0005-0000-0000-000084090000}"/>
    <cellStyle name="40% - Ênfase3 28" xfId="2441" xr:uid="{00000000-0005-0000-0000-000085090000}"/>
    <cellStyle name="40% - Ênfase3 28 2" xfId="2442" xr:uid="{00000000-0005-0000-0000-000086090000}"/>
    <cellStyle name="40% - Ênfase3 28 2 2" xfId="2443" xr:uid="{00000000-0005-0000-0000-000087090000}"/>
    <cellStyle name="40% - Ênfase3 28 3" xfId="2444" xr:uid="{00000000-0005-0000-0000-000088090000}"/>
    <cellStyle name="40% - Ênfase3 29" xfId="2445" xr:uid="{00000000-0005-0000-0000-000089090000}"/>
    <cellStyle name="40% - Ênfase3 29 2" xfId="2446" xr:uid="{00000000-0005-0000-0000-00008A090000}"/>
    <cellStyle name="40% - Ênfase3 29 2 2" xfId="2447" xr:uid="{00000000-0005-0000-0000-00008B090000}"/>
    <cellStyle name="40% - Ênfase3 29 3" xfId="2448" xr:uid="{00000000-0005-0000-0000-00008C090000}"/>
    <cellStyle name="40% - Ênfase3 3" xfId="2449" xr:uid="{00000000-0005-0000-0000-00008D090000}"/>
    <cellStyle name="40% - Ênfase3 3 2" xfId="2450" xr:uid="{00000000-0005-0000-0000-00008E090000}"/>
    <cellStyle name="40% - Ênfase3 3 2 2" xfId="2451" xr:uid="{00000000-0005-0000-0000-00008F090000}"/>
    <cellStyle name="40% - Ênfase3 3 2 2 2" xfId="2452" xr:uid="{00000000-0005-0000-0000-000090090000}"/>
    <cellStyle name="40% - Ênfase3 3 2 3" xfId="2453" xr:uid="{00000000-0005-0000-0000-000091090000}"/>
    <cellStyle name="40% - Ênfase3 3 3" xfId="2454" xr:uid="{00000000-0005-0000-0000-000092090000}"/>
    <cellStyle name="40% - Ênfase3 3 3 2" xfId="2455" xr:uid="{00000000-0005-0000-0000-000093090000}"/>
    <cellStyle name="40% - Ênfase3 3 4" xfId="2456" xr:uid="{00000000-0005-0000-0000-000094090000}"/>
    <cellStyle name="40% - Ênfase3 3 4 2" xfId="2457" xr:uid="{00000000-0005-0000-0000-000095090000}"/>
    <cellStyle name="40% - Ênfase3 3 5" xfId="2458" xr:uid="{00000000-0005-0000-0000-000096090000}"/>
    <cellStyle name="40% - Ênfase3 3 5 2" xfId="2459" xr:uid="{00000000-0005-0000-0000-000097090000}"/>
    <cellStyle name="40% - Ênfase3 3 6" xfId="2460" xr:uid="{00000000-0005-0000-0000-000098090000}"/>
    <cellStyle name="40% - Ênfase3 30" xfId="2461" xr:uid="{00000000-0005-0000-0000-000099090000}"/>
    <cellStyle name="40% - Ênfase3 30 2" xfId="2462" xr:uid="{00000000-0005-0000-0000-00009A090000}"/>
    <cellStyle name="40% - Ênfase3 30 2 2" xfId="2463" xr:uid="{00000000-0005-0000-0000-00009B090000}"/>
    <cellStyle name="40% - Ênfase3 30 3" xfId="2464" xr:uid="{00000000-0005-0000-0000-00009C090000}"/>
    <cellStyle name="40% - Ênfase3 31" xfId="2465" xr:uid="{00000000-0005-0000-0000-00009D090000}"/>
    <cellStyle name="40% - Ênfase3 31 2" xfId="2466" xr:uid="{00000000-0005-0000-0000-00009E090000}"/>
    <cellStyle name="40% - Ênfase3 32" xfId="2467" xr:uid="{00000000-0005-0000-0000-00009F090000}"/>
    <cellStyle name="40% - Ênfase3 32 2" xfId="2468" xr:uid="{00000000-0005-0000-0000-0000A0090000}"/>
    <cellStyle name="40% - Ênfase3 33" xfId="2469" xr:uid="{00000000-0005-0000-0000-0000A1090000}"/>
    <cellStyle name="40% - Ênfase3 33 2" xfId="2470" xr:uid="{00000000-0005-0000-0000-0000A2090000}"/>
    <cellStyle name="40% - Ênfase3 34" xfId="2471" xr:uid="{00000000-0005-0000-0000-0000A3090000}"/>
    <cellStyle name="40% - Ênfase3 35" xfId="2472" xr:uid="{00000000-0005-0000-0000-0000A4090000}"/>
    <cellStyle name="40% - Ênfase3 4" xfId="2473" xr:uid="{00000000-0005-0000-0000-0000A5090000}"/>
    <cellStyle name="40% - Ênfase3 4 2" xfId="2474" xr:uid="{00000000-0005-0000-0000-0000A6090000}"/>
    <cellStyle name="40% - Ênfase3 4 2 2" xfId="2475" xr:uid="{00000000-0005-0000-0000-0000A7090000}"/>
    <cellStyle name="40% - Ênfase3 4 2 2 2" xfId="2476" xr:uid="{00000000-0005-0000-0000-0000A8090000}"/>
    <cellStyle name="40% - Ênfase3 4 2 3" xfId="2477" xr:uid="{00000000-0005-0000-0000-0000A9090000}"/>
    <cellStyle name="40% - Ênfase3 4 3" xfId="2478" xr:uid="{00000000-0005-0000-0000-0000AA090000}"/>
    <cellStyle name="40% - Ênfase3 4 3 2" xfId="2479" xr:uid="{00000000-0005-0000-0000-0000AB090000}"/>
    <cellStyle name="40% - Ênfase3 4 4" xfId="2480" xr:uid="{00000000-0005-0000-0000-0000AC090000}"/>
    <cellStyle name="40% - Ênfase3 4 4 2" xfId="2481" xr:uid="{00000000-0005-0000-0000-0000AD090000}"/>
    <cellStyle name="40% - Ênfase3 4 5" xfId="2482" xr:uid="{00000000-0005-0000-0000-0000AE090000}"/>
    <cellStyle name="40% - Ênfase3 4 5 2" xfId="2483" xr:uid="{00000000-0005-0000-0000-0000AF090000}"/>
    <cellStyle name="40% - Ênfase3 4 6" xfId="2484" xr:uid="{00000000-0005-0000-0000-0000B0090000}"/>
    <cellStyle name="40% - Ênfase3 5" xfId="2485" xr:uid="{00000000-0005-0000-0000-0000B1090000}"/>
    <cellStyle name="40% - Ênfase3 5 2" xfId="2486" xr:uid="{00000000-0005-0000-0000-0000B2090000}"/>
    <cellStyle name="40% - Ênfase3 5 2 2" xfId="2487" xr:uid="{00000000-0005-0000-0000-0000B3090000}"/>
    <cellStyle name="40% - Ênfase3 5 2 2 2" xfId="2488" xr:uid="{00000000-0005-0000-0000-0000B4090000}"/>
    <cellStyle name="40% - Ênfase3 5 2 3" xfId="2489" xr:uid="{00000000-0005-0000-0000-0000B5090000}"/>
    <cellStyle name="40% - Ênfase3 5 3" xfId="2490" xr:uid="{00000000-0005-0000-0000-0000B6090000}"/>
    <cellStyle name="40% - Ênfase3 5 3 2" xfId="2491" xr:uid="{00000000-0005-0000-0000-0000B7090000}"/>
    <cellStyle name="40% - Ênfase3 5 4" xfId="2492" xr:uid="{00000000-0005-0000-0000-0000B8090000}"/>
    <cellStyle name="40% - Ênfase3 5 4 2" xfId="2493" xr:uid="{00000000-0005-0000-0000-0000B9090000}"/>
    <cellStyle name="40% - Ênfase3 5 5" xfId="2494" xr:uid="{00000000-0005-0000-0000-0000BA090000}"/>
    <cellStyle name="40% - Ênfase3 5 5 2" xfId="2495" xr:uid="{00000000-0005-0000-0000-0000BB090000}"/>
    <cellStyle name="40% - Ênfase3 5 6" xfId="2496" xr:uid="{00000000-0005-0000-0000-0000BC090000}"/>
    <cellStyle name="40% - Ênfase3 6" xfId="2497" xr:uid="{00000000-0005-0000-0000-0000BD090000}"/>
    <cellStyle name="40% - Ênfase3 6 2" xfId="2498" xr:uid="{00000000-0005-0000-0000-0000BE090000}"/>
    <cellStyle name="40% - Ênfase3 6 2 2" xfId="2499" xr:uid="{00000000-0005-0000-0000-0000BF090000}"/>
    <cellStyle name="40% - Ênfase3 6 2 2 2" xfId="2500" xr:uid="{00000000-0005-0000-0000-0000C0090000}"/>
    <cellStyle name="40% - Ênfase3 6 2 3" xfId="2501" xr:uid="{00000000-0005-0000-0000-0000C1090000}"/>
    <cellStyle name="40% - Ênfase3 6 3" xfId="2502" xr:uid="{00000000-0005-0000-0000-0000C2090000}"/>
    <cellStyle name="40% - Ênfase3 6 3 2" xfId="2503" xr:uid="{00000000-0005-0000-0000-0000C3090000}"/>
    <cellStyle name="40% - Ênfase3 6 4" xfId="2504" xr:uid="{00000000-0005-0000-0000-0000C4090000}"/>
    <cellStyle name="40% - Ênfase3 6 4 2" xfId="2505" xr:uid="{00000000-0005-0000-0000-0000C5090000}"/>
    <cellStyle name="40% - Ênfase3 6 5" xfId="2506" xr:uid="{00000000-0005-0000-0000-0000C6090000}"/>
    <cellStyle name="40% - Ênfase3 6 5 2" xfId="2507" xr:uid="{00000000-0005-0000-0000-0000C7090000}"/>
    <cellStyle name="40% - Ênfase3 6 6" xfId="2508" xr:uid="{00000000-0005-0000-0000-0000C8090000}"/>
    <cellStyle name="40% - Ênfase3 7" xfId="2509" xr:uid="{00000000-0005-0000-0000-0000C9090000}"/>
    <cellStyle name="40% - Ênfase3 7 2" xfId="2510" xr:uid="{00000000-0005-0000-0000-0000CA090000}"/>
    <cellStyle name="40% - Ênfase3 7 2 2" xfId="2511" xr:uid="{00000000-0005-0000-0000-0000CB090000}"/>
    <cellStyle name="40% - Ênfase3 7 2 2 2" xfId="2512" xr:uid="{00000000-0005-0000-0000-0000CC090000}"/>
    <cellStyle name="40% - Ênfase3 7 2 3" xfId="2513" xr:uid="{00000000-0005-0000-0000-0000CD090000}"/>
    <cellStyle name="40% - Ênfase3 7 3" xfId="2514" xr:uid="{00000000-0005-0000-0000-0000CE090000}"/>
    <cellStyle name="40% - Ênfase3 7 3 2" xfId="2515" xr:uid="{00000000-0005-0000-0000-0000CF090000}"/>
    <cellStyle name="40% - Ênfase3 7 4" xfId="2516" xr:uid="{00000000-0005-0000-0000-0000D0090000}"/>
    <cellStyle name="40% - Ênfase3 7 4 2" xfId="2517" xr:uid="{00000000-0005-0000-0000-0000D1090000}"/>
    <cellStyle name="40% - Ênfase3 7 5" xfId="2518" xr:uid="{00000000-0005-0000-0000-0000D2090000}"/>
    <cellStyle name="40% - Ênfase3 8" xfId="2519" xr:uid="{00000000-0005-0000-0000-0000D3090000}"/>
    <cellStyle name="40% - Ênfase3 8 2" xfId="2520" xr:uid="{00000000-0005-0000-0000-0000D4090000}"/>
    <cellStyle name="40% - Ênfase3 8 2 2" xfId="2521" xr:uid="{00000000-0005-0000-0000-0000D5090000}"/>
    <cellStyle name="40% - Ênfase3 8 2 2 2" xfId="2522" xr:uid="{00000000-0005-0000-0000-0000D6090000}"/>
    <cellStyle name="40% - Ênfase3 8 2 3" xfId="2523" xr:uid="{00000000-0005-0000-0000-0000D7090000}"/>
    <cellStyle name="40% - Ênfase3 8 3" xfId="2524" xr:uid="{00000000-0005-0000-0000-0000D8090000}"/>
    <cellStyle name="40% - Ênfase3 8 3 2" xfId="2525" xr:uid="{00000000-0005-0000-0000-0000D9090000}"/>
    <cellStyle name="40% - Ênfase3 8 4" xfId="2526" xr:uid="{00000000-0005-0000-0000-0000DA090000}"/>
    <cellStyle name="40% - Ênfase3 8 4 2" xfId="2527" xr:uid="{00000000-0005-0000-0000-0000DB090000}"/>
    <cellStyle name="40% - Ênfase3 8 5" xfId="2528" xr:uid="{00000000-0005-0000-0000-0000DC090000}"/>
    <cellStyle name="40% - Ênfase3 9" xfId="2529" xr:uid="{00000000-0005-0000-0000-0000DD090000}"/>
    <cellStyle name="40% - Ênfase3 9 2" xfId="2530" xr:uid="{00000000-0005-0000-0000-0000DE090000}"/>
    <cellStyle name="40% - Ênfase3 9 2 2" xfId="2531" xr:uid="{00000000-0005-0000-0000-0000DF090000}"/>
    <cellStyle name="40% - Ênfase3 9 2 2 2" xfId="2532" xr:uid="{00000000-0005-0000-0000-0000E0090000}"/>
    <cellStyle name="40% - Ênfase3 9 2 3" xfId="2533" xr:uid="{00000000-0005-0000-0000-0000E1090000}"/>
    <cellStyle name="40% - Ênfase3 9 3" xfId="2534" xr:uid="{00000000-0005-0000-0000-0000E2090000}"/>
    <cellStyle name="40% - Ênfase3 9 3 2" xfId="2535" xr:uid="{00000000-0005-0000-0000-0000E3090000}"/>
    <cellStyle name="40% - Ênfase3 9 4" xfId="2536" xr:uid="{00000000-0005-0000-0000-0000E4090000}"/>
    <cellStyle name="40% - Ênfase3 9 4 2" xfId="2537" xr:uid="{00000000-0005-0000-0000-0000E5090000}"/>
    <cellStyle name="40% - Ênfase3 9 5" xfId="2538" xr:uid="{00000000-0005-0000-0000-0000E6090000}"/>
    <cellStyle name="40% - Ênfase4 10" xfId="2539" xr:uid="{00000000-0005-0000-0000-0000E7090000}"/>
    <cellStyle name="40% - Ênfase4 10 2" xfId="2540" xr:uid="{00000000-0005-0000-0000-0000E8090000}"/>
    <cellStyle name="40% - Ênfase4 10 2 2" xfId="2541" xr:uid="{00000000-0005-0000-0000-0000E9090000}"/>
    <cellStyle name="40% - Ênfase4 10 2 2 2" xfId="2542" xr:uid="{00000000-0005-0000-0000-0000EA090000}"/>
    <cellStyle name="40% - Ênfase4 10 2 3" xfId="2543" xr:uid="{00000000-0005-0000-0000-0000EB090000}"/>
    <cellStyle name="40% - Ênfase4 10 3" xfId="2544" xr:uid="{00000000-0005-0000-0000-0000EC090000}"/>
    <cellStyle name="40% - Ênfase4 10 3 2" xfId="2545" xr:uid="{00000000-0005-0000-0000-0000ED090000}"/>
    <cellStyle name="40% - Ênfase4 10 4" xfId="2546" xr:uid="{00000000-0005-0000-0000-0000EE090000}"/>
    <cellStyle name="40% - Ênfase4 10 4 2" xfId="2547" xr:uid="{00000000-0005-0000-0000-0000EF090000}"/>
    <cellStyle name="40% - Ênfase4 10 5" xfId="2548" xr:uid="{00000000-0005-0000-0000-0000F0090000}"/>
    <cellStyle name="40% - Ênfase4 11" xfId="2549" xr:uid="{00000000-0005-0000-0000-0000F1090000}"/>
    <cellStyle name="40% - Ênfase4 11 2" xfId="2550" xr:uid="{00000000-0005-0000-0000-0000F2090000}"/>
    <cellStyle name="40% - Ênfase4 11 2 2" xfId="2551" xr:uid="{00000000-0005-0000-0000-0000F3090000}"/>
    <cellStyle name="40% - Ênfase4 11 2 2 2" xfId="2552" xr:uid="{00000000-0005-0000-0000-0000F4090000}"/>
    <cellStyle name="40% - Ênfase4 11 2 3" xfId="2553" xr:uid="{00000000-0005-0000-0000-0000F5090000}"/>
    <cellStyle name="40% - Ênfase4 11 3" xfId="2554" xr:uid="{00000000-0005-0000-0000-0000F6090000}"/>
    <cellStyle name="40% - Ênfase4 11 3 2" xfId="2555" xr:uid="{00000000-0005-0000-0000-0000F7090000}"/>
    <cellStyle name="40% - Ênfase4 11 4" xfId="2556" xr:uid="{00000000-0005-0000-0000-0000F8090000}"/>
    <cellStyle name="40% - Ênfase4 11 4 2" xfId="2557" xr:uid="{00000000-0005-0000-0000-0000F9090000}"/>
    <cellStyle name="40% - Ênfase4 11 5" xfId="2558" xr:uid="{00000000-0005-0000-0000-0000FA090000}"/>
    <cellStyle name="40% - Ênfase4 12" xfId="2559" xr:uid="{00000000-0005-0000-0000-0000FB090000}"/>
    <cellStyle name="40% - Ênfase4 12 2" xfId="2560" xr:uid="{00000000-0005-0000-0000-0000FC090000}"/>
    <cellStyle name="40% - Ênfase4 12 2 2" xfId="2561" xr:uid="{00000000-0005-0000-0000-0000FD090000}"/>
    <cellStyle name="40% - Ênfase4 12 2 2 2" xfId="2562" xr:uid="{00000000-0005-0000-0000-0000FE090000}"/>
    <cellStyle name="40% - Ênfase4 12 2 3" xfId="2563" xr:uid="{00000000-0005-0000-0000-0000FF090000}"/>
    <cellStyle name="40% - Ênfase4 12 3" xfId="2564" xr:uid="{00000000-0005-0000-0000-0000000A0000}"/>
    <cellStyle name="40% - Ênfase4 12 3 2" xfId="2565" xr:uid="{00000000-0005-0000-0000-0000010A0000}"/>
    <cellStyle name="40% - Ênfase4 12 4" xfId="2566" xr:uid="{00000000-0005-0000-0000-0000020A0000}"/>
    <cellStyle name="40% - Ênfase4 12 4 2" xfId="2567" xr:uid="{00000000-0005-0000-0000-0000030A0000}"/>
    <cellStyle name="40% - Ênfase4 12 5" xfId="2568" xr:uid="{00000000-0005-0000-0000-0000040A0000}"/>
    <cellStyle name="40% - Ênfase4 13" xfId="2569" xr:uid="{00000000-0005-0000-0000-0000050A0000}"/>
    <cellStyle name="40% - Ênfase4 13 2" xfId="2570" xr:uid="{00000000-0005-0000-0000-0000060A0000}"/>
    <cellStyle name="40% - Ênfase4 13 2 2" xfId="2571" xr:uid="{00000000-0005-0000-0000-0000070A0000}"/>
    <cellStyle name="40% - Ênfase4 13 2 2 2" xfId="2572" xr:uid="{00000000-0005-0000-0000-0000080A0000}"/>
    <cellStyle name="40% - Ênfase4 13 2 3" xfId="2573" xr:uid="{00000000-0005-0000-0000-0000090A0000}"/>
    <cellStyle name="40% - Ênfase4 13 3" xfId="2574" xr:uid="{00000000-0005-0000-0000-00000A0A0000}"/>
    <cellStyle name="40% - Ênfase4 13 3 2" xfId="2575" xr:uid="{00000000-0005-0000-0000-00000B0A0000}"/>
    <cellStyle name="40% - Ênfase4 13 4" xfId="2576" xr:uid="{00000000-0005-0000-0000-00000C0A0000}"/>
    <cellStyle name="40% - Ênfase4 13 4 2" xfId="2577" xr:uid="{00000000-0005-0000-0000-00000D0A0000}"/>
    <cellStyle name="40% - Ênfase4 13 5" xfId="2578" xr:uid="{00000000-0005-0000-0000-00000E0A0000}"/>
    <cellStyle name="40% - Ênfase4 14" xfId="2579" xr:uid="{00000000-0005-0000-0000-00000F0A0000}"/>
    <cellStyle name="40% - Ênfase4 14 2" xfId="2580" xr:uid="{00000000-0005-0000-0000-0000100A0000}"/>
    <cellStyle name="40% - Ênfase4 14 2 2" xfId="2581" xr:uid="{00000000-0005-0000-0000-0000110A0000}"/>
    <cellStyle name="40% - Ênfase4 14 2 2 2" xfId="2582" xr:uid="{00000000-0005-0000-0000-0000120A0000}"/>
    <cellStyle name="40% - Ênfase4 14 2 3" xfId="2583" xr:uid="{00000000-0005-0000-0000-0000130A0000}"/>
    <cellStyle name="40% - Ênfase4 14 3" xfId="2584" xr:uid="{00000000-0005-0000-0000-0000140A0000}"/>
    <cellStyle name="40% - Ênfase4 14 3 2" xfId="2585" xr:uid="{00000000-0005-0000-0000-0000150A0000}"/>
    <cellStyle name="40% - Ênfase4 14 4" xfId="2586" xr:uid="{00000000-0005-0000-0000-0000160A0000}"/>
    <cellStyle name="40% - Ênfase4 14 4 2" xfId="2587" xr:uid="{00000000-0005-0000-0000-0000170A0000}"/>
    <cellStyle name="40% - Ênfase4 14 5" xfId="2588" xr:uid="{00000000-0005-0000-0000-0000180A0000}"/>
    <cellStyle name="40% - Ênfase4 15" xfId="2589" xr:uid="{00000000-0005-0000-0000-0000190A0000}"/>
    <cellStyle name="40% - Ênfase4 15 2" xfId="2590" xr:uid="{00000000-0005-0000-0000-00001A0A0000}"/>
    <cellStyle name="40% - Ênfase4 15 2 2" xfId="2591" xr:uid="{00000000-0005-0000-0000-00001B0A0000}"/>
    <cellStyle name="40% - Ênfase4 15 2 2 2" xfId="2592" xr:uid="{00000000-0005-0000-0000-00001C0A0000}"/>
    <cellStyle name="40% - Ênfase4 15 2 3" xfId="2593" xr:uid="{00000000-0005-0000-0000-00001D0A0000}"/>
    <cellStyle name="40% - Ênfase4 15 3" xfId="2594" xr:uid="{00000000-0005-0000-0000-00001E0A0000}"/>
    <cellStyle name="40% - Ênfase4 15 3 2" xfId="2595" xr:uid="{00000000-0005-0000-0000-00001F0A0000}"/>
    <cellStyle name="40% - Ênfase4 15 4" xfId="2596" xr:uid="{00000000-0005-0000-0000-0000200A0000}"/>
    <cellStyle name="40% - Ênfase4 15 4 2" xfId="2597" xr:uid="{00000000-0005-0000-0000-0000210A0000}"/>
    <cellStyle name="40% - Ênfase4 15 5" xfId="2598" xr:uid="{00000000-0005-0000-0000-0000220A0000}"/>
    <cellStyle name="40% - Ênfase4 16" xfId="2599" xr:uid="{00000000-0005-0000-0000-0000230A0000}"/>
    <cellStyle name="40% - Ênfase4 16 2" xfId="2600" xr:uid="{00000000-0005-0000-0000-0000240A0000}"/>
    <cellStyle name="40% - Ênfase4 16 2 2" xfId="2601" xr:uid="{00000000-0005-0000-0000-0000250A0000}"/>
    <cellStyle name="40% - Ênfase4 16 2 2 2" xfId="2602" xr:uid="{00000000-0005-0000-0000-0000260A0000}"/>
    <cellStyle name="40% - Ênfase4 16 2 3" xfId="2603" xr:uid="{00000000-0005-0000-0000-0000270A0000}"/>
    <cellStyle name="40% - Ênfase4 16 3" xfId="2604" xr:uid="{00000000-0005-0000-0000-0000280A0000}"/>
    <cellStyle name="40% - Ênfase4 16 3 2" xfId="2605" xr:uid="{00000000-0005-0000-0000-0000290A0000}"/>
    <cellStyle name="40% - Ênfase4 16 4" xfId="2606" xr:uid="{00000000-0005-0000-0000-00002A0A0000}"/>
    <cellStyle name="40% - Ênfase4 16 4 2" xfId="2607" xr:uid="{00000000-0005-0000-0000-00002B0A0000}"/>
    <cellStyle name="40% - Ênfase4 16 5" xfId="2608" xr:uid="{00000000-0005-0000-0000-00002C0A0000}"/>
    <cellStyle name="40% - Ênfase4 17" xfId="2609" xr:uid="{00000000-0005-0000-0000-00002D0A0000}"/>
    <cellStyle name="40% - Ênfase4 17 2" xfId="2610" xr:uid="{00000000-0005-0000-0000-00002E0A0000}"/>
    <cellStyle name="40% - Ênfase4 17 2 2" xfId="2611" xr:uid="{00000000-0005-0000-0000-00002F0A0000}"/>
    <cellStyle name="40% - Ênfase4 17 2 2 2" xfId="2612" xr:uid="{00000000-0005-0000-0000-0000300A0000}"/>
    <cellStyle name="40% - Ênfase4 17 2 3" xfId="2613" xr:uid="{00000000-0005-0000-0000-0000310A0000}"/>
    <cellStyle name="40% - Ênfase4 17 3" xfId="2614" xr:uid="{00000000-0005-0000-0000-0000320A0000}"/>
    <cellStyle name="40% - Ênfase4 17 3 2" xfId="2615" xr:uid="{00000000-0005-0000-0000-0000330A0000}"/>
    <cellStyle name="40% - Ênfase4 17 4" xfId="2616" xr:uid="{00000000-0005-0000-0000-0000340A0000}"/>
    <cellStyle name="40% - Ênfase4 17 4 2" xfId="2617" xr:uid="{00000000-0005-0000-0000-0000350A0000}"/>
    <cellStyle name="40% - Ênfase4 17 5" xfId="2618" xr:uid="{00000000-0005-0000-0000-0000360A0000}"/>
    <cellStyle name="40% - Ênfase4 18" xfId="2619" xr:uid="{00000000-0005-0000-0000-0000370A0000}"/>
    <cellStyle name="40% - Ênfase4 18 2" xfId="2620" xr:uid="{00000000-0005-0000-0000-0000380A0000}"/>
    <cellStyle name="40% - Ênfase4 18 2 2" xfId="2621" xr:uid="{00000000-0005-0000-0000-0000390A0000}"/>
    <cellStyle name="40% - Ênfase4 18 2 2 2" xfId="2622" xr:uid="{00000000-0005-0000-0000-00003A0A0000}"/>
    <cellStyle name="40% - Ênfase4 18 2 3" xfId="2623" xr:uid="{00000000-0005-0000-0000-00003B0A0000}"/>
    <cellStyle name="40% - Ênfase4 18 3" xfId="2624" xr:uid="{00000000-0005-0000-0000-00003C0A0000}"/>
    <cellStyle name="40% - Ênfase4 18 3 2" xfId="2625" xr:uid="{00000000-0005-0000-0000-00003D0A0000}"/>
    <cellStyle name="40% - Ênfase4 18 4" xfId="2626" xr:uid="{00000000-0005-0000-0000-00003E0A0000}"/>
    <cellStyle name="40% - Ênfase4 19" xfId="2627" xr:uid="{00000000-0005-0000-0000-00003F0A0000}"/>
    <cellStyle name="40% - Ênfase4 19 2" xfId="2628" xr:uid="{00000000-0005-0000-0000-0000400A0000}"/>
    <cellStyle name="40% - Ênfase4 19 2 2" xfId="2629" xr:uid="{00000000-0005-0000-0000-0000410A0000}"/>
    <cellStyle name="40% - Ênfase4 19 2 2 2" xfId="2630" xr:uid="{00000000-0005-0000-0000-0000420A0000}"/>
    <cellStyle name="40% - Ênfase4 19 2 3" xfId="2631" xr:uid="{00000000-0005-0000-0000-0000430A0000}"/>
    <cellStyle name="40% - Ênfase4 19 3" xfId="2632" xr:uid="{00000000-0005-0000-0000-0000440A0000}"/>
    <cellStyle name="40% - Ênfase4 19 3 2" xfId="2633" xr:uid="{00000000-0005-0000-0000-0000450A0000}"/>
    <cellStyle name="40% - Ênfase4 19 4" xfId="2634" xr:uid="{00000000-0005-0000-0000-0000460A0000}"/>
    <cellStyle name="40% - Ênfase4 2" xfId="2635" xr:uid="{00000000-0005-0000-0000-0000470A0000}"/>
    <cellStyle name="40% - Ênfase4 2 2" xfId="2636" xr:uid="{00000000-0005-0000-0000-0000480A0000}"/>
    <cellStyle name="40% - Ênfase4 2 2 2" xfId="2637" xr:uid="{00000000-0005-0000-0000-0000490A0000}"/>
    <cellStyle name="40% - Ênfase4 2 2 2 2" xfId="2638" xr:uid="{00000000-0005-0000-0000-00004A0A0000}"/>
    <cellStyle name="40% - Ênfase4 2 2 2 2 2" xfId="2639" xr:uid="{00000000-0005-0000-0000-00004B0A0000}"/>
    <cellStyle name="40% - Ênfase4 2 2 2 3" xfId="2640" xr:uid="{00000000-0005-0000-0000-00004C0A0000}"/>
    <cellStyle name="40% - Ênfase4 2 2 3" xfId="2641" xr:uid="{00000000-0005-0000-0000-00004D0A0000}"/>
    <cellStyle name="40% - Ênfase4 2 2 3 2" xfId="2642" xr:uid="{00000000-0005-0000-0000-00004E0A0000}"/>
    <cellStyle name="40% - Ênfase4 2 2 3 2 2" xfId="2643" xr:uid="{00000000-0005-0000-0000-00004F0A0000}"/>
    <cellStyle name="40% - Ênfase4 2 2 3 3" xfId="2644" xr:uid="{00000000-0005-0000-0000-0000500A0000}"/>
    <cellStyle name="40% - Ênfase4 2 2 4" xfId="2645" xr:uid="{00000000-0005-0000-0000-0000510A0000}"/>
    <cellStyle name="40% - Ênfase4 2 2 4 2" xfId="2646" xr:uid="{00000000-0005-0000-0000-0000520A0000}"/>
    <cellStyle name="40% - Ênfase4 2 2 5" xfId="2647" xr:uid="{00000000-0005-0000-0000-0000530A0000}"/>
    <cellStyle name="40% - Ênfase4 2 3" xfId="2648" xr:uid="{00000000-0005-0000-0000-0000540A0000}"/>
    <cellStyle name="40% - Ênfase4 2 3 2" xfId="2649" xr:uid="{00000000-0005-0000-0000-0000550A0000}"/>
    <cellStyle name="40% - Ênfase4 2 3 2 2" xfId="2650" xr:uid="{00000000-0005-0000-0000-0000560A0000}"/>
    <cellStyle name="40% - Ênfase4 2 3 3" xfId="2651" xr:uid="{00000000-0005-0000-0000-0000570A0000}"/>
    <cellStyle name="40% - Ênfase4 2 4" xfId="2652" xr:uid="{00000000-0005-0000-0000-0000580A0000}"/>
    <cellStyle name="40% - Ênfase4 2 4 2" xfId="2653" xr:uid="{00000000-0005-0000-0000-0000590A0000}"/>
    <cellStyle name="40% - Ênfase4 2 4 2 2" xfId="2654" xr:uid="{00000000-0005-0000-0000-00005A0A0000}"/>
    <cellStyle name="40% - Ênfase4 2 4 3" xfId="2655" xr:uid="{00000000-0005-0000-0000-00005B0A0000}"/>
    <cellStyle name="40% - Ênfase4 2 5" xfId="2656" xr:uid="{00000000-0005-0000-0000-00005C0A0000}"/>
    <cellStyle name="40% - Ênfase4 2 5 2" xfId="2657" xr:uid="{00000000-0005-0000-0000-00005D0A0000}"/>
    <cellStyle name="40% - Ênfase4 2 6" xfId="2658" xr:uid="{00000000-0005-0000-0000-00005E0A0000}"/>
    <cellStyle name="40% - Ênfase4 20" xfId="2659" xr:uid="{00000000-0005-0000-0000-00005F0A0000}"/>
    <cellStyle name="40% - Ênfase4 20 2" xfId="2660" xr:uid="{00000000-0005-0000-0000-0000600A0000}"/>
    <cellStyle name="40% - Ênfase4 20 2 2" xfId="2661" xr:uid="{00000000-0005-0000-0000-0000610A0000}"/>
    <cellStyle name="40% - Ênfase4 20 2 2 2" xfId="2662" xr:uid="{00000000-0005-0000-0000-0000620A0000}"/>
    <cellStyle name="40% - Ênfase4 20 2 3" xfId="2663" xr:uid="{00000000-0005-0000-0000-0000630A0000}"/>
    <cellStyle name="40% - Ênfase4 20 3" xfId="2664" xr:uid="{00000000-0005-0000-0000-0000640A0000}"/>
    <cellStyle name="40% - Ênfase4 20 3 2" xfId="2665" xr:uid="{00000000-0005-0000-0000-0000650A0000}"/>
    <cellStyle name="40% - Ênfase4 20 4" xfId="2666" xr:uid="{00000000-0005-0000-0000-0000660A0000}"/>
    <cellStyle name="40% - Ênfase4 21" xfId="2667" xr:uid="{00000000-0005-0000-0000-0000670A0000}"/>
    <cellStyle name="40% - Ênfase4 21 2" xfId="2668" xr:uid="{00000000-0005-0000-0000-0000680A0000}"/>
    <cellStyle name="40% - Ênfase4 21 2 2" xfId="2669" xr:uid="{00000000-0005-0000-0000-0000690A0000}"/>
    <cellStyle name="40% - Ênfase4 21 2 2 2" xfId="2670" xr:uid="{00000000-0005-0000-0000-00006A0A0000}"/>
    <cellStyle name="40% - Ênfase4 21 2 3" xfId="2671" xr:uid="{00000000-0005-0000-0000-00006B0A0000}"/>
    <cellStyle name="40% - Ênfase4 21 3" xfId="2672" xr:uid="{00000000-0005-0000-0000-00006C0A0000}"/>
    <cellStyle name="40% - Ênfase4 21 3 2" xfId="2673" xr:uid="{00000000-0005-0000-0000-00006D0A0000}"/>
    <cellStyle name="40% - Ênfase4 21 4" xfId="2674" xr:uid="{00000000-0005-0000-0000-00006E0A0000}"/>
    <cellStyle name="40% - Ênfase4 22" xfId="2675" xr:uid="{00000000-0005-0000-0000-00006F0A0000}"/>
    <cellStyle name="40% - Ênfase4 22 2" xfId="2676" xr:uid="{00000000-0005-0000-0000-0000700A0000}"/>
    <cellStyle name="40% - Ênfase4 22 2 2" xfId="2677" xr:uid="{00000000-0005-0000-0000-0000710A0000}"/>
    <cellStyle name="40% - Ênfase4 22 2 2 2" xfId="2678" xr:uid="{00000000-0005-0000-0000-0000720A0000}"/>
    <cellStyle name="40% - Ênfase4 22 2 3" xfId="2679" xr:uid="{00000000-0005-0000-0000-0000730A0000}"/>
    <cellStyle name="40% - Ênfase4 22 3" xfId="2680" xr:uid="{00000000-0005-0000-0000-0000740A0000}"/>
    <cellStyle name="40% - Ênfase4 22 3 2" xfId="2681" xr:uid="{00000000-0005-0000-0000-0000750A0000}"/>
    <cellStyle name="40% - Ênfase4 22 4" xfId="2682" xr:uid="{00000000-0005-0000-0000-0000760A0000}"/>
    <cellStyle name="40% - Ênfase4 23" xfId="2683" xr:uid="{00000000-0005-0000-0000-0000770A0000}"/>
    <cellStyle name="40% - Ênfase4 23 2" xfId="2684" xr:uid="{00000000-0005-0000-0000-0000780A0000}"/>
    <cellStyle name="40% - Ênfase4 23 2 2" xfId="2685" xr:uid="{00000000-0005-0000-0000-0000790A0000}"/>
    <cellStyle name="40% - Ênfase4 23 2 2 2" xfId="2686" xr:uid="{00000000-0005-0000-0000-00007A0A0000}"/>
    <cellStyle name="40% - Ênfase4 23 2 3" xfId="2687" xr:uid="{00000000-0005-0000-0000-00007B0A0000}"/>
    <cellStyle name="40% - Ênfase4 23 3" xfId="2688" xr:uid="{00000000-0005-0000-0000-00007C0A0000}"/>
    <cellStyle name="40% - Ênfase4 23 3 2" xfId="2689" xr:uid="{00000000-0005-0000-0000-00007D0A0000}"/>
    <cellStyle name="40% - Ênfase4 23 4" xfId="2690" xr:uid="{00000000-0005-0000-0000-00007E0A0000}"/>
    <cellStyle name="40% - Ênfase4 24" xfId="2691" xr:uid="{00000000-0005-0000-0000-00007F0A0000}"/>
    <cellStyle name="40% - Ênfase4 24 2" xfId="2692" xr:uid="{00000000-0005-0000-0000-0000800A0000}"/>
    <cellStyle name="40% - Ênfase4 24 2 2" xfId="2693" xr:uid="{00000000-0005-0000-0000-0000810A0000}"/>
    <cellStyle name="40% - Ênfase4 24 2 2 2" xfId="2694" xr:uid="{00000000-0005-0000-0000-0000820A0000}"/>
    <cellStyle name="40% - Ênfase4 24 2 3" xfId="2695" xr:uid="{00000000-0005-0000-0000-0000830A0000}"/>
    <cellStyle name="40% - Ênfase4 24 3" xfId="2696" xr:uid="{00000000-0005-0000-0000-0000840A0000}"/>
    <cellStyle name="40% - Ênfase4 24 3 2" xfId="2697" xr:uid="{00000000-0005-0000-0000-0000850A0000}"/>
    <cellStyle name="40% - Ênfase4 24 4" xfId="2698" xr:uid="{00000000-0005-0000-0000-0000860A0000}"/>
    <cellStyle name="40% - Ênfase4 25" xfId="2699" xr:uid="{00000000-0005-0000-0000-0000870A0000}"/>
    <cellStyle name="40% - Ênfase4 25 2" xfId="2700" xr:uid="{00000000-0005-0000-0000-0000880A0000}"/>
    <cellStyle name="40% - Ênfase4 25 2 2" xfId="2701" xr:uid="{00000000-0005-0000-0000-0000890A0000}"/>
    <cellStyle name="40% - Ênfase4 25 2 2 2" xfId="2702" xr:uid="{00000000-0005-0000-0000-00008A0A0000}"/>
    <cellStyle name="40% - Ênfase4 25 2 3" xfId="2703" xr:uid="{00000000-0005-0000-0000-00008B0A0000}"/>
    <cellStyle name="40% - Ênfase4 25 3" xfId="2704" xr:uid="{00000000-0005-0000-0000-00008C0A0000}"/>
    <cellStyle name="40% - Ênfase4 25 3 2" xfId="2705" xr:uid="{00000000-0005-0000-0000-00008D0A0000}"/>
    <cellStyle name="40% - Ênfase4 25 4" xfId="2706" xr:uid="{00000000-0005-0000-0000-00008E0A0000}"/>
    <cellStyle name="40% - Ênfase4 26" xfId="2707" xr:uid="{00000000-0005-0000-0000-00008F0A0000}"/>
    <cellStyle name="40% - Ênfase4 26 2" xfId="2708" xr:uid="{00000000-0005-0000-0000-0000900A0000}"/>
    <cellStyle name="40% - Ênfase4 26 2 2" xfId="2709" xr:uid="{00000000-0005-0000-0000-0000910A0000}"/>
    <cellStyle name="40% - Ênfase4 26 2 2 2" xfId="2710" xr:uid="{00000000-0005-0000-0000-0000920A0000}"/>
    <cellStyle name="40% - Ênfase4 26 2 3" xfId="2711" xr:uid="{00000000-0005-0000-0000-0000930A0000}"/>
    <cellStyle name="40% - Ênfase4 26 3" xfId="2712" xr:uid="{00000000-0005-0000-0000-0000940A0000}"/>
    <cellStyle name="40% - Ênfase4 26 3 2" xfId="2713" xr:uid="{00000000-0005-0000-0000-0000950A0000}"/>
    <cellStyle name="40% - Ênfase4 26 4" xfId="2714" xr:uid="{00000000-0005-0000-0000-0000960A0000}"/>
    <cellStyle name="40% - Ênfase4 27" xfId="2715" xr:uid="{00000000-0005-0000-0000-0000970A0000}"/>
    <cellStyle name="40% - Ênfase4 27 2" xfId="2716" xr:uid="{00000000-0005-0000-0000-0000980A0000}"/>
    <cellStyle name="40% - Ênfase4 27 2 2" xfId="2717" xr:uid="{00000000-0005-0000-0000-0000990A0000}"/>
    <cellStyle name="40% - Ênfase4 27 3" xfId="2718" xr:uid="{00000000-0005-0000-0000-00009A0A0000}"/>
    <cellStyle name="40% - Ênfase4 28" xfId="2719" xr:uid="{00000000-0005-0000-0000-00009B0A0000}"/>
    <cellStyle name="40% - Ênfase4 28 2" xfId="2720" xr:uid="{00000000-0005-0000-0000-00009C0A0000}"/>
    <cellStyle name="40% - Ênfase4 28 2 2" xfId="2721" xr:uid="{00000000-0005-0000-0000-00009D0A0000}"/>
    <cellStyle name="40% - Ênfase4 28 3" xfId="2722" xr:uid="{00000000-0005-0000-0000-00009E0A0000}"/>
    <cellStyle name="40% - Ênfase4 29" xfId="2723" xr:uid="{00000000-0005-0000-0000-00009F0A0000}"/>
    <cellStyle name="40% - Ênfase4 29 2" xfId="2724" xr:uid="{00000000-0005-0000-0000-0000A00A0000}"/>
    <cellStyle name="40% - Ênfase4 29 2 2" xfId="2725" xr:uid="{00000000-0005-0000-0000-0000A10A0000}"/>
    <cellStyle name="40% - Ênfase4 29 3" xfId="2726" xr:uid="{00000000-0005-0000-0000-0000A20A0000}"/>
    <cellStyle name="40% - Ênfase4 3" xfId="2727" xr:uid="{00000000-0005-0000-0000-0000A30A0000}"/>
    <cellStyle name="40% - Ênfase4 3 2" xfId="2728" xr:uid="{00000000-0005-0000-0000-0000A40A0000}"/>
    <cellStyle name="40% - Ênfase4 3 2 2" xfId="2729" xr:uid="{00000000-0005-0000-0000-0000A50A0000}"/>
    <cellStyle name="40% - Ênfase4 3 2 2 2" xfId="2730" xr:uid="{00000000-0005-0000-0000-0000A60A0000}"/>
    <cellStyle name="40% - Ênfase4 3 2 3" xfId="2731" xr:uid="{00000000-0005-0000-0000-0000A70A0000}"/>
    <cellStyle name="40% - Ênfase4 3 3" xfId="2732" xr:uid="{00000000-0005-0000-0000-0000A80A0000}"/>
    <cellStyle name="40% - Ênfase4 3 3 2" xfId="2733" xr:uid="{00000000-0005-0000-0000-0000A90A0000}"/>
    <cellStyle name="40% - Ênfase4 3 4" xfId="2734" xr:uid="{00000000-0005-0000-0000-0000AA0A0000}"/>
    <cellStyle name="40% - Ênfase4 3 4 2" xfId="2735" xr:uid="{00000000-0005-0000-0000-0000AB0A0000}"/>
    <cellStyle name="40% - Ênfase4 3 5" xfId="2736" xr:uid="{00000000-0005-0000-0000-0000AC0A0000}"/>
    <cellStyle name="40% - Ênfase4 3 5 2" xfId="2737" xr:uid="{00000000-0005-0000-0000-0000AD0A0000}"/>
    <cellStyle name="40% - Ênfase4 3 6" xfId="2738" xr:uid="{00000000-0005-0000-0000-0000AE0A0000}"/>
    <cellStyle name="40% - Ênfase4 30" xfId="2739" xr:uid="{00000000-0005-0000-0000-0000AF0A0000}"/>
    <cellStyle name="40% - Ênfase4 30 2" xfId="2740" xr:uid="{00000000-0005-0000-0000-0000B00A0000}"/>
    <cellStyle name="40% - Ênfase4 30 2 2" xfId="2741" xr:uid="{00000000-0005-0000-0000-0000B10A0000}"/>
    <cellStyle name="40% - Ênfase4 30 3" xfId="2742" xr:uid="{00000000-0005-0000-0000-0000B20A0000}"/>
    <cellStyle name="40% - Ênfase4 31" xfId="2743" xr:uid="{00000000-0005-0000-0000-0000B30A0000}"/>
    <cellStyle name="40% - Ênfase4 31 2" xfId="2744" xr:uid="{00000000-0005-0000-0000-0000B40A0000}"/>
    <cellStyle name="40% - Ênfase4 32" xfId="2745" xr:uid="{00000000-0005-0000-0000-0000B50A0000}"/>
    <cellStyle name="40% - Ênfase4 32 2" xfId="2746" xr:uid="{00000000-0005-0000-0000-0000B60A0000}"/>
    <cellStyle name="40% - Ênfase4 33" xfId="2747" xr:uid="{00000000-0005-0000-0000-0000B70A0000}"/>
    <cellStyle name="40% - Ênfase4 33 2" xfId="2748" xr:uid="{00000000-0005-0000-0000-0000B80A0000}"/>
    <cellStyle name="40% - Ênfase4 34" xfId="2749" xr:uid="{00000000-0005-0000-0000-0000B90A0000}"/>
    <cellStyle name="40% - Ênfase4 35" xfId="2750" xr:uid="{00000000-0005-0000-0000-0000BA0A0000}"/>
    <cellStyle name="40% - Ênfase4 4" xfId="2751" xr:uid="{00000000-0005-0000-0000-0000BB0A0000}"/>
    <cellStyle name="40% - Ênfase4 4 2" xfId="2752" xr:uid="{00000000-0005-0000-0000-0000BC0A0000}"/>
    <cellStyle name="40% - Ênfase4 4 2 2" xfId="2753" xr:uid="{00000000-0005-0000-0000-0000BD0A0000}"/>
    <cellStyle name="40% - Ênfase4 4 2 2 2" xfId="2754" xr:uid="{00000000-0005-0000-0000-0000BE0A0000}"/>
    <cellStyle name="40% - Ênfase4 4 2 3" xfId="2755" xr:uid="{00000000-0005-0000-0000-0000BF0A0000}"/>
    <cellStyle name="40% - Ênfase4 4 3" xfId="2756" xr:uid="{00000000-0005-0000-0000-0000C00A0000}"/>
    <cellStyle name="40% - Ênfase4 4 3 2" xfId="2757" xr:uid="{00000000-0005-0000-0000-0000C10A0000}"/>
    <cellStyle name="40% - Ênfase4 4 4" xfId="2758" xr:uid="{00000000-0005-0000-0000-0000C20A0000}"/>
    <cellStyle name="40% - Ênfase4 4 4 2" xfId="2759" xr:uid="{00000000-0005-0000-0000-0000C30A0000}"/>
    <cellStyle name="40% - Ênfase4 4 5" xfId="2760" xr:uid="{00000000-0005-0000-0000-0000C40A0000}"/>
    <cellStyle name="40% - Ênfase4 4 5 2" xfId="2761" xr:uid="{00000000-0005-0000-0000-0000C50A0000}"/>
    <cellStyle name="40% - Ênfase4 4 6" xfId="2762" xr:uid="{00000000-0005-0000-0000-0000C60A0000}"/>
    <cellStyle name="40% - Ênfase4 5" xfId="2763" xr:uid="{00000000-0005-0000-0000-0000C70A0000}"/>
    <cellStyle name="40% - Ênfase4 5 2" xfId="2764" xr:uid="{00000000-0005-0000-0000-0000C80A0000}"/>
    <cellStyle name="40% - Ênfase4 5 2 2" xfId="2765" xr:uid="{00000000-0005-0000-0000-0000C90A0000}"/>
    <cellStyle name="40% - Ênfase4 5 2 2 2" xfId="2766" xr:uid="{00000000-0005-0000-0000-0000CA0A0000}"/>
    <cellStyle name="40% - Ênfase4 5 2 3" xfId="2767" xr:uid="{00000000-0005-0000-0000-0000CB0A0000}"/>
    <cellStyle name="40% - Ênfase4 5 3" xfId="2768" xr:uid="{00000000-0005-0000-0000-0000CC0A0000}"/>
    <cellStyle name="40% - Ênfase4 5 3 2" xfId="2769" xr:uid="{00000000-0005-0000-0000-0000CD0A0000}"/>
    <cellStyle name="40% - Ênfase4 5 4" xfId="2770" xr:uid="{00000000-0005-0000-0000-0000CE0A0000}"/>
    <cellStyle name="40% - Ênfase4 5 4 2" xfId="2771" xr:uid="{00000000-0005-0000-0000-0000CF0A0000}"/>
    <cellStyle name="40% - Ênfase4 5 5" xfId="2772" xr:uid="{00000000-0005-0000-0000-0000D00A0000}"/>
    <cellStyle name="40% - Ênfase4 5 5 2" xfId="2773" xr:uid="{00000000-0005-0000-0000-0000D10A0000}"/>
    <cellStyle name="40% - Ênfase4 5 6" xfId="2774" xr:uid="{00000000-0005-0000-0000-0000D20A0000}"/>
    <cellStyle name="40% - Ênfase4 6" xfId="2775" xr:uid="{00000000-0005-0000-0000-0000D30A0000}"/>
    <cellStyle name="40% - Ênfase4 6 2" xfId="2776" xr:uid="{00000000-0005-0000-0000-0000D40A0000}"/>
    <cellStyle name="40% - Ênfase4 6 2 2" xfId="2777" xr:uid="{00000000-0005-0000-0000-0000D50A0000}"/>
    <cellStyle name="40% - Ênfase4 6 2 2 2" xfId="2778" xr:uid="{00000000-0005-0000-0000-0000D60A0000}"/>
    <cellStyle name="40% - Ênfase4 6 2 3" xfId="2779" xr:uid="{00000000-0005-0000-0000-0000D70A0000}"/>
    <cellStyle name="40% - Ênfase4 6 3" xfId="2780" xr:uid="{00000000-0005-0000-0000-0000D80A0000}"/>
    <cellStyle name="40% - Ênfase4 6 3 2" xfId="2781" xr:uid="{00000000-0005-0000-0000-0000D90A0000}"/>
    <cellStyle name="40% - Ênfase4 6 4" xfId="2782" xr:uid="{00000000-0005-0000-0000-0000DA0A0000}"/>
    <cellStyle name="40% - Ênfase4 6 4 2" xfId="2783" xr:uid="{00000000-0005-0000-0000-0000DB0A0000}"/>
    <cellStyle name="40% - Ênfase4 6 5" xfId="2784" xr:uid="{00000000-0005-0000-0000-0000DC0A0000}"/>
    <cellStyle name="40% - Ênfase4 6 5 2" xfId="2785" xr:uid="{00000000-0005-0000-0000-0000DD0A0000}"/>
    <cellStyle name="40% - Ênfase4 6 6" xfId="2786" xr:uid="{00000000-0005-0000-0000-0000DE0A0000}"/>
    <cellStyle name="40% - Ênfase4 7" xfId="2787" xr:uid="{00000000-0005-0000-0000-0000DF0A0000}"/>
    <cellStyle name="40% - Ênfase4 7 2" xfId="2788" xr:uid="{00000000-0005-0000-0000-0000E00A0000}"/>
    <cellStyle name="40% - Ênfase4 7 2 2" xfId="2789" xr:uid="{00000000-0005-0000-0000-0000E10A0000}"/>
    <cellStyle name="40% - Ênfase4 7 2 2 2" xfId="2790" xr:uid="{00000000-0005-0000-0000-0000E20A0000}"/>
    <cellStyle name="40% - Ênfase4 7 2 3" xfId="2791" xr:uid="{00000000-0005-0000-0000-0000E30A0000}"/>
    <cellStyle name="40% - Ênfase4 7 3" xfId="2792" xr:uid="{00000000-0005-0000-0000-0000E40A0000}"/>
    <cellStyle name="40% - Ênfase4 7 3 2" xfId="2793" xr:uid="{00000000-0005-0000-0000-0000E50A0000}"/>
    <cellStyle name="40% - Ênfase4 7 4" xfId="2794" xr:uid="{00000000-0005-0000-0000-0000E60A0000}"/>
    <cellStyle name="40% - Ênfase4 7 4 2" xfId="2795" xr:uid="{00000000-0005-0000-0000-0000E70A0000}"/>
    <cellStyle name="40% - Ênfase4 7 5" xfId="2796" xr:uid="{00000000-0005-0000-0000-0000E80A0000}"/>
    <cellStyle name="40% - Ênfase4 8" xfId="2797" xr:uid="{00000000-0005-0000-0000-0000E90A0000}"/>
    <cellStyle name="40% - Ênfase4 8 2" xfId="2798" xr:uid="{00000000-0005-0000-0000-0000EA0A0000}"/>
    <cellStyle name="40% - Ênfase4 8 2 2" xfId="2799" xr:uid="{00000000-0005-0000-0000-0000EB0A0000}"/>
    <cellStyle name="40% - Ênfase4 8 2 2 2" xfId="2800" xr:uid="{00000000-0005-0000-0000-0000EC0A0000}"/>
    <cellStyle name="40% - Ênfase4 8 2 3" xfId="2801" xr:uid="{00000000-0005-0000-0000-0000ED0A0000}"/>
    <cellStyle name="40% - Ênfase4 8 3" xfId="2802" xr:uid="{00000000-0005-0000-0000-0000EE0A0000}"/>
    <cellStyle name="40% - Ênfase4 8 3 2" xfId="2803" xr:uid="{00000000-0005-0000-0000-0000EF0A0000}"/>
    <cellStyle name="40% - Ênfase4 8 4" xfId="2804" xr:uid="{00000000-0005-0000-0000-0000F00A0000}"/>
    <cellStyle name="40% - Ênfase4 8 4 2" xfId="2805" xr:uid="{00000000-0005-0000-0000-0000F10A0000}"/>
    <cellStyle name="40% - Ênfase4 8 5" xfId="2806" xr:uid="{00000000-0005-0000-0000-0000F20A0000}"/>
    <cellStyle name="40% - Ênfase4 9" xfId="2807" xr:uid="{00000000-0005-0000-0000-0000F30A0000}"/>
    <cellStyle name="40% - Ênfase4 9 2" xfId="2808" xr:uid="{00000000-0005-0000-0000-0000F40A0000}"/>
    <cellStyle name="40% - Ênfase4 9 2 2" xfId="2809" xr:uid="{00000000-0005-0000-0000-0000F50A0000}"/>
    <cellStyle name="40% - Ênfase4 9 2 2 2" xfId="2810" xr:uid="{00000000-0005-0000-0000-0000F60A0000}"/>
    <cellStyle name="40% - Ênfase4 9 2 3" xfId="2811" xr:uid="{00000000-0005-0000-0000-0000F70A0000}"/>
    <cellStyle name="40% - Ênfase4 9 3" xfId="2812" xr:uid="{00000000-0005-0000-0000-0000F80A0000}"/>
    <cellStyle name="40% - Ênfase4 9 3 2" xfId="2813" xr:uid="{00000000-0005-0000-0000-0000F90A0000}"/>
    <cellStyle name="40% - Ênfase4 9 4" xfId="2814" xr:uid="{00000000-0005-0000-0000-0000FA0A0000}"/>
    <cellStyle name="40% - Ênfase4 9 4 2" xfId="2815" xr:uid="{00000000-0005-0000-0000-0000FB0A0000}"/>
    <cellStyle name="40% - Ênfase4 9 5" xfId="2816" xr:uid="{00000000-0005-0000-0000-0000FC0A0000}"/>
    <cellStyle name="40% - Ênfase5 10" xfId="2817" xr:uid="{00000000-0005-0000-0000-0000FD0A0000}"/>
    <cellStyle name="40% - Ênfase5 10 2" xfId="2818" xr:uid="{00000000-0005-0000-0000-0000FE0A0000}"/>
    <cellStyle name="40% - Ênfase5 10 2 2" xfId="2819" xr:uid="{00000000-0005-0000-0000-0000FF0A0000}"/>
    <cellStyle name="40% - Ênfase5 10 2 2 2" xfId="2820" xr:uid="{00000000-0005-0000-0000-0000000B0000}"/>
    <cellStyle name="40% - Ênfase5 10 2 3" xfId="2821" xr:uid="{00000000-0005-0000-0000-0000010B0000}"/>
    <cellStyle name="40% - Ênfase5 10 3" xfId="2822" xr:uid="{00000000-0005-0000-0000-0000020B0000}"/>
    <cellStyle name="40% - Ênfase5 10 3 2" xfId="2823" xr:uid="{00000000-0005-0000-0000-0000030B0000}"/>
    <cellStyle name="40% - Ênfase5 10 4" xfId="2824" xr:uid="{00000000-0005-0000-0000-0000040B0000}"/>
    <cellStyle name="40% - Ênfase5 10 4 2" xfId="2825" xr:uid="{00000000-0005-0000-0000-0000050B0000}"/>
    <cellStyle name="40% - Ênfase5 10 5" xfId="2826" xr:uid="{00000000-0005-0000-0000-0000060B0000}"/>
    <cellStyle name="40% - Ênfase5 11" xfId="2827" xr:uid="{00000000-0005-0000-0000-0000070B0000}"/>
    <cellStyle name="40% - Ênfase5 11 2" xfId="2828" xr:uid="{00000000-0005-0000-0000-0000080B0000}"/>
    <cellStyle name="40% - Ênfase5 11 2 2" xfId="2829" xr:uid="{00000000-0005-0000-0000-0000090B0000}"/>
    <cellStyle name="40% - Ênfase5 11 2 2 2" xfId="2830" xr:uid="{00000000-0005-0000-0000-00000A0B0000}"/>
    <cellStyle name="40% - Ênfase5 11 2 3" xfId="2831" xr:uid="{00000000-0005-0000-0000-00000B0B0000}"/>
    <cellStyle name="40% - Ênfase5 11 3" xfId="2832" xr:uid="{00000000-0005-0000-0000-00000C0B0000}"/>
    <cellStyle name="40% - Ênfase5 11 3 2" xfId="2833" xr:uid="{00000000-0005-0000-0000-00000D0B0000}"/>
    <cellStyle name="40% - Ênfase5 11 4" xfId="2834" xr:uid="{00000000-0005-0000-0000-00000E0B0000}"/>
    <cellStyle name="40% - Ênfase5 11 4 2" xfId="2835" xr:uid="{00000000-0005-0000-0000-00000F0B0000}"/>
    <cellStyle name="40% - Ênfase5 11 5" xfId="2836" xr:uid="{00000000-0005-0000-0000-0000100B0000}"/>
    <cellStyle name="40% - Ênfase5 12" xfId="2837" xr:uid="{00000000-0005-0000-0000-0000110B0000}"/>
    <cellStyle name="40% - Ênfase5 12 2" xfId="2838" xr:uid="{00000000-0005-0000-0000-0000120B0000}"/>
    <cellStyle name="40% - Ênfase5 12 2 2" xfId="2839" xr:uid="{00000000-0005-0000-0000-0000130B0000}"/>
    <cellStyle name="40% - Ênfase5 12 2 2 2" xfId="2840" xr:uid="{00000000-0005-0000-0000-0000140B0000}"/>
    <cellStyle name="40% - Ênfase5 12 2 3" xfId="2841" xr:uid="{00000000-0005-0000-0000-0000150B0000}"/>
    <cellStyle name="40% - Ênfase5 12 3" xfId="2842" xr:uid="{00000000-0005-0000-0000-0000160B0000}"/>
    <cellStyle name="40% - Ênfase5 12 3 2" xfId="2843" xr:uid="{00000000-0005-0000-0000-0000170B0000}"/>
    <cellStyle name="40% - Ênfase5 12 4" xfId="2844" xr:uid="{00000000-0005-0000-0000-0000180B0000}"/>
    <cellStyle name="40% - Ênfase5 12 4 2" xfId="2845" xr:uid="{00000000-0005-0000-0000-0000190B0000}"/>
    <cellStyle name="40% - Ênfase5 12 5" xfId="2846" xr:uid="{00000000-0005-0000-0000-00001A0B0000}"/>
    <cellStyle name="40% - Ênfase5 13" xfId="2847" xr:uid="{00000000-0005-0000-0000-00001B0B0000}"/>
    <cellStyle name="40% - Ênfase5 13 2" xfId="2848" xr:uid="{00000000-0005-0000-0000-00001C0B0000}"/>
    <cellStyle name="40% - Ênfase5 13 2 2" xfId="2849" xr:uid="{00000000-0005-0000-0000-00001D0B0000}"/>
    <cellStyle name="40% - Ênfase5 13 2 2 2" xfId="2850" xr:uid="{00000000-0005-0000-0000-00001E0B0000}"/>
    <cellStyle name="40% - Ênfase5 13 2 3" xfId="2851" xr:uid="{00000000-0005-0000-0000-00001F0B0000}"/>
    <cellStyle name="40% - Ênfase5 13 3" xfId="2852" xr:uid="{00000000-0005-0000-0000-0000200B0000}"/>
    <cellStyle name="40% - Ênfase5 13 3 2" xfId="2853" xr:uid="{00000000-0005-0000-0000-0000210B0000}"/>
    <cellStyle name="40% - Ênfase5 13 4" xfId="2854" xr:uid="{00000000-0005-0000-0000-0000220B0000}"/>
    <cellStyle name="40% - Ênfase5 13 4 2" xfId="2855" xr:uid="{00000000-0005-0000-0000-0000230B0000}"/>
    <cellStyle name="40% - Ênfase5 13 5" xfId="2856" xr:uid="{00000000-0005-0000-0000-0000240B0000}"/>
    <cellStyle name="40% - Ênfase5 14" xfId="2857" xr:uid="{00000000-0005-0000-0000-0000250B0000}"/>
    <cellStyle name="40% - Ênfase5 14 2" xfId="2858" xr:uid="{00000000-0005-0000-0000-0000260B0000}"/>
    <cellStyle name="40% - Ênfase5 14 2 2" xfId="2859" xr:uid="{00000000-0005-0000-0000-0000270B0000}"/>
    <cellStyle name="40% - Ênfase5 14 2 2 2" xfId="2860" xr:uid="{00000000-0005-0000-0000-0000280B0000}"/>
    <cellStyle name="40% - Ênfase5 14 2 3" xfId="2861" xr:uid="{00000000-0005-0000-0000-0000290B0000}"/>
    <cellStyle name="40% - Ênfase5 14 3" xfId="2862" xr:uid="{00000000-0005-0000-0000-00002A0B0000}"/>
    <cellStyle name="40% - Ênfase5 14 3 2" xfId="2863" xr:uid="{00000000-0005-0000-0000-00002B0B0000}"/>
    <cellStyle name="40% - Ênfase5 14 4" xfId="2864" xr:uid="{00000000-0005-0000-0000-00002C0B0000}"/>
    <cellStyle name="40% - Ênfase5 14 4 2" xfId="2865" xr:uid="{00000000-0005-0000-0000-00002D0B0000}"/>
    <cellStyle name="40% - Ênfase5 14 5" xfId="2866" xr:uid="{00000000-0005-0000-0000-00002E0B0000}"/>
    <cellStyle name="40% - Ênfase5 15" xfId="2867" xr:uid="{00000000-0005-0000-0000-00002F0B0000}"/>
    <cellStyle name="40% - Ênfase5 15 2" xfId="2868" xr:uid="{00000000-0005-0000-0000-0000300B0000}"/>
    <cellStyle name="40% - Ênfase5 15 2 2" xfId="2869" xr:uid="{00000000-0005-0000-0000-0000310B0000}"/>
    <cellStyle name="40% - Ênfase5 15 2 2 2" xfId="2870" xr:uid="{00000000-0005-0000-0000-0000320B0000}"/>
    <cellStyle name="40% - Ênfase5 15 2 3" xfId="2871" xr:uid="{00000000-0005-0000-0000-0000330B0000}"/>
    <cellStyle name="40% - Ênfase5 15 3" xfId="2872" xr:uid="{00000000-0005-0000-0000-0000340B0000}"/>
    <cellStyle name="40% - Ênfase5 15 3 2" xfId="2873" xr:uid="{00000000-0005-0000-0000-0000350B0000}"/>
    <cellStyle name="40% - Ênfase5 15 4" xfId="2874" xr:uid="{00000000-0005-0000-0000-0000360B0000}"/>
    <cellStyle name="40% - Ênfase5 15 4 2" xfId="2875" xr:uid="{00000000-0005-0000-0000-0000370B0000}"/>
    <cellStyle name="40% - Ênfase5 15 5" xfId="2876" xr:uid="{00000000-0005-0000-0000-0000380B0000}"/>
    <cellStyle name="40% - Ênfase5 16" xfId="2877" xr:uid="{00000000-0005-0000-0000-0000390B0000}"/>
    <cellStyle name="40% - Ênfase5 16 2" xfId="2878" xr:uid="{00000000-0005-0000-0000-00003A0B0000}"/>
    <cellStyle name="40% - Ênfase5 16 2 2" xfId="2879" xr:uid="{00000000-0005-0000-0000-00003B0B0000}"/>
    <cellStyle name="40% - Ênfase5 16 2 2 2" xfId="2880" xr:uid="{00000000-0005-0000-0000-00003C0B0000}"/>
    <cellStyle name="40% - Ênfase5 16 2 3" xfId="2881" xr:uid="{00000000-0005-0000-0000-00003D0B0000}"/>
    <cellStyle name="40% - Ênfase5 16 3" xfId="2882" xr:uid="{00000000-0005-0000-0000-00003E0B0000}"/>
    <cellStyle name="40% - Ênfase5 16 3 2" xfId="2883" xr:uid="{00000000-0005-0000-0000-00003F0B0000}"/>
    <cellStyle name="40% - Ênfase5 16 4" xfId="2884" xr:uid="{00000000-0005-0000-0000-0000400B0000}"/>
    <cellStyle name="40% - Ênfase5 16 4 2" xfId="2885" xr:uid="{00000000-0005-0000-0000-0000410B0000}"/>
    <cellStyle name="40% - Ênfase5 16 5" xfId="2886" xr:uid="{00000000-0005-0000-0000-0000420B0000}"/>
    <cellStyle name="40% - Ênfase5 17" xfId="2887" xr:uid="{00000000-0005-0000-0000-0000430B0000}"/>
    <cellStyle name="40% - Ênfase5 17 2" xfId="2888" xr:uid="{00000000-0005-0000-0000-0000440B0000}"/>
    <cellStyle name="40% - Ênfase5 17 2 2" xfId="2889" xr:uid="{00000000-0005-0000-0000-0000450B0000}"/>
    <cellStyle name="40% - Ênfase5 17 2 2 2" xfId="2890" xr:uid="{00000000-0005-0000-0000-0000460B0000}"/>
    <cellStyle name="40% - Ênfase5 17 2 3" xfId="2891" xr:uid="{00000000-0005-0000-0000-0000470B0000}"/>
    <cellStyle name="40% - Ênfase5 17 3" xfId="2892" xr:uid="{00000000-0005-0000-0000-0000480B0000}"/>
    <cellStyle name="40% - Ênfase5 17 3 2" xfId="2893" xr:uid="{00000000-0005-0000-0000-0000490B0000}"/>
    <cellStyle name="40% - Ênfase5 17 4" xfId="2894" xr:uid="{00000000-0005-0000-0000-00004A0B0000}"/>
    <cellStyle name="40% - Ênfase5 17 4 2" xfId="2895" xr:uid="{00000000-0005-0000-0000-00004B0B0000}"/>
    <cellStyle name="40% - Ênfase5 17 5" xfId="2896" xr:uid="{00000000-0005-0000-0000-00004C0B0000}"/>
    <cellStyle name="40% - Ênfase5 18" xfId="2897" xr:uid="{00000000-0005-0000-0000-00004D0B0000}"/>
    <cellStyle name="40% - Ênfase5 18 2" xfId="2898" xr:uid="{00000000-0005-0000-0000-00004E0B0000}"/>
    <cellStyle name="40% - Ênfase5 18 2 2" xfId="2899" xr:uid="{00000000-0005-0000-0000-00004F0B0000}"/>
    <cellStyle name="40% - Ênfase5 18 2 2 2" xfId="2900" xr:uid="{00000000-0005-0000-0000-0000500B0000}"/>
    <cellStyle name="40% - Ênfase5 18 2 3" xfId="2901" xr:uid="{00000000-0005-0000-0000-0000510B0000}"/>
    <cellStyle name="40% - Ênfase5 18 3" xfId="2902" xr:uid="{00000000-0005-0000-0000-0000520B0000}"/>
    <cellStyle name="40% - Ênfase5 18 3 2" xfId="2903" xr:uid="{00000000-0005-0000-0000-0000530B0000}"/>
    <cellStyle name="40% - Ênfase5 18 4" xfId="2904" xr:uid="{00000000-0005-0000-0000-0000540B0000}"/>
    <cellStyle name="40% - Ênfase5 19" xfId="2905" xr:uid="{00000000-0005-0000-0000-0000550B0000}"/>
    <cellStyle name="40% - Ênfase5 19 2" xfId="2906" xr:uid="{00000000-0005-0000-0000-0000560B0000}"/>
    <cellStyle name="40% - Ênfase5 19 2 2" xfId="2907" xr:uid="{00000000-0005-0000-0000-0000570B0000}"/>
    <cellStyle name="40% - Ênfase5 19 2 2 2" xfId="2908" xr:uid="{00000000-0005-0000-0000-0000580B0000}"/>
    <cellStyle name="40% - Ênfase5 19 2 3" xfId="2909" xr:uid="{00000000-0005-0000-0000-0000590B0000}"/>
    <cellStyle name="40% - Ênfase5 19 3" xfId="2910" xr:uid="{00000000-0005-0000-0000-00005A0B0000}"/>
    <cellStyle name="40% - Ênfase5 19 3 2" xfId="2911" xr:uid="{00000000-0005-0000-0000-00005B0B0000}"/>
    <cellStyle name="40% - Ênfase5 19 4" xfId="2912" xr:uid="{00000000-0005-0000-0000-00005C0B0000}"/>
    <cellStyle name="40% - Ênfase5 2" xfId="2913" xr:uid="{00000000-0005-0000-0000-00005D0B0000}"/>
    <cellStyle name="40% - Ênfase5 2 2" xfId="2914" xr:uid="{00000000-0005-0000-0000-00005E0B0000}"/>
    <cellStyle name="40% - Ênfase5 2 2 2" xfId="2915" xr:uid="{00000000-0005-0000-0000-00005F0B0000}"/>
    <cellStyle name="40% - Ênfase5 2 2 2 2" xfId="2916" xr:uid="{00000000-0005-0000-0000-0000600B0000}"/>
    <cellStyle name="40% - Ênfase5 2 2 2 2 2" xfId="2917" xr:uid="{00000000-0005-0000-0000-0000610B0000}"/>
    <cellStyle name="40% - Ênfase5 2 2 2 3" xfId="2918" xr:uid="{00000000-0005-0000-0000-0000620B0000}"/>
    <cellStyle name="40% - Ênfase5 2 2 3" xfId="2919" xr:uid="{00000000-0005-0000-0000-0000630B0000}"/>
    <cellStyle name="40% - Ênfase5 2 2 3 2" xfId="2920" xr:uid="{00000000-0005-0000-0000-0000640B0000}"/>
    <cellStyle name="40% - Ênfase5 2 2 3 2 2" xfId="2921" xr:uid="{00000000-0005-0000-0000-0000650B0000}"/>
    <cellStyle name="40% - Ênfase5 2 2 3 3" xfId="2922" xr:uid="{00000000-0005-0000-0000-0000660B0000}"/>
    <cellStyle name="40% - Ênfase5 2 2 4" xfId="2923" xr:uid="{00000000-0005-0000-0000-0000670B0000}"/>
    <cellStyle name="40% - Ênfase5 2 2 4 2" xfId="2924" xr:uid="{00000000-0005-0000-0000-0000680B0000}"/>
    <cellStyle name="40% - Ênfase5 2 2 5" xfId="2925" xr:uid="{00000000-0005-0000-0000-0000690B0000}"/>
    <cellStyle name="40% - Ênfase5 2 3" xfId="2926" xr:uid="{00000000-0005-0000-0000-00006A0B0000}"/>
    <cellStyle name="40% - Ênfase5 2 3 2" xfId="2927" xr:uid="{00000000-0005-0000-0000-00006B0B0000}"/>
    <cellStyle name="40% - Ênfase5 2 3 2 2" xfId="2928" xr:uid="{00000000-0005-0000-0000-00006C0B0000}"/>
    <cellStyle name="40% - Ênfase5 2 3 3" xfId="2929" xr:uid="{00000000-0005-0000-0000-00006D0B0000}"/>
    <cellStyle name="40% - Ênfase5 2 4" xfId="2930" xr:uid="{00000000-0005-0000-0000-00006E0B0000}"/>
    <cellStyle name="40% - Ênfase5 2 4 2" xfId="2931" xr:uid="{00000000-0005-0000-0000-00006F0B0000}"/>
    <cellStyle name="40% - Ênfase5 2 4 2 2" xfId="2932" xr:uid="{00000000-0005-0000-0000-0000700B0000}"/>
    <cellStyle name="40% - Ênfase5 2 4 3" xfId="2933" xr:uid="{00000000-0005-0000-0000-0000710B0000}"/>
    <cellStyle name="40% - Ênfase5 2 5" xfId="2934" xr:uid="{00000000-0005-0000-0000-0000720B0000}"/>
    <cellStyle name="40% - Ênfase5 2 5 2" xfId="2935" xr:uid="{00000000-0005-0000-0000-0000730B0000}"/>
    <cellStyle name="40% - Ênfase5 2 6" xfId="2936" xr:uid="{00000000-0005-0000-0000-0000740B0000}"/>
    <cellStyle name="40% - Ênfase5 20" xfId="2937" xr:uid="{00000000-0005-0000-0000-0000750B0000}"/>
    <cellStyle name="40% - Ênfase5 20 2" xfId="2938" xr:uid="{00000000-0005-0000-0000-0000760B0000}"/>
    <cellStyle name="40% - Ênfase5 20 2 2" xfId="2939" xr:uid="{00000000-0005-0000-0000-0000770B0000}"/>
    <cellStyle name="40% - Ênfase5 20 2 2 2" xfId="2940" xr:uid="{00000000-0005-0000-0000-0000780B0000}"/>
    <cellStyle name="40% - Ênfase5 20 2 3" xfId="2941" xr:uid="{00000000-0005-0000-0000-0000790B0000}"/>
    <cellStyle name="40% - Ênfase5 20 3" xfId="2942" xr:uid="{00000000-0005-0000-0000-00007A0B0000}"/>
    <cellStyle name="40% - Ênfase5 20 3 2" xfId="2943" xr:uid="{00000000-0005-0000-0000-00007B0B0000}"/>
    <cellStyle name="40% - Ênfase5 20 4" xfId="2944" xr:uid="{00000000-0005-0000-0000-00007C0B0000}"/>
    <cellStyle name="40% - Ênfase5 21" xfId="2945" xr:uid="{00000000-0005-0000-0000-00007D0B0000}"/>
    <cellStyle name="40% - Ênfase5 21 2" xfId="2946" xr:uid="{00000000-0005-0000-0000-00007E0B0000}"/>
    <cellStyle name="40% - Ênfase5 21 2 2" xfId="2947" xr:uid="{00000000-0005-0000-0000-00007F0B0000}"/>
    <cellStyle name="40% - Ênfase5 21 2 2 2" xfId="2948" xr:uid="{00000000-0005-0000-0000-0000800B0000}"/>
    <cellStyle name="40% - Ênfase5 21 2 3" xfId="2949" xr:uid="{00000000-0005-0000-0000-0000810B0000}"/>
    <cellStyle name="40% - Ênfase5 21 3" xfId="2950" xr:uid="{00000000-0005-0000-0000-0000820B0000}"/>
    <cellStyle name="40% - Ênfase5 21 3 2" xfId="2951" xr:uid="{00000000-0005-0000-0000-0000830B0000}"/>
    <cellStyle name="40% - Ênfase5 21 4" xfId="2952" xr:uid="{00000000-0005-0000-0000-0000840B0000}"/>
    <cellStyle name="40% - Ênfase5 22" xfId="2953" xr:uid="{00000000-0005-0000-0000-0000850B0000}"/>
    <cellStyle name="40% - Ênfase5 22 2" xfId="2954" xr:uid="{00000000-0005-0000-0000-0000860B0000}"/>
    <cellStyle name="40% - Ênfase5 22 2 2" xfId="2955" xr:uid="{00000000-0005-0000-0000-0000870B0000}"/>
    <cellStyle name="40% - Ênfase5 22 2 2 2" xfId="2956" xr:uid="{00000000-0005-0000-0000-0000880B0000}"/>
    <cellStyle name="40% - Ênfase5 22 2 3" xfId="2957" xr:uid="{00000000-0005-0000-0000-0000890B0000}"/>
    <cellStyle name="40% - Ênfase5 22 3" xfId="2958" xr:uid="{00000000-0005-0000-0000-00008A0B0000}"/>
    <cellStyle name="40% - Ênfase5 22 3 2" xfId="2959" xr:uid="{00000000-0005-0000-0000-00008B0B0000}"/>
    <cellStyle name="40% - Ênfase5 22 4" xfId="2960" xr:uid="{00000000-0005-0000-0000-00008C0B0000}"/>
    <cellStyle name="40% - Ênfase5 23" xfId="2961" xr:uid="{00000000-0005-0000-0000-00008D0B0000}"/>
    <cellStyle name="40% - Ênfase5 23 2" xfId="2962" xr:uid="{00000000-0005-0000-0000-00008E0B0000}"/>
    <cellStyle name="40% - Ênfase5 23 2 2" xfId="2963" xr:uid="{00000000-0005-0000-0000-00008F0B0000}"/>
    <cellStyle name="40% - Ênfase5 23 2 2 2" xfId="2964" xr:uid="{00000000-0005-0000-0000-0000900B0000}"/>
    <cellStyle name="40% - Ênfase5 23 2 3" xfId="2965" xr:uid="{00000000-0005-0000-0000-0000910B0000}"/>
    <cellStyle name="40% - Ênfase5 23 3" xfId="2966" xr:uid="{00000000-0005-0000-0000-0000920B0000}"/>
    <cellStyle name="40% - Ênfase5 23 3 2" xfId="2967" xr:uid="{00000000-0005-0000-0000-0000930B0000}"/>
    <cellStyle name="40% - Ênfase5 23 4" xfId="2968" xr:uid="{00000000-0005-0000-0000-0000940B0000}"/>
    <cellStyle name="40% - Ênfase5 24" xfId="2969" xr:uid="{00000000-0005-0000-0000-0000950B0000}"/>
    <cellStyle name="40% - Ênfase5 24 2" xfId="2970" xr:uid="{00000000-0005-0000-0000-0000960B0000}"/>
    <cellStyle name="40% - Ênfase5 24 2 2" xfId="2971" xr:uid="{00000000-0005-0000-0000-0000970B0000}"/>
    <cellStyle name="40% - Ênfase5 24 2 2 2" xfId="2972" xr:uid="{00000000-0005-0000-0000-0000980B0000}"/>
    <cellStyle name="40% - Ênfase5 24 2 3" xfId="2973" xr:uid="{00000000-0005-0000-0000-0000990B0000}"/>
    <cellStyle name="40% - Ênfase5 24 3" xfId="2974" xr:uid="{00000000-0005-0000-0000-00009A0B0000}"/>
    <cellStyle name="40% - Ênfase5 24 3 2" xfId="2975" xr:uid="{00000000-0005-0000-0000-00009B0B0000}"/>
    <cellStyle name="40% - Ênfase5 24 4" xfId="2976" xr:uid="{00000000-0005-0000-0000-00009C0B0000}"/>
    <cellStyle name="40% - Ênfase5 25" xfId="2977" xr:uid="{00000000-0005-0000-0000-00009D0B0000}"/>
    <cellStyle name="40% - Ênfase5 25 2" xfId="2978" xr:uid="{00000000-0005-0000-0000-00009E0B0000}"/>
    <cellStyle name="40% - Ênfase5 25 2 2" xfId="2979" xr:uid="{00000000-0005-0000-0000-00009F0B0000}"/>
    <cellStyle name="40% - Ênfase5 25 2 2 2" xfId="2980" xr:uid="{00000000-0005-0000-0000-0000A00B0000}"/>
    <cellStyle name="40% - Ênfase5 25 2 3" xfId="2981" xr:uid="{00000000-0005-0000-0000-0000A10B0000}"/>
    <cellStyle name="40% - Ênfase5 25 3" xfId="2982" xr:uid="{00000000-0005-0000-0000-0000A20B0000}"/>
    <cellStyle name="40% - Ênfase5 25 3 2" xfId="2983" xr:uid="{00000000-0005-0000-0000-0000A30B0000}"/>
    <cellStyle name="40% - Ênfase5 25 4" xfId="2984" xr:uid="{00000000-0005-0000-0000-0000A40B0000}"/>
    <cellStyle name="40% - Ênfase5 26" xfId="2985" xr:uid="{00000000-0005-0000-0000-0000A50B0000}"/>
    <cellStyle name="40% - Ênfase5 26 2" xfId="2986" xr:uid="{00000000-0005-0000-0000-0000A60B0000}"/>
    <cellStyle name="40% - Ênfase5 26 2 2" xfId="2987" xr:uid="{00000000-0005-0000-0000-0000A70B0000}"/>
    <cellStyle name="40% - Ênfase5 26 2 2 2" xfId="2988" xr:uid="{00000000-0005-0000-0000-0000A80B0000}"/>
    <cellStyle name="40% - Ênfase5 26 2 3" xfId="2989" xr:uid="{00000000-0005-0000-0000-0000A90B0000}"/>
    <cellStyle name="40% - Ênfase5 26 3" xfId="2990" xr:uid="{00000000-0005-0000-0000-0000AA0B0000}"/>
    <cellStyle name="40% - Ênfase5 26 3 2" xfId="2991" xr:uid="{00000000-0005-0000-0000-0000AB0B0000}"/>
    <cellStyle name="40% - Ênfase5 26 4" xfId="2992" xr:uid="{00000000-0005-0000-0000-0000AC0B0000}"/>
    <cellStyle name="40% - Ênfase5 27" xfId="2993" xr:uid="{00000000-0005-0000-0000-0000AD0B0000}"/>
    <cellStyle name="40% - Ênfase5 27 2" xfId="2994" xr:uid="{00000000-0005-0000-0000-0000AE0B0000}"/>
    <cellStyle name="40% - Ênfase5 27 2 2" xfId="2995" xr:uid="{00000000-0005-0000-0000-0000AF0B0000}"/>
    <cellStyle name="40% - Ênfase5 27 3" xfId="2996" xr:uid="{00000000-0005-0000-0000-0000B00B0000}"/>
    <cellStyle name="40% - Ênfase5 28" xfId="2997" xr:uid="{00000000-0005-0000-0000-0000B10B0000}"/>
    <cellStyle name="40% - Ênfase5 28 2" xfId="2998" xr:uid="{00000000-0005-0000-0000-0000B20B0000}"/>
    <cellStyle name="40% - Ênfase5 28 2 2" xfId="2999" xr:uid="{00000000-0005-0000-0000-0000B30B0000}"/>
    <cellStyle name="40% - Ênfase5 28 3" xfId="3000" xr:uid="{00000000-0005-0000-0000-0000B40B0000}"/>
    <cellStyle name="40% - Ênfase5 29" xfId="3001" xr:uid="{00000000-0005-0000-0000-0000B50B0000}"/>
    <cellStyle name="40% - Ênfase5 29 2" xfId="3002" xr:uid="{00000000-0005-0000-0000-0000B60B0000}"/>
    <cellStyle name="40% - Ênfase5 29 2 2" xfId="3003" xr:uid="{00000000-0005-0000-0000-0000B70B0000}"/>
    <cellStyle name="40% - Ênfase5 29 3" xfId="3004" xr:uid="{00000000-0005-0000-0000-0000B80B0000}"/>
    <cellStyle name="40% - Ênfase5 3" xfId="3005" xr:uid="{00000000-0005-0000-0000-0000B90B0000}"/>
    <cellStyle name="40% - Ênfase5 3 2" xfId="3006" xr:uid="{00000000-0005-0000-0000-0000BA0B0000}"/>
    <cellStyle name="40% - Ênfase5 3 2 2" xfId="3007" xr:uid="{00000000-0005-0000-0000-0000BB0B0000}"/>
    <cellStyle name="40% - Ênfase5 3 2 2 2" xfId="3008" xr:uid="{00000000-0005-0000-0000-0000BC0B0000}"/>
    <cellStyle name="40% - Ênfase5 3 2 3" xfId="3009" xr:uid="{00000000-0005-0000-0000-0000BD0B0000}"/>
    <cellStyle name="40% - Ênfase5 3 3" xfId="3010" xr:uid="{00000000-0005-0000-0000-0000BE0B0000}"/>
    <cellStyle name="40% - Ênfase5 3 3 2" xfId="3011" xr:uid="{00000000-0005-0000-0000-0000BF0B0000}"/>
    <cellStyle name="40% - Ênfase5 3 4" xfId="3012" xr:uid="{00000000-0005-0000-0000-0000C00B0000}"/>
    <cellStyle name="40% - Ênfase5 3 4 2" xfId="3013" xr:uid="{00000000-0005-0000-0000-0000C10B0000}"/>
    <cellStyle name="40% - Ênfase5 3 5" xfId="3014" xr:uid="{00000000-0005-0000-0000-0000C20B0000}"/>
    <cellStyle name="40% - Ênfase5 3 5 2" xfId="3015" xr:uid="{00000000-0005-0000-0000-0000C30B0000}"/>
    <cellStyle name="40% - Ênfase5 3 6" xfId="3016" xr:uid="{00000000-0005-0000-0000-0000C40B0000}"/>
    <cellStyle name="40% - Ênfase5 30" xfId="3017" xr:uid="{00000000-0005-0000-0000-0000C50B0000}"/>
    <cellStyle name="40% - Ênfase5 30 2" xfId="3018" xr:uid="{00000000-0005-0000-0000-0000C60B0000}"/>
    <cellStyle name="40% - Ênfase5 30 2 2" xfId="3019" xr:uid="{00000000-0005-0000-0000-0000C70B0000}"/>
    <cellStyle name="40% - Ênfase5 30 3" xfId="3020" xr:uid="{00000000-0005-0000-0000-0000C80B0000}"/>
    <cellStyle name="40% - Ênfase5 31" xfId="3021" xr:uid="{00000000-0005-0000-0000-0000C90B0000}"/>
    <cellStyle name="40% - Ênfase5 31 2" xfId="3022" xr:uid="{00000000-0005-0000-0000-0000CA0B0000}"/>
    <cellStyle name="40% - Ênfase5 32" xfId="3023" xr:uid="{00000000-0005-0000-0000-0000CB0B0000}"/>
    <cellStyle name="40% - Ênfase5 32 2" xfId="3024" xr:uid="{00000000-0005-0000-0000-0000CC0B0000}"/>
    <cellStyle name="40% - Ênfase5 33" xfId="3025" xr:uid="{00000000-0005-0000-0000-0000CD0B0000}"/>
    <cellStyle name="40% - Ênfase5 33 2" xfId="3026" xr:uid="{00000000-0005-0000-0000-0000CE0B0000}"/>
    <cellStyle name="40% - Ênfase5 34" xfId="3027" xr:uid="{00000000-0005-0000-0000-0000CF0B0000}"/>
    <cellStyle name="40% - Ênfase5 35" xfId="3028" xr:uid="{00000000-0005-0000-0000-0000D00B0000}"/>
    <cellStyle name="40% - Ênfase5 4" xfId="3029" xr:uid="{00000000-0005-0000-0000-0000D10B0000}"/>
    <cellStyle name="40% - Ênfase5 4 2" xfId="3030" xr:uid="{00000000-0005-0000-0000-0000D20B0000}"/>
    <cellStyle name="40% - Ênfase5 4 2 2" xfId="3031" xr:uid="{00000000-0005-0000-0000-0000D30B0000}"/>
    <cellStyle name="40% - Ênfase5 4 2 2 2" xfId="3032" xr:uid="{00000000-0005-0000-0000-0000D40B0000}"/>
    <cellStyle name="40% - Ênfase5 4 2 3" xfId="3033" xr:uid="{00000000-0005-0000-0000-0000D50B0000}"/>
    <cellStyle name="40% - Ênfase5 4 3" xfId="3034" xr:uid="{00000000-0005-0000-0000-0000D60B0000}"/>
    <cellStyle name="40% - Ênfase5 4 3 2" xfId="3035" xr:uid="{00000000-0005-0000-0000-0000D70B0000}"/>
    <cellStyle name="40% - Ênfase5 4 4" xfId="3036" xr:uid="{00000000-0005-0000-0000-0000D80B0000}"/>
    <cellStyle name="40% - Ênfase5 4 4 2" xfId="3037" xr:uid="{00000000-0005-0000-0000-0000D90B0000}"/>
    <cellStyle name="40% - Ênfase5 4 5" xfId="3038" xr:uid="{00000000-0005-0000-0000-0000DA0B0000}"/>
    <cellStyle name="40% - Ênfase5 4 5 2" xfId="3039" xr:uid="{00000000-0005-0000-0000-0000DB0B0000}"/>
    <cellStyle name="40% - Ênfase5 4 6" xfId="3040" xr:uid="{00000000-0005-0000-0000-0000DC0B0000}"/>
    <cellStyle name="40% - Ênfase5 5" xfId="3041" xr:uid="{00000000-0005-0000-0000-0000DD0B0000}"/>
    <cellStyle name="40% - Ênfase5 5 2" xfId="3042" xr:uid="{00000000-0005-0000-0000-0000DE0B0000}"/>
    <cellStyle name="40% - Ênfase5 5 2 2" xfId="3043" xr:uid="{00000000-0005-0000-0000-0000DF0B0000}"/>
    <cellStyle name="40% - Ênfase5 5 2 2 2" xfId="3044" xr:uid="{00000000-0005-0000-0000-0000E00B0000}"/>
    <cellStyle name="40% - Ênfase5 5 2 3" xfId="3045" xr:uid="{00000000-0005-0000-0000-0000E10B0000}"/>
    <cellStyle name="40% - Ênfase5 5 3" xfId="3046" xr:uid="{00000000-0005-0000-0000-0000E20B0000}"/>
    <cellStyle name="40% - Ênfase5 5 3 2" xfId="3047" xr:uid="{00000000-0005-0000-0000-0000E30B0000}"/>
    <cellStyle name="40% - Ênfase5 5 4" xfId="3048" xr:uid="{00000000-0005-0000-0000-0000E40B0000}"/>
    <cellStyle name="40% - Ênfase5 5 4 2" xfId="3049" xr:uid="{00000000-0005-0000-0000-0000E50B0000}"/>
    <cellStyle name="40% - Ênfase5 5 5" xfId="3050" xr:uid="{00000000-0005-0000-0000-0000E60B0000}"/>
    <cellStyle name="40% - Ênfase5 5 5 2" xfId="3051" xr:uid="{00000000-0005-0000-0000-0000E70B0000}"/>
    <cellStyle name="40% - Ênfase5 5 6" xfId="3052" xr:uid="{00000000-0005-0000-0000-0000E80B0000}"/>
    <cellStyle name="40% - Ênfase5 6" xfId="3053" xr:uid="{00000000-0005-0000-0000-0000E90B0000}"/>
    <cellStyle name="40% - Ênfase5 6 2" xfId="3054" xr:uid="{00000000-0005-0000-0000-0000EA0B0000}"/>
    <cellStyle name="40% - Ênfase5 6 2 2" xfId="3055" xr:uid="{00000000-0005-0000-0000-0000EB0B0000}"/>
    <cellStyle name="40% - Ênfase5 6 2 2 2" xfId="3056" xr:uid="{00000000-0005-0000-0000-0000EC0B0000}"/>
    <cellStyle name="40% - Ênfase5 6 2 3" xfId="3057" xr:uid="{00000000-0005-0000-0000-0000ED0B0000}"/>
    <cellStyle name="40% - Ênfase5 6 3" xfId="3058" xr:uid="{00000000-0005-0000-0000-0000EE0B0000}"/>
    <cellStyle name="40% - Ênfase5 6 3 2" xfId="3059" xr:uid="{00000000-0005-0000-0000-0000EF0B0000}"/>
    <cellStyle name="40% - Ênfase5 6 4" xfId="3060" xr:uid="{00000000-0005-0000-0000-0000F00B0000}"/>
    <cellStyle name="40% - Ênfase5 6 4 2" xfId="3061" xr:uid="{00000000-0005-0000-0000-0000F10B0000}"/>
    <cellStyle name="40% - Ênfase5 6 5" xfId="3062" xr:uid="{00000000-0005-0000-0000-0000F20B0000}"/>
    <cellStyle name="40% - Ênfase5 6 5 2" xfId="3063" xr:uid="{00000000-0005-0000-0000-0000F30B0000}"/>
    <cellStyle name="40% - Ênfase5 6 6" xfId="3064" xr:uid="{00000000-0005-0000-0000-0000F40B0000}"/>
    <cellStyle name="40% - Ênfase5 7" xfId="3065" xr:uid="{00000000-0005-0000-0000-0000F50B0000}"/>
    <cellStyle name="40% - Ênfase5 7 2" xfId="3066" xr:uid="{00000000-0005-0000-0000-0000F60B0000}"/>
    <cellStyle name="40% - Ênfase5 7 2 2" xfId="3067" xr:uid="{00000000-0005-0000-0000-0000F70B0000}"/>
    <cellStyle name="40% - Ênfase5 7 2 2 2" xfId="3068" xr:uid="{00000000-0005-0000-0000-0000F80B0000}"/>
    <cellStyle name="40% - Ênfase5 7 2 3" xfId="3069" xr:uid="{00000000-0005-0000-0000-0000F90B0000}"/>
    <cellStyle name="40% - Ênfase5 7 3" xfId="3070" xr:uid="{00000000-0005-0000-0000-0000FA0B0000}"/>
    <cellStyle name="40% - Ênfase5 7 3 2" xfId="3071" xr:uid="{00000000-0005-0000-0000-0000FB0B0000}"/>
    <cellStyle name="40% - Ênfase5 7 4" xfId="3072" xr:uid="{00000000-0005-0000-0000-0000FC0B0000}"/>
    <cellStyle name="40% - Ênfase5 7 4 2" xfId="3073" xr:uid="{00000000-0005-0000-0000-0000FD0B0000}"/>
    <cellStyle name="40% - Ênfase5 7 5" xfId="3074" xr:uid="{00000000-0005-0000-0000-0000FE0B0000}"/>
    <cellStyle name="40% - Ênfase5 8" xfId="3075" xr:uid="{00000000-0005-0000-0000-0000FF0B0000}"/>
    <cellStyle name="40% - Ênfase5 8 2" xfId="3076" xr:uid="{00000000-0005-0000-0000-0000000C0000}"/>
    <cellStyle name="40% - Ênfase5 8 2 2" xfId="3077" xr:uid="{00000000-0005-0000-0000-0000010C0000}"/>
    <cellStyle name="40% - Ênfase5 8 2 2 2" xfId="3078" xr:uid="{00000000-0005-0000-0000-0000020C0000}"/>
    <cellStyle name="40% - Ênfase5 8 2 3" xfId="3079" xr:uid="{00000000-0005-0000-0000-0000030C0000}"/>
    <cellStyle name="40% - Ênfase5 8 3" xfId="3080" xr:uid="{00000000-0005-0000-0000-0000040C0000}"/>
    <cellStyle name="40% - Ênfase5 8 3 2" xfId="3081" xr:uid="{00000000-0005-0000-0000-0000050C0000}"/>
    <cellStyle name="40% - Ênfase5 8 4" xfId="3082" xr:uid="{00000000-0005-0000-0000-0000060C0000}"/>
    <cellStyle name="40% - Ênfase5 8 4 2" xfId="3083" xr:uid="{00000000-0005-0000-0000-0000070C0000}"/>
    <cellStyle name="40% - Ênfase5 8 5" xfId="3084" xr:uid="{00000000-0005-0000-0000-0000080C0000}"/>
    <cellStyle name="40% - Ênfase5 9" xfId="3085" xr:uid="{00000000-0005-0000-0000-0000090C0000}"/>
    <cellStyle name="40% - Ênfase5 9 2" xfId="3086" xr:uid="{00000000-0005-0000-0000-00000A0C0000}"/>
    <cellStyle name="40% - Ênfase5 9 2 2" xfId="3087" xr:uid="{00000000-0005-0000-0000-00000B0C0000}"/>
    <cellStyle name="40% - Ênfase5 9 2 2 2" xfId="3088" xr:uid="{00000000-0005-0000-0000-00000C0C0000}"/>
    <cellStyle name="40% - Ênfase5 9 2 3" xfId="3089" xr:uid="{00000000-0005-0000-0000-00000D0C0000}"/>
    <cellStyle name="40% - Ênfase5 9 3" xfId="3090" xr:uid="{00000000-0005-0000-0000-00000E0C0000}"/>
    <cellStyle name="40% - Ênfase5 9 3 2" xfId="3091" xr:uid="{00000000-0005-0000-0000-00000F0C0000}"/>
    <cellStyle name="40% - Ênfase5 9 4" xfId="3092" xr:uid="{00000000-0005-0000-0000-0000100C0000}"/>
    <cellStyle name="40% - Ênfase5 9 4 2" xfId="3093" xr:uid="{00000000-0005-0000-0000-0000110C0000}"/>
    <cellStyle name="40% - Ênfase5 9 5" xfId="3094" xr:uid="{00000000-0005-0000-0000-0000120C0000}"/>
    <cellStyle name="40% - Ênfase6 10" xfId="3095" xr:uid="{00000000-0005-0000-0000-0000130C0000}"/>
    <cellStyle name="40% - Ênfase6 10 2" xfId="3096" xr:uid="{00000000-0005-0000-0000-0000140C0000}"/>
    <cellStyle name="40% - Ênfase6 10 2 2" xfId="3097" xr:uid="{00000000-0005-0000-0000-0000150C0000}"/>
    <cellStyle name="40% - Ênfase6 10 2 2 2" xfId="3098" xr:uid="{00000000-0005-0000-0000-0000160C0000}"/>
    <cellStyle name="40% - Ênfase6 10 2 3" xfId="3099" xr:uid="{00000000-0005-0000-0000-0000170C0000}"/>
    <cellStyle name="40% - Ênfase6 10 3" xfId="3100" xr:uid="{00000000-0005-0000-0000-0000180C0000}"/>
    <cellStyle name="40% - Ênfase6 10 3 2" xfId="3101" xr:uid="{00000000-0005-0000-0000-0000190C0000}"/>
    <cellStyle name="40% - Ênfase6 10 4" xfId="3102" xr:uid="{00000000-0005-0000-0000-00001A0C0000}"/>
    <cellStyle name="40% - Ênfase6 10 4 2" xfId="3103" xr:uid="{00000000-0005-0000-0000-00001B0C0000}"/>
    <cellStyle name="40% - Ênfase6 10 5" xfId="3104" xr:uid="{00000000-0005-0000-0000-00001C0C0000}"/>
    <cellStyle name="40% - Ênfase6 11" xfId="3105" xr:uid="{00000000-0005-0000-0000-00001D0C0000}"/>
    <cellStyle name="40% - Ênfase6 11 2" xfId="3106" xr:uid="{00000000-0005-0000-0000-00001E0C0000}"/>
    <cellStyle name="40% - Ênfase6 11 2 2" xfId="3107" xr:uid="{00000000-0005-0000-0000-00001F0C0000}"/>
    <cellStyle name="40% - Ênfase6 11 2 2 2" xfId="3108" xr:uid="{00000000-0005-0000-0000-0000200C0000}"/>
    <cellStyle name="40% - Ênfase6 11 2 3" xfId="3109" xr:uid="{00000000-0005-0000-0000-0000210C0000}"/>
    <cellStyle name="40% - Ênfase6 11 3" xfId="3110" xr:uid="{00000000-0005-0000-0000-0000220C0000}"/>
    <cellStyle name="40% - Ênfase6 11 3 2" xfId="3111" xr:uid="{00000000-0005-0000-0000-0000230C0000}"/>
    <cellStyle name="40% - Ênfase6 11 4" xfId="3112" xr:uid="{00000000-0005-0000-0000-0000240C0000}"/>
    <cellStyle name="40% - Ênfase6 11 4 2" xfId="3113" xr:uid="{00000000-0005-0000-0000-0000250C0000}"/>
    <cellStyle name="40% - Ênfase6 11 5" xfId="3114" xr:uid="{00000000-0005-0000-0000-0000260C0000}"/>
    <cellStyle name="40% - Ênfase6 12" xfId="3115" xr:uid="{00000000-0005-0000-0000-0000270C0000}"/>
    <cellStyle name="40% - Ênfase6 12 2" xfId="3116" xr:uid="{00000000-0005-0000-0000-0000280C0000}"/>
    <cellStyle name="40% - Ênfase6 12 2 2" xfId="3117" xr:uid="{00000000-0005-0000-0000-0000290C0000}"/>
    <cellStyle name="40% - Ênfase6 12 2 2 2" xfId="3118" xr:uid="{00000000-0005-0000-0000-00002A0C0000}"/>
    <cellStyle name="40% - Ênfase6 12 2 3" xfId="3119" xr:uid="{00000000-0005-0000-0000-00002B0C0000}"/>
    <cellStyle name="40% - Ênfase6 12 3" xfId="3120" xr:uid="{00000000-0005-0000-0000-00002C0C0000}"/>
    <cellStyle name="40% - Ênfase6 12 3 2" xfId="3121" xr:uid="{00000000-0005-0000-0000-00002D0C0000}"/>
    <cellStyle name="40% - Ênfase6 12 4" xfId="3122" xr:uid="{00000000-0005-0000-0000-00002E0C0000}"/>
    <cellStyle name="40% - Ênfase6 12 4 2" xfId="3123" xr:uid="{00000000-0005-0000-0000-00002F0C0000}"/>
    <cellStyle name="40% - Ênfase6 12 5" xfId="3124" xr:uid="{00000000-0005-0000-0000-0000300C0000}"/>
    <cellStyle name="40% - Ênfase6 13" xfId="3125" xr:uid="{00000000-0005-0000-0000-0000310C0000}"/>
    <cellStyle name="40% - Ênfase6 13 2" xfId="3126" xr:uid="{00000000-0005-0000-0000-0000320C0000}"/>
    <cellStyle name="40% - Ênfase6 13 2 2" xfId="3127" xr:uid="{00000000-0005-0000-0000-0000330C0000}"/>
    <cellStyle name="40% - Ênfase6 13 2 2 2" xfId="3128" xr:uid="{00000000-0005-0000-0000-0000340C0000}"/>
    <cellStyle name="40% - Ênfase6 13 2 3" xfId="3129" xr:uid="{00000000-0005-0000-0000-0000350C0000}"/>
    <cellStyle name="40% - Ênfase6 13 3" xfId="3130" xr:uid="{00000000-0005-0000-0000-0000360C0000}"/>
    <cellStyle name="40% - Ênfase6 13 3 2" xfId="3131" xr:uid="{00000000-0005-0000-0000-0000370C0000}"/>
    <cellStyle name="40% - Ênfase6 13 4" xfId="3132" xr:uid="{00000000-0005-0000-0000-0000380C0000}"/>
    <cellStyle name="40% - Ênfase6 13 4 2" xfId="3133" xr:uid="{00000000-0005-0000-0000-0000390C0000}"/>
    <cellStyle name="40% - Ênfase6 13 5" xfId="3134" xr:uid="{00000000-0005-0000-0000-00003A0C0000}"/>
    <cellStyle name="40% - Ênfase6 14" xfId="3135" xr:uid="{00000000-0005-0000-0000-00003B0C0000}"/>
    <cellStyle name="40% - Ênfase6 14 2" xfId="3136" xr:uid="{00000000-0005-0000-0000-00003C0C0000}"/>
    <cellStyle name="40% - Ênfase6 14 2 2" xfId="3137" xr:uid="{00000000-0005-0000-0000-00003D0C0000}"/>
    <cellStyle name="40% - Ênfase6 14 2 2 2" xfId="3138" xr:uid="{00000000-0005-0000-0000-00003E0C0000}"/>
    <cellStyle name="40% - Ênfase6 14 2 3" xfId="3139" xr:uid="{00000000-0005-0000-0000-00003F0C0000}"/>
    <cellStyle name="40% - Ênfase6 14 3" xfId="3140" xr:uid="{00000000-0005-0000-0000-0000400C0000}"/>
    <cellStyle name="40% - Ênfase6 14 3 2" xfId="3141" xr:uid="{00000000-0005-0000-0000-0000410C0000}"/>
    <cellStyle name="40% - Ênfase6 14 4" xfId="3142" xr:uid="{00000000-0005-0000-0000-0000420C0000}"/>
    <cellStyle name="40% - Ênfase6 14 4 2" xfId="3143" xr:uid="{00000000-0005-0000-0000-0000430C0000}"/>
    <cellStyle name="40% - Ênfase6 14 5" xfId="3144" xr:uid="{00000000-0005-0000-0000-0000440C0000}"/>
    <cellStyle name="40% - Ênfase6 15" xfId="3145" xr:uid="{00000000-0005-0000-0000-0000450C0000}"/>
    <cellStyle name="40% - Ênfase6 15 2" xfId="3146" xr:uid="{00000000-0005-0000-0000-0000460C0000}"/>
    <cellStyle name="40% - Ênfase6 15 2 2" xfId="3147" xr:uid="{00000000-0005-0000-0000-0000470C0000}"/>
    <cellStyle name="40% - Ênfase6 15 2 2 2" xfId="3148" xr:uid="{00000000-0005-0000-0000-0000480C0000}"/>
    <cellStyle name="40% - Ênfase6 15 2 3" xfId="3149" xr:uid="{00000000-0005-0000-0000-0000490C0000}"/>
    <cellStyle name="40% - Ênfase6 15 3" xfId="3150" xr:uid="{00000000-0005-0000-0000-00004A0C0000}"/>
    <cellStyle name="40% - Ênfase6 15 3 2" xfId="3151" xr:uid="{00000000-0005-0000-0000-00004B0C0000}"/>
    <cellStyle name="40% - Ênfase6 15 4" xfId="3152" xr:uid="{00000000-0005-0000-0000-00004C0C0000}"/>
    <cellStyle name="40% - Ênfase6 15 4 2" xfId="3153" xr:uid="{00000000-0005-0000-0000-00004D0C0000}"/>
    <cellStyle name="40% - Ênfase6 15 5" xfId="3154" xr:uid="{00000000-0005-0000-0000-00004E0C0000}"/>
    <cellStyle name="40% - Ênfase6 16" xfId="3155" xr:uid="{00000000-0005-0000-0000-00004F0C0000}"/>
    <cellStyle name="40% - Ênfase6 16 2" xfId="3156" xr:uid="{00000000-0005-0000-0000-0000500C0000}"/>
    <cellStyle name="40% - Ênfase6 16 2 2" xfId="3157" xr:uid="{00000000-0005-0000-0000-0000510C0000}"/>
    <cellStyle name="40% - Ênfase6 16 2 2 2" xfId="3158" xr:uid="{00000000-0005-0000-0000-0000520C0000}"/>
    <cellStyle name="40% - Ênfase6 16 2 3" xfId="3159" xr:uid="{00000000-0005-0000-0000-0000530C0000}"/>
    <cellStyle name="40% - Ênfase6 16 3" xfId="3160" xr:uid="{00000000-0005-0000-0000-0000540C0000}"/>
    <cellStyle name="40% - Ênfase6 16 3 2" xfId="3161" xr:uid="{00000000-0005-0000-0000-0000550C0000}"/>
    <cellStyle name="40% - Ênfase6 16 4" xfId="3162" xr:uid="{00000000-0005-0000-0000-0000560C0000}"/>
    <cellStyle name="40% - Ênfase6 16 4 2" xfId="3163" xr:uid="{00000000-0005-0000-0000-0000570C0000}"/>
    <cellStyle name="40% - Ênfase6 16 5" xfId="3164" xr:uid="{00000000-0005-0000-0000-0000580C0000}"/>
    <cellStyle name="40% - Ênfase6 17" xfId="3165" xr:uid="{00000000-0005-0000-0000-0000590C0000}"/>
    <cellStyle name="40% - Ênfase6 17 2" xfId="3166" xr:uid="{00000000-0005-0000-0000-00005A0C0000}"/>
    <cellStyle name="40% - Ênfase6 17 2 2" xfId="3167" xr:uid="{00000000-0005-0000-0000-00005B0C0000}"/>
    <cellStyle name="40% - Ênfase6 17 2 2 2" xfId="3168" xr:uid="{00000000-0005-0000-0000-00005C0C0000}"/>
    <cellStyle name="40% - Ênfase6 17 2 3" xfId="3169" xr:uid="{00000000-0005-0000-0000-00005D0C0000}"/>
    <cellStyle name="40% - Ênfase6 17 3" xfId="3170" xr:uid="{00000000-0005-0000-0000-00005E0C0000}"/>
    <cellStyle name="40% - Ênfase6 17 3 2" xfId="3171" xr:uid="{00000000-0005-0000-0000-00005F0C0000}"/>
    <cellStyle name="40% - Ênfase6 17 4" xfId="3172" xr:uid="{00000000-0005-0000-0000-0000600C0000}"/>
    <cellStyle name="40% - Ênfase6 17 4 2" xfId="3173" xr:uid="{00000000-0005-0000-0000-0000610C0000}"/>
    <cellStyle name="40% - Ênfase6 17 5" xfId="3174" xr:uid="{00000000-0005-0000-0000-0000620C0000}"/>
    <cellStyle name="40% - Ênfase6 18" xfId="3175" xr:uid="{00000000-0005-0000-0000-0000630C0000}"/>
    <cellStyle name="40% - Ênfase6 18 2" xfId="3176" xr:uid="{00000000-0005-0000-0000-0000640C0000}"/>
    <cellStyle name="40% - Ênfase6 18 2 2" xfId="3177" xr:uid="{00000000-0005-0000-0000-0000650C0000}"/>
    <cellStyle name="40% - Ênfase6 18 2 2 2" xfId="3178" xr:uid="{00000000-0005-0000-0000-0000660C0000}"/>
    <cellStyle name="40% - Ênfase6 18 2 3" xfId="3179" xr:uid="{00000000-0005-0000-0000-0000670C0000}"/>
    <cellStyle name="40% - Ênfase6 18 3" xfId="3180" xr:uid="{00000000-0005-0000-0000-0000680C0000}"/>
    <cellStyle name="40% - Ênfase6 18 3 2" xfId="3181" xr:uid="{00000000-0005-0000-0000-0000690C0000}"/>
    <cellStyle name="40% - Ênfase6 18 4" xfId="3182" xr:uid="{00000000-0005-0000-0000-00006A0C0000}"/>
    <cellStyle name="40% - Ênfase6 19" xfId="3183" xr:uid="{00000000-0005-0000-0000-00006B0C0000}"/>
    <cellStyle name="40% - Ênfase6 19 2" xfId="3184" xr:uid="{00000000-0005-0000-0000-00006C0C0000}"/>
    <cellStyle name="40% - Ênfase6 19 2 2" xfId="3185" xr:uid="{00000000-0005-0000-0000-00006D0C0000}"/>
    <cellStyle name="40% - Ênfase6 19 2 2 2" xfId="3186" xr:uid="{00000000-0005-0000-0000-00006E0C0000}"/>
    <cellStyle name="40% - Ênfase6 19 2 3" xfId="3187" xr:uid="{00000000-0005-0000-0000-00006F0C0000}"/>
    <cellStyle name="40% - Ênfase6 19 3" xfId="3188" xr:uid="{00000000-0005-0000-0000-0000700C0000}"/>
    <cellStyle name="40% - Ênfase6 19 3 2" xfId="3189" xr:uid="{00000000-0005-0000-0000-0000710C0000}"/>
    <cellStyle name="40% - Ênfase6 19 4" xfId="3190" xr:uid="{00000000-0005-0000-0000-0000720C0000}"/>
    <cellStyle name="40% - Ênfase6 2" xfId="3191" xr:uid="{00000000-0005-0000-0000-0000730C0000}"/>
    <cellStyle name="40% - Ênfase6 2 2" xfId="3192" xr:uid="{00000000-0005-0000-0000-0000740C0000}"/>
    <cellStyle name="40% - Ênfase6 2 2 2" xfId="3193" xr:uid="{00000000-0005-0000-0000-0000750C0000}"/>
    <cellStyle name="40% - Ênfase6 2 2 2 2" xfId="3194" xr:uid="{00000000-0005-0000-0000-0000760C0000}"/>
    <cellStyle name="40% - Ênfase6 2 2 2 2 2" xfId="3195" xr:uid="{00000000-0005-0000-0000-0000770C0000}"/>
    <cellStyle name="40% - Ênfase6 2 2 2 3" xfId="3196" xr:uid="{00000000-0005-0000-0000-0000780C0000}"/>
    <cellStyle name="40% - Ênfase6 2 2 3" xfId="3197" xr:uid="{00000000-0005-0000-0000-0000790C0000}"/>
    <cellStyle name="40% - Ênfase6 2 2 3 2" xfId="3198" xr:uid="{00000000-0005-0000-0000-00007A0C0000}"/>
    <cellStyle name="40% - Ênfase6 2 2 3 2 2" xfId="3199" xr:uid="{00000000-0005-0000-0000-00007B0C0000}"/>
    <cellStyle name="40% - Ênfase6 2 2 3 3" xfId="3200" xr:uid="{00000000-0005-0000-0000-00007C0C0000}"/>
    <cellStyle name="40% - Ênfase6 2 2 4" xfId="3201" xr:uid="{00000000-0005-0000-0000-00007D0C0000}"/>
    <cellStyle name="40% - Ênfase6 2 2 4 2" xfId="3202" xr:uid="{00000000-0005-0000-0000-00007E0C0000}"/>
    <cellStyle name="40% - Ênfase6 2 2 5" xfId="3203" xr:uid="{00000000-0005-0000-0000-00007F0C0000}"/>
    <cellStyle name="40% - Ênfase6 2 3" xfId="3204" xr:uid="{00000000-0005-0000-0000-0000800C0000}"/>
    <cellStyle name="40% - Ênfase6 2 3 2" xfId="3205" xr:uid="{00000000-0005-0000-0000-0000810C0000}"/>
    <cellStyle name="40% - Ênfase6 2 3 2 2" xfId="3206" xr:uid="{00000000-0005-0000-0000-0000820C0000}"/>
    <cellStyle name="40% - Ênfase6 2 3 3" xfId="3207" xr:uid="{00000000-0005-0000-0000-0000830C0000}"/>
    <cellStyle name="40% - Ênfase6 2 4" xfId="3208" xr:uid="{00000000-0005-0000-0000-0000840C0000}"/>
    <cellStyle name="40% - Ênfase6 2 4 2" xfId="3209" xr:uid="{00000000-0005-0000-0000-0000850C0000}"/>
    <cellStyle name="40% - Ênfase6 2 4 2 2" xfId="3210" xr:uid="{00000000-0005-0000-0000-0000860C0000}"/>
    <cellStyle name="40% - Ênfase6 2 4 3" xfId="3211" xr:uid="{00000000-0005-0000-0000-0000870C0000}"/>
    <cellStyle name="40% - Ênfase6 2 5" xfId="3212" xr:uid="{00000000-0005-0000-0000-0000880C0000}"/>
    <cellStyle name="40% - Ênfase6 2 5 2" xfId="3213" xr:uid="{00000000-0005-0000-0000-0000890C0000}"/>
    <cellStyle name="40% - Ênfase6 2 6" xfId="3214" xr:uid="{00000000-0005-0000-0000-00008A0C0000}"/>
    <cellStyle name="40% - Ênfase6 20" xfId="3215" xr:uid="{00000000-0005-0000-0000-00008B0C0000}"/>
    <cellStyle name="40% - Ênfase6 20 2" xfId="3216" xr:uid="{00000000-0005-0000-0000-00008C0C0000}"/>
    <cellStyle name="40% - Ênfase6 20 2 2" xfId="3217" xr:uid="{00000000-0005-0000-0000-00008D0C0000}"/>
    <cellStyle name="40% - Ênfase6 20 2 2 2" xfId="3218" xr:uid="{00000000-0005-0000-0000-00008E0C0000}"/>
    <cellStyle name="40% - Ênfase6 20 2 3" xfId="3219" xr:uid="{00000000-0005-0000-0000-00008F0C0000}"/>
    <cellStyle name="40% - Ênfase6 20 3" xfId="3220" xr:uid="{00000000-0005-0000-0000-0000900C0000}"/>
    <cellStyle name="40% - Ênfase6 20 3 2" xfId="3221" xr:uid="{00000000-0005-0000-0000-0000910C0000}"/>
    <cellStyle name="40% - Ênfase6 20 4" xfId="3222" xr:uid="{00000000-0005-0000-0000-0000920C0000}"/>
    <cellStyle name="40% - Ênfase6 21" xfId="3223" xr:uid="{00000000-0005-0000-0000-0000930C0000}"/>
    <cellStyle name="40% - Ênfase6 21 2" xfId="3224" xr:uid="{00000000-0005-0000-0000-0000940C0000}"/>
    <cellStyle name="40% - Ênfase6 21 2 2" xfId="3225" xr:uid="{00000000-0005-0000-0000-0000950C0000}"/>
    <cellStyle name="40% - Ênfase6 21 2 2 2" xfId="3226" xr:uid="{00000000-0005-0000-0000-0000960C0000}"/>
    <cellStyle name="40% - Ênfase6 21 2 3" xfId="3227" xr:uid="{00000000-0005-0000-0000-0000970C0000}"/>
    <cellStyle name="40% - Ênfase6 21 3" xfId="3228" xr:uid="{00000000-0005-0000-0000-0000980C0000}"/>
    <cellStyle name="40% - Ênfase6 21 3 2" xfId="3229" xr:uid="{00000000-0005-0000-0000-0000990C0000}"/>
    <cellStyle name="40% - Ênfase6 21 4" xfId="3230" xr:uid="{00000000-0005-0000-0000-00009A0C0000}"/>
    <cellStyle name="40% - Ênfase6 22" xfId="3231" xr:uid="{00000000-0005-0000-0000-00009B0C0000}"/>
    <cellStyle name="40% - Ênfase6 22 2" xfId="3232" xr:uid="{00000000-0005-0000-0000-00009C0C0000}"/>
    <cellStyle name="40% - Ênfase6 22 2 2" xfId="3233" xr:uid="{00000000-0005-0000-0000-00009D0C0000}"/>
    <cellStyle name="40% - Ênfase6 22 2 2 2" xfId="3234" xr:uid="{00000000-0005-0000-0000-00009E0C0000}"/>
    <cellStyle name="40% - Ênfase6 22 2 3" xfId="3235" xr:uid="{00000000-0005-0000-0000-00009F0C0000}"/>
    <cellStyle name="40% - Ênfase6 22 3" xfId="3236" xr:uid="{00000000-0005-0000-0000-0000A00C0000}"/>
    <cellStyle name="40% - Ênfase6 22 3 2" xfId="3237" xr:uid="{00000000-0005-0000-0000-0000A10C0000}"/>
    <cellStyle name="40% - Ênfase6 22 4" xfId="3238" xr:uid="{00000000-0005-0000-0000-0000A20C0000}"/>
    <cellStyle name="40% - Ênfase6 23" xfId="3239" xr:uid="{00000000-0005-0000-0000-0000A30C0000}"/>
    <cellStyle name="40% - Ênfase6 23 2" xfId="3240" xr:uid="{00000000-0005-0000-0000-0000A40C0000}"/>
    <cellStyle name="40% - Ênfase6 23 2 2" xfId="3241" xr:uid="{00000000-0005-0000-0000-0000A50C0000}"/>
    <cellStyle name="40% - Ênfase6 23 2 2 2" xfId="3242" xr:uid="{00000000-0005-0000-0000-0000A60C0000}"/>
    <cellStyle name="40% - Ênfase6 23 2 3" xfId="3243" xr:uid="{00000000-0005-0000-0000-0000A70C0000}"/>
    <cellStyle name="40% - Ênfase6 23 3" xfId="3244" xr:uid="{00000000-0005-0000-0000-0000A80C0000}"/>
    <cellStyle name="40% - Ênfase6 23 3 2" xfId="3245" xr:uid="{00000000-0005-0000-0000-0000A90C0000}"/>
    <cellStyle name="40% - Ênfase6 23 4" xfId="3246" xr:uid="{00000000-0005-0000-0000-0000AA0C0000}"/>
    <cellStyle name="40% - Ênfase6 24" xfId="3247" xr:uid="{00000000-0005-0000-0000-0000AB0C0000}"/>
    <cellStyle name="40% - Ênfase6 24 2" xfId="3248" xr:uid="{00000000-0005-0000-0000-0000AC0C0000}"/>
    <cellStyle name="40% - Ênfase6 24 2 2" xfId="3249" xr:uid="{00000000-0005-0000-0000-0000AD0C0000}"/>
    <cellStyle name="40% - Ênfase6 24 2 2 2" xfId="3250" xr:uid="{00000000-0005-0000-0000-0000AE0C0000}"/>
    <cellStyle name="40% - Ênfase6 24 2 3" xfId="3251" xr:uid="{00000000-0005-0000-0000-0000AF0C0000}"/>
    <cellStyle name="40% - Ênfase6 24 3" xfId="3252" xr:uid="{00000000-0005-0000-0000-0000B00C0000}"/>
    <cellStyle name="40% - Ênfase6 24 3 2" xfId="3253" xr:uid="{00000000-0005-0000-0000-0000B10C0000}"/>
    <cellStyle name="40% - Ênfase6 24 4" xfId="3254" xr:uid="{00000000-0005-0000-0000-0000B20C0000}"/>
    <cellStyle name="40% - Ênfase6 25" xfId="3255" xr:uid="{00000000-0005-0000-0000-0000B30C0000}"/>
    <cellStyle name="40% - Ênfase6 25 2" xfId="3256" xr:uid="{00000000-0005-0000-0000-0000B40C0000}"/>
    <cellStyle name="40% - Ênfase6 25 2 2" xfId="3257" xr:uid="{00000000-0005-0000-0000-0000B50C0000}"/>
    <cellStyle name="40% - Ênfase6 25 2 2 2" xfId="3258" xr:uid="{00000000-0005-0000-0000-0000B60C0000}"/>
    <cellStyle name="40% - Ênfase6 25 2 3" xfId="3259" xr:uid="{00000000-0005-0000-0000-0000B70C0000}"/>
    <cellStyle name="40% - Ênfase6 25 3" xfId="3260" xr:uid="{00000000-0005-0000-0000-0000B80C0000}"/>
    <cellStyle name="40% - Ênfase6 25 3 2" xfId="3261" xr:uid="{00000000-0005-0000-0000-0000B90C0000}"/>
    <cellStyle name="40% - Ênfase6 25 4" xfId="3262" xr:uid="{00000000-0005-0000-0000-0000BA0C0000}"/>
    <cellStyle name="40% - Ênfase6 26" xfId="3263" xr:uid="{00000000-0005-0000-0000-0000BB0C0000}"/>
    <cellStyle name="40% - Ênfase6 26 2" xfId="3264" xr:uid="{00000000-0005-0000-0000-0000BC0C0000}"/>
    <cellStyle name="40% - Ênfase6 26 2 2" xfId="3265" xr:uid="{00000000-0005-0000-0000-0000BD0C0000}"/>
    <cellStyle name="40% - Ênfase6 26 2 2 2" xfId="3266" xr:uid="{00000000-0005-0000-0000-0000BE0C0000}"/>
    <cellStyle name="40% - Ênfase6 26 2 3" xfId="3267" xr:uid="{00000000-0005-0000-0000-0000BF0C0000}"/>
    <cellStyle name="40% - Ênfase6 26 3" xfId="3268" xr:uid="{00000000-0005-0000-0000-0000C00C0000}"/>
    <cellStyle name="40% - Ênfase6 26 3 2" xfId="3269" xr:uid="{00000000-0005-0000-0000-0000C10C0000}"/>
    <cellStyle name="40% - Ênfase6 26 4" xfId="3270" xr:uid="{00000000-0005-0000-0000-0000C20C0000}"/>
    <cellStyle name="40% - Ênfase6 27" xfId="3271" xr:uid="{00000000-0005-0000-0000-0000C30C0000}"/>
    <cellStyle name="40% - Ênfase6 27 2" xfId="3272" xr:uid="{00000000-0005-0000-0000-0000C40C0000}"/>
    <cellStyle name="40% - Ênfase6 27 2 2" xfId="3273" xr:uid="{00000000-0005-0000-0000-0000C50C0000}"/>
    <cellStyle name="40% - Ênfase6 27 3" xfId="3274" xr:uid="{00000000-0005-0000-0000-0000C60C0000}"/>
    <cellStyle name="40% - Ênfase6 28" xfId="3275" xr:uid="{00000000-0005-0000-0000-0000C70C0000}"/>
    <cellStyle name="40% - Ênfase6 28 2" xfId="3276" xr:uid="{00000000-0005-0000-0000-0000C80C0000}"/>
    <cellStyle name="40% - Ênfase6 28 2 2" xfId="3277" xr:uid="{00000000-0005-0000-0000-0000C90C0000}"/>
    <cellStyle name="40% - Ênfase6 28 3" xfId="3278" xr:uid="{00000000-0005-0000-0000-0000CA0C0000}"/>
    <cellStyle name="40% - Ênfase6 29" xfId="3279" xr:uid="{00000000-0005-0000-0000-0000CB0C0000}"/>
    <cellStyle name="40% - Ênfase6 29 2" xfId="3280" xr:uid="{00000000-0005-0000-0000-0000CC0C0000}"/>
    <cellStyle name="40% - Ênfase6 29 2 2" xfId="3281" xr:uid="{00000000-0005-0000-0000-0000CD0C0000}"/>
    <cellStyle name="40% - Ênfase6 29 3" xfId="3282" xr:uid="{00000000-0005-0000-0000-0000CE0C0000}"/>
    <cellStyle name="40% - Ênfase6 3" xfId="3283" xr:uid="{00000000-0005-0000-0000-0000CF0C0000}"/>
    <cellStyle name="40% - Ênfase6 3 2" xfId="3284" xr:uid="{00000000-0005-0000-0000-0000D00C0000}"/>
    <cellStyle name="40% - Ênfase6 3 2 2" xfId="3285" xr:uid="{00000000-0005-0000-0000-0000D10C0000}"/>
    <cellStyle name="40% - Ênfase6 3 2 2 2" xfId="3286" xr:uid="{00000000-0005-0000-0000-0000D20C0000}"/>
    <cellStyle name="40% - Ênfase6 3 2 3" xfId="3287" xr:uid="{00000000-0005-0000-0000-0000D30C0000}"/>
    <cellStyle name="40% - Ênfase6 3 3" xfId="3288" xr:uid="{00000000-0005-0000-0000-0000D40C0000}"/>
    <cellStyle name="40% - Ênfase6 3 3 2" xfId="3289" xr:uid="{00000000-0005-0000-0000-0000D50C0000}"/>
    <cellStyle name="40% - Ênfase6 3 4" xfId="3290" xr:uid="{00000000-0005-0000-0000-0000D60C0000}"/>
    <cellStyle name="40% - Ênfase6 3 4 2" xfId="3291" xr:uid="{00000000-0005-0000-0000-0000D70C0000}"/>
    <cellStyle name="40% - Ênfase6 3 5" xfId="3292" xr:uid="{00000000-0005-0000-0000-0000D80C0000}"/>
    <cellStyle name="40% - Ênfase6 3 5 2" xfId="3293" xr:uid="{00000000-0005-0000-0000-0000D90C0000}"/>
    <cellStyle name="40% - Ênfase6 3 6" xfId="3294" xr:uid="{00000000-0005-0000-0000-0000DA0C0000}"/>
    <cellStyle name="40% - Ênfase6 30" xfId="3295" xr:uid="{00000000-0005-0000-0000-0000DB0C0000}"/>
    <cellStyle name="40% - Ênfase6 30 2" xfId="3296" xr:uid="{00000000-0005-0000-0000-0000DC0C0000}"/>
    <cellStyle name="40% - Ênfase6 30 2 2" xfId="3297" xr:uid="{00000000-0005-0000-0000-0000DD0C0000}"/>
    <cellStyle name="40% - Ênfase6 30 3" xfId="3298" xr:uid="{00000000-0005-0000-0000-0000DE0C0000}"/>
    <cellStyle name="40% - Ênfase6 31" xfId="3299" xr:uid="{00000000-0005-0000-0000-0000DF0C0000}"/>
    <cellStyle name="40% - Ênfase6 31 2" xfId="3300" xr:uid="{00000000-0005-0000-0000-0000E00C0000}"/>
    <cellStyle name="40% - Ênfase6 32" xfId="3301" xr:uid="{00000000-0005-0000-0000-0000E10C0000}"/>
    <cellStyle name="40% - Ênfase6 32 2" xfId="3302" xr:uid="{00000000-0005-0000-0000-0000E20C0000}"/>
    <cellStyle name="40% - Ênfase6 33" xfId="3303" xr:uid="{00000000-0005-0000-0000-0000E30C0000}"/>
    <cellStyle name="40% - Ênfase6 33 2" xfId="3304" xr:uid="{00000000-0005-0000-0000-0000E40C0000}"/>
    <cellStyle name="40% - Ênfase6 34" xfId="3305" xr:uid="{00000000-0005-0000-0000-0000E50C0000}"/>
    <cellStyle name="40% - Ênfase6 35" xfId="3306" xr:uid="{00000000-0005-0000-0000-0000E60C0000}"/>
    <cellStyle name="40% - Ênfase6 4" xfId="3307" xr:uid="{00000000-0005-0000-0000-0000E70C0000}"/>
    <cellStyle name="40% - Ênfase6 4 2" xfId="3308" xr:uid="{00000000-0005-0000-0000-0000E80C0000}"/>
    <cellStyle name="40% - Ênfase6 4 2 2" xfId="3309" xr:uid="{00000000-0005-0000-0000-0000E90C0000}"/>
    <cellStyle name="40% - Ênfase6 4 2 2 2" xfId="3310" xr:uid="{00000000-0005-0000-0000-0000EA0C0000}"/>
    <cellStyle name="40% - Ênfase6 4 2 3" xfId="3311" xr:uid="{00000000-0005-0000-0000-0000EB0C0000}"/>
    <cellStyle name="40% - Ênfase6 4 3" xfId="3312" xr:uid="{00000000-0005-0000-0000-0000EC0C0000}"/>
    <cellStyle name="40% - Ênfase6 4 3 2" xfId="3313" xr:uid="{00000000-0005-0000-0000-0000ED0C0000}"/>
    <cellStyle name="40% - Ênfase6 4 4" xfId="3314" xr:uid="{00000000-0005-0000-0000-0000EE0C0000}"/>
    <cellStyle name="40% - Ênfase6 4 4 2" xfId="3315" xr:uid="{00000000-0005-0000-0000-0000EF0C0000}"/>
    <cellStyle name="40% - Ênfase6 4 5" xfId="3316" xr:uid="{00000000-0005-0000-0000-0000F00C0000}"/>
    <cellStyle name="40% - Ênfase6 4 5 2" xfId="3317" xr:uid="{00000000-0005-0000-0000-0000F10C0000}"/>
    <cellStyle name="40% - Ênfase6 4 6" xfId="3318" xr:uid="{00000000-0005-0000-0000-0000F20C0000}"/>
    <cellStyle name="40% - Ênfase6 5" xfId="3319" xr:uid="{00000000-0005-0000-0000-0000F30C0000}"/>
    <cellStyle name="40% - Ênfase6 5 2" xfId="3320" xr:uid="{00000000-0005-0000-0000-0000F40C0000}"/>
    <cellStyle name="40% - Ênfase6 5 2 2" xfId="3321" xr:uid="{00000000-0005-0000-0000-0000F50C0000}"/>
    <cellStyle name="40% - Ênfase6 5 2 2 2" xfId="3322" xr:uid="{00000000-0005-0000-0000-0000F60C0000}"/>
    <cellStyle name="40% - Ênfase6 5 2 3" xfId="3323" xr:uid="{00000000-0005-0000-0000-0000F70C0000}"/>
    <cellStyle name="40% - Ênfase6 5 3" xfId="3324" xr:uid="{00000000-0005-0000-0000-0000F80C0000}"/>
    <cellStyle name="40% - Ênfase6 5 3 2" xfId="3325" xr:uid="{00000000-0005-0000-0000-0000F90C0000}"/>
    <cellStyle name="40% - Ênfase6 5 4" xfId="3326" xr:uid="{00000000-0005-0000-0000-0000FA0C0000}"/>
    <cellStyle name="40% - Ênfase6 5 4 2" xfId="3327" xr:uid="{00000000-0005-0000-0000-0000FB0C0000}"/>
    <cellStyle name="40% - Ênfase6 5 5" xfId="3328" xr:uid="{00000000-0005-0000-0000-0000FC0C0000}"/>
    <cellStyle name="40% - Ênfase6 5 5 2" xfId="3329" xr:uid="{00000000-0005-0000-0000-0000FD0C0000}"/>
    <cellStyle name="40% - Ênfase6 5 6" xfId="3330" xr:uid="{00000000-0005-0000-0000-0000FE0C0000}"/>
    <cellStyle name="40% - Ênfase6 6" xfId="3331" xr:uid="{00000000-0005-0000-0000-0000FF0C0000}"/>
    <cellStyle name="40% - Ênfase6 6 2" xfId="3332" xr:uid="{00000000-0005-0000-0000-0000000D0000}"/>
    <cellStyle name="40% - Ênfase6 6 2 2" xfId="3333" xr:uid="{00000000-0005-0000-0000-0000010D0000}"/>
    <cellStyle name="40% - Ênfase6 6 2 2 2" xfId="3334" xr:uid="{00000000-0005-0000-0000-0000020D0000}"/>
    <cellStyle name="40% - Ênfase6 6 2 3" xfId="3335" xr:uid="{00000000-0005-0000-0000-0000030D0000}"/>
    <cellStyle name="40% - Ênfase6 6 3" xfId="3336" xr:uid="{00000000-0005-0000-0000-0000040D0000}"/>
    <cellStyle name="40% - Ênfase6 6 3 2" xfId="3337" xr:uid="{00000000-0005-0000-0000-0000050D0000}"/>
    <cellStyle name="40% - Ênfase6 6 4" xfId="3338" xr:uid="{00000000-0005-0000-0000-0000060D0000}"/>
    <cellStyle name="40% - Ênfase6 6 4 2" xfId="3339" xr:uid="{00000000-0005-0000-0000-0000070D0000}"/>
    <cellStyle name="40% - Ênfase6 6 5" xfId="3340" xr:uid="{00000000-0005-0000-0000-0000080D0000}"/>
    <cellStyle name="40% - Ênfase6 6 5 2" xfId="3341" xr:uid="{00000000-0005-0000-0000-0000090D0000}"/>
    <cellStyle name="40% - Ênfase6 6 6" xfId="3342" xr:uid="{00000000-0005-0000-0000-00000A0D0000}"/>
    <cellStyle name="40% - Ênfase6 7" xfId="3343" xr:uid="{00000000-0005-0000-0000-00000B0D0000}"/>
    <cellStyle name="40% - Ênfase6 7 2" xfId="3344" xr:uid="{00000000-0005-0000-0000-00000C0D0000}"/>
    <cellStyle name="40% - Ênfase6 7 2 2" xfId="3345" xr:uid="{00000000-0005-0000-0000-00000D0D0000}"/>
    <cellStyle name="40% - Ênfase6 7 2 2 2" xfId="3346" xr:uid="{00000000-0005-0000-0000-00000E0D0000}"/>
    <cellStyle name="40% - Ênfase6 7 2 3" xfId="3347" xr:uid="{00000000-0005-0000-0000-00000F0D0000}"/>
    <cellStyle name="40% - Ênfase6 7 3" xfId="3348" xr:uid="{00000000-0005-0000-0000-0000100D0000}"/>
    <cellStyle name="40% - Ênfase6 7 3 2" xfId="3349" xr:uid="{00000000-0005-0000-0000-0000110D0000}"/>
    <cellStyle name="40% - Ênfase6 7 4" xfId="3350" xr:uid="{00000000-0005-0000-0000-0000120D0000}"/>
    <cellStyle name="40% - Ênfase6 7 4 2" xfId="3351" xr:uid="{00000000-0005-0000-0000-0000130D0000}"/>
    <cellStyle name="40% - Ênfase6 7 5" xfId="3352" xr:uid="{00000000-0005-0000-0000-0000140D0000}"/>
    <cellStyle name="40% - Ênfase6 8" xfId="3353" xr:uid="{00000000-0005-0000-0000-0000150D0000}"/>
    <cellStyle name="40% - Ênfase6 8 2" xfId="3354" xr:uid="{00000000-0005-0000-0000-0000160D0000}"/>
    <cellStyle name="40% - Ênfase6 8 2 2" xfId="3355" xr:uid="{00000000-0005-0000-0000-0000170D0000}"/>
    <cellStyle name="40% - Ênfase6 8 2 2 2" xfId="3356" xr:uid="{00000000-0005-0000-0000-0000180D0000}"/>
    <cellStyle name="40% - Ênfase6 8 2 3" xfId="3357" xr:uid="{00000000-0005-0000-0000-0000190D0000}"/>
    <cellStyle name="40% - Ênfase6 8 3" xfId="3358" xr:uid="{00000000-0005-0000-0000-00001A0D0000}"/>
    <cellStyle name="40% - Ênfase6 8 3 2" xfId="3359" xr:uid="{00000000-0005-0000-0000-00001B0D0000}"/>
    <cellStyle name="40% - Ênfase6 8 4" xfId="3360" xr:uid="{00000000-0005-0000-0000-00001C0D0000}"/>
    <cellStyle name="40% - Ênfase6 8 4 2" xfId="3361" xr:uid="{00000000-0005-0000-0000-00001D0D0000}"/>
    <cellStyle name="40% - Ênfase6 8 5" xfId="3362" xr:uid="{00000000-0005-0000-0000-00001E0D0000}"/>
    <cellStyle name="40% - Ênfase6 9" xfId="3363" xr:uid="{00000000-0005-0000-0000-00001F0D0000}"/>
    <cellStyle name="40% - Ênfase6 9 2" xfId="3364" xr:uid="{00000000-0005-0000-0000-0000200D0000}"/>
    <cellStyle name="40% - Ênfase6 9 2 2" xfId="3365" xr:uid="{00000000-0005-0000-0000-0000210D0000}"/>
    <cellStyle name="40% - Ênfase6 9 2 2 2" xfId="3366" xr:uid="{00000000-0005-0000-0000-0000220D0000}"/>
    <cellStyle name="40% - Ênfase6 9 2 3" xfId="3367" xr:uid="{00000000-0005-0000-0000-0000230D0000}"/>
    <cellStyle name="40% - Ênfase6 9 3" xfId="3368" xr:uid="{00000000-0005-0000-0000-0000240D0000}"/>
    <cellStyle name="40% - Ênfase6 9 3 2" xfId="3369" xr:uid="{00000000-0005-0000-0000-0000250D0000}"/>
    <cellStyle name="40% - Ênfase6 9 4" xfId="3370" xr:uid="{00000000-0005-0000-0000-0000260D0000}"/>
    <cellStyle name="40% - Ênfase6 9 4 2" xfId="3371" xr:uid="{00000000-0005-0000-0000-0000270D0000}"/>
    <cellStyle name="40% - Ênfase6 9 5" xfId="3372" xr:uid="{00000000-0005-0000-0000-0000280D0000}"/>
    <cellStyle name="40% - Énfasis1" xfId="3373" xr:uid="{00000000-0005-0000-0000-0000290D0000}"/>
    <cellStyle name="40% - Énfasis2" xfId="3374" xr:uid="{00000000-0005-0000-0000-00002A0D0000}"/>
    <cellStyle name="40% - Énfasis3" xfId="3375" xr:uid="{00000000-0005-0000-0000-00002B0D0000}"/>
    <cellStyle name="40% - Énfasis4" xfId="3376" xr:uid="{00000000-0005-0000-0000-00002C0D0000}"/>
    <cellStyle name="40% - Énfasis5" xfId="3377" xr:uid="{00000000-0005-0000-0000-00002D0D0000}"/>
    <cellStyle name="40% - Énfasis6" xfId="3378" xr:uid="{00000000-0005-0000-0000-00002E0D0000}"/>
    <cellStyle name="60% - Accent1" xfId="3379" xr:uid="{00000000-0005-0000-0000-00002F0D0000}"/>
    <cellStyle name="60% - Accent1 2" xfId="3380" xr:uid="{00000000-0005-0000-0000-0000300D0000}"/>
    <cellStyle name="60% - Accent2" xfId="3381" xr:uid="{00000000-0005-0000-0000-0000310D0000}"/>
    <cellStyle name="60% - Accent2 2" xfId="3382" xr:uid="{00000000-0005-0000-0000-0000320D0000}"/>
    <cellStyle name="60% - Accent3" xfId="3383" xr:uid="{00000000-0005-0000-0000-0000330D0000}"/>
    <cellStyle name="60% - Accent3 2" xfId="3384" xr:uid="{00000000-0005-0000-0000-0000340D0000}"/>
    <cellStyle name="60% - Accent4" xfId="3385" xr:uid="{00000000-0005-0000-0000-0000350D0000}"/>
    <cellStyle name="60% - Accent4 2" xfId="3386" xr:uid="{00000000-0005-0000-0000-0000360D0000}"/>
    <cellStyle name="60% - Accent5" xfId="3387" xr:uid="{00000000-0005-0000-0000-0000370D0000}"/>
    <cellStyle name="60% - Accent5 2" xfId="3388" xr:uid="{00000000-0005-0000-0000-0000380D0000}"/>
    <cellStyle name="60% - Accent6" xfId="3389" xr:uid="{00000000-0005-0000-0000-0000390D0000}"/>
    <cellStyle name="60% - Accent6 2" xfId="3390" xr:uid="{00000000-0005-0000-0000-00003A0D0000}"/>
    <cellStyle name="60% - Ênfase1 2" xfId="3391" xr:uid="{00000000-0005-0000-0000-00003B0D0000}"/>
    <cellStyle name="60% - Ênfase1 2 2" xfId="3392" xr:uid="{00000000-0005-0000-0000-00003C0D0000}"/>
    <cellStyle name="60% - Ênfase1 2 2 2" xfId="3393" xr:uid="{00000000-0005-0000-0000-00003D0D0000}"/>
    <cellStyle name="60% - Ênfase1 2 3" xfId="3394" xr:uid="{00000000-0005-0000-0000-00003E0D0000}"/>
    <cellStyle name="60% - Ênfase1 2 3 2" xfId="3395" xr:uid="{00000000-0005-0000-0000-00003F0D0000}"/>
    <cellStyle name="60% - Ênfase1 2 4" xfId="3396" xr:uid="{00000000-0005-0000-0000-0000400D0000}"/>
    <cellStyle name="60% - Ênfase1 3" xfId="3397" xr:uid="{00000000-0005-0000-0000-0000410D0000}"/>
    <cellStyle name="60% - Ênfase1 3 2" xfId="3398" xr:uid="{00000000-0005-0000-0000-0000420D0000}"/>
    <cellStyle name="60% - Ênfase1 4" xfId="3399" xr:uid="{00000000-0005-0000-0000-0000430D0000}"/>
    <cellStyle name="60% - Ênfase1 4 2" xfId="3400" xr:uid="{00000000-0005-0000-0000-0000440D0000}"/>
    <cellStyle name="60% - Ênfase1 5" xfId="3401" xr:uid="{00000000-0005-0000-0000-0000450D0000}"/>
    <cellStyle name="60% - Ênfase1 5 2" xfId="3402" xr:uid="{00000000-0005-0000-0000-0000460D0000}"/>
    <cellStyle name="60% - Ênfase1 6" xfId="3403" xr:uid="{00000000-0005-0000-0000-0000470D0000}"/>
    <cellStyle name="60% - Ênfase1 6 2" xfId="3404" xr:uid="{00000000-0005-0000-0000-0000480D0000}"/>
    <cellStyle name="60% - Ênfase1 7" xfId="3405" xr:uid="{00000000-0005-0000-0000-0000490D0000}"/>
    <cellStyle name="60% - Ênfase1 7 2" xfId="3406" xr:uid="{00000000-0005-0000-0000-00004A0D0000}"/>
    <cellStyle name="60% - Ênfase1 8" xfId="3407" xr:uid="{00000000-0005-0000-0000-00004B0D0000}"/>
    <cellStyle name="60% - Ênfase1 9" xfId="3408" xr:uid="{00000000-0005-0000-0000-00004C0D0000}"/>
    <cellStyle name="60% - Ênfase2 2" xfId="3409" xr:uid="{00000000-0005-0000-0000-00004D0D0000}"/>
    <cellStyle name="60% - Ênfase2 2 2" xfId="3410" xr:uid="{00000000-0005-0000-0000-00004E0D0000}"/>
    <cellStyle name="60% - Ênfase2 2 2 2" xfId="3411" xr:uid="{00000000-0005-0000-0000-00004F0D0000}"/>
    <cellStyle name="60% - Ênfase2 2 3" xfId="3412" xr:uid="{00000000-0005-0000-0000-0000500D0000}"/>
    <cellStyle name="60% - Ênfase2 2 3 2" xfId="3413" xr:uid="{00000000-0005-0000-0000-0000510D0000}"/>
    <cellStyle name="60% - Ênfase2 2 4" xfId="3414" xr:uid="{00000000-0005-0000-0000-0000520D0000}"/>
    <cellStyle name="60% - Ênfase2 3" xfId="3415" xr:uid="{00000000-0005-0000-0000-0000530D0000}"/>
    <cellStyle name="60% - Ênfase2 3 2" xfId="3416" xr:uid="{00000000-0005-0000-0000-0000540D0000}"/>
    <cellStyle name="60% - Ênfase2 4" xfId="3417" xr:uid="{00000000-0005-0000-0000-0000550D0000}"/>
    <cellStyle name="60% - Ênfase2 4 2" xfId="3418" xr:uid="{00000000-0005-0000-0000-0000560D0000}"/>
    <cellStyle name="60% - Ênfase2 5" xfId="3419" xr:uid="{00000000-0005-0000-0000-0000570D0000}"/>
    <cellStyle name="60% - Ênfase2 5 2" xfId="3420" xr:uid="{00000000-0005-0000-0000-0000580D0000}"/>
    <cellStyle name="60% - Ênfase2 6" xfId="3421" xr:uid="{00000000-0005-0000-0000-0000590D0000}"/>
    <cellStyle name="60% - Ênfase2 6 2" xfId="3422" xr:uid="{00000000-0005-0000-0000-00005A0D0000}"/>
    <cellStyle name="60% - Ênfase2 7" xfId="3423" xr:uid="{00000000-0005-0000-0000-00005B0D0000}"/>
    <cellStyle name="60% - Ênfase2 7 2" xfId="3424" xr:uid="{00000000-0005-0000-0000-00005C0D0000}"/>
    <cellStyle name="60% - Ênfase2 8" xfId="3425" xr:uid="{00000000-0005-0000-0000-00005D0D0000}"/>
    <cellStyle name="60% - Ênfase2 9" xfId="3426" xr:uid="{00000000-0005-0000-0000-00005E0D0000}"/>
    <cellStyle name="60% - Ênfase3 2" xfId="3427" xr:uid="{00000000-0005-0000-0000-00005F0D0000}"/>
    <cellStyle name="60% - Ênfase3 2 2" xfId="3428" xr:uid="{00000000-0005-0000-0000-0000600D0000}"/>
    <cellStyle name="60% - Ênfase3 2 2 2" xfId="3429" xr:uid="{00000000-0005-0000-0000-0000610D0000}"/>
    <cellStyle name="60% - Ênfase3 2 3" xfId="3430" xr:uid="{00000000-0005-0000-0000-0000620D0000}"/>
    <cellStyle name="60% - Ênfase3 2 3 2" xfId="3431" xr:uid="{00000000-0005-0000-0000-0000630D0000}"/>
    <cellStyle name="60% - Ênfase3 2 4" xfId="3432" xr:uid="{00000000-0005-0000-0000-0000640D0000}"/>
    <cellStyle name="60% - Ênfase3 3" xfId="3433" xr:uid="{00000000-0005-0000-0000-0000650D0000}"/>
    <cellStyle name="60% - Ênfase3 3 2" xfId="3434" xr:uid="{00000000-0005-0000-0000-0000660D0000}"/>
    <cellStyle name="60% - Ênfase3 4" xfId="3435" xr:uid="{00000000-0005-0000-0000-0000670D0000}"/>
    <cellStyle name="60% - Ênfase3 4 2" xfId="3436" xr:uid="{00000000-0005-0000-0000-0000680D0000}"/>
    <cellStyle name="60% - Ênfase3 5" xfId="3437" xr:uid="{00000000-0005-0000-0000-0000690D0000}"/>
    <cellStyle name="60% - Ênfase3 5 2" xfId="3438" xr:uid="{00000000-0005-0000-0000-00006A0D0000}"/>
    <cellStyle name="60% - Ênfase3 6" xfId="3439" xr:uid="{00000000-0005-0000-0000-00006B0D0000}"/>
    <cellStyle name="60% - Ênfase3 6 2" xfId="3440" xr:uid="{00000000-0005-0000-0000-00006C0D0000}"/>
    <cellStyle name="60% - Ênfase3 7" xfId="3441" xr:uid="{00000000-0005-0000-0000-00006D0D0000}"/>
    <cellStyle name="60% - Ênfase3 7 2" xfId="3442" xr:uid="{00000000-0005-0000-0000-00006E0D0000}"/>
    <cellStyle name="60% - Ênfase3 8" xfId="3443" xr:uid="{00000000-0005-0000-0000-00006F0D0000}"/>
    <cellStyle name="60% - Ênfase3 9" xfId="3444" xr:uid="{00000000-0005-0000-0000-0000700D0000}"/>
    <cellStyle name="60% - Ênfase4 2" xfId="3445" xr:uid="{00000000-0005-0000-0000-0000710D0000}"/>
    <cellStyle name="60% - Ênfase4 2 2" xfId="3446" xr:uid="{00000000-0005-0000-0000-0000720D0000}"/>
    <cellStyle name="60% - Ênfase4 2 2 2" xfId="3447" xr:uid="{00000000-0005-0000-0000-0000730D0000}"/>
    <cellStyle name="60% - Ênfase4 2 3" xfId="3448" xr:uid="{00000000-0005-0000-0000-0000740D0000}"/>
    <cellStyle name="60% - Ênfase4 2 3 2" xfId="3449" xr:uid="{00000000-0005-0000-0000-0000750D0000}"/>
    <cellStyle name="60% - Ênfase4 2 4" xfId="3450" xr:uid="{00000000-0005-0000-0000-0000760D0000}"/>
    <cellStyle name="60% - Ênfase4 3" xfId="3451" xr:uid="{00000000-0005-0000-0000-0000770D0000}"/>
    <cellStyle name="60% - Ênfase4 3 2" xfId="3452" xr:uid="{00000000-0005-0000-0000-0000780D0000}"/>
    <cellStyle name="60% - Ênfase4 4" xfId="3453" xr:uid="{00000000-0005-0000-0000-0000790D0000}"/>
    <cellStyle name="60% - Ênfase4 4 2" xfId="3454" xr:uid="{00000000-0005-0000-0000-00007A0D0000}"/>
    <cellStyle name="60% - Ênfase4 5" xfId="3455" xr:uid="{00000000-0005-0000-0000-00007B0D0000}"/>
    <cellStyle name="60% - Ênfase4 5 2" xfId="3456" xr:uid="{00000000-0005-0000-0000-00007C0D0000}"/>
    <cellStyle name="60% - Ênfase4 6" xfId="3457" xr:uid="{00000000-0005-0000-0000-00007D0D0000}"/>
    <cellStyle name="60% - Ênfase4 6 2" xfId="3458" xr:uid="{00000000-0005-0000-0000-00007E0D0000}"/>
    <cellStyle name="60% - Ênfase4 7" xfId="3459" xr:uid="{00000000-0005-0000-0000-00007F0D0000}"/>
    <cellStyle name="60% - Ênfase4 7 2" xfId="3460" xr:uid="{00000000-0005-0000-0000-0000800D0000}"/>
    <cellStyle name="60% - Ênfase4 8" xfId="3461" xr:uid="{00000000-0005-0000-0000-0000810D0000}"/>
    <cellStyle name="60% - Ênfase4 9" xfId="3462" xr:uid="{00000000-0005-0000-0000-0000820D0000}"/>
    <cellStyle name="60% - Ênfase5 2" xfId="3463" xr:uid="{00000000-0005-0000-0000-0000830D0000}"/>
    <cellStyle name="60% - Ênfase5 2 2" xfId="3464" xr:uid="{00000000-0005-0000-0000-0000840D0000}"/>
    <cellStyle name="60% - Ênfase5 2 2 2" xfId="3465" xr:uid="{00000000-0005-0000-0000-0000850D0000}"/>
    <cellStyle name="60% - Ênfase5 2 3" xfId="3466" xr:uid="{00000000-0005-0000-0000-0000860D0000}"/>
    <cellStyle name="60% - Ênfase5 2 3 2" xfId="3467" xr:uid="{00000000-0005-0000-0000-0000870D0000}"/>
    <cellStyle name="60% - Ênfase5 2 4" xfId="3468" xr:uid="{00000000-0005-0000-0000-0000880D0000}"/>
    <cellStyle name="60% - Ênfase5 3" xfId="3469" xr:uid="{00000000-0005-0000-0000-0000890D0000}"/>
    <cellStyle name="60% - Ênfase5 3 2" xfId="3470" xr:uid="{00000000-0005-0000-0000-00008A0D0000}"/>
    <cellStyle name="60% - Ênfase5 4" xfId="3471" xr:uid="{00000000-0005-0000-0000-00008B0D0000}"/>
    <cellStyle name="60% - Ênfase5 4 2" xfId="3472" xr:uid="{00000000-0005-0000-0000-00008C0D0000}"/>
    <cellStyle name="60% - Ênfase5 5" xfId="3473" xr:uid="{00000000-0005-0000-0000-00008D0D0000}"/>
    <cellStyle name="60% - Ênfase5 5 2" xfId="3474" xr:uid="{00000000-0005-0000-0000-00008E0D0000}"/>
    <cellStyle name="60% - Ênfase5 6" xfId="3475" xr:uid="{00000000-0005-0000-0000-00008F0D0000}"/>
    <cellStyle name="60% - Ênfase5 6 2" xfId="3476" xr:uid="{00000000-0005-0000-0000-0000900D0000}"/>
    <cellStyle name="60% - Ênfase5 7" xfId="3477" xr:uid="{00000000-0005-0000-0000-0000910D0000}"/>
    <cellStyle name="60% - Ênfase5 7 2" xfId="3478" xr:uid="{00000000-0005-0000-0000-0000920D0000}"/>
    <cellStyle name="60% - Ênfase5 8" xfId="3479" xr:uid="{00000000-0005-0000-0000-0000930D0000}"/>
    <cellStyle name="60% - Ênfase5 9" xfId="3480" xr:uid="{00000000-0005-0000-0000-0000940D0000}"/>
    <cellStyle name="60% - Ênfase6 2" xfId="3481" xr:uid="{00000000-0005-0000-0000-0000950D0000}"/>
    <cellStyle name="60% - Ênfase6 2 2" xfId="3482" xr:uid="{00000000-0005-0000-0000-0000960D0000}"/>
    <cellStyle name="60% - Ênfase6 2 2 2" xfId="3483" xr:uid="{00000000-0005-0000-0000-0000970D0000}"/>
    <cellStyle name="60% - Ênfase6 2 3" xfId="3484" xr:uid="{00000000-0005-0000-0000-0000980D0000}"/>
    <cellStyle name="60% - Ênfase6 2 3 2" xfId="3485" xr:uid="{00000000-0005-0000-0000-0000990D0000}"/>
    <cellStyle name="60% - Ênfase6 2 4" xfId="3486" xr:uid="{00000000-0005-0000-0000-00009A0D0000}"/>
    <cellStyle name="60% - Ênfase6 3" xfId="3487" xr:uid="{00000000-0005-0000-0000-00009B0D0000}"/>
    <cellStyle name="60% - Ênfase6 3 2" xfId="3488" xr:uid="{00000000-0005-0000-0000-00009C0D0000}"/>
    <cellStyle name="60% - Ênfase6 4" xfId="3489" xr:uid="{00000000-0005-0000-0000-00009D0D0000}"/>
    <cellStyle name="60% - Ênfase6 4 2" xfId="3490" xr:uid="{00000000-0005-0000-0000-00009E0D0000}"/>
    <cellStyle name="60% - Ênfase6 5" xfId="3491" xr:uid="{00000000-0005-0000-0000-00009F0D0000}"/>
    <cellStyle name="60% - Ênfase6 5 2" xfId="3492" xr:uid="{00000000-0005-0000-0000-0000A00D0000}"/>
    <cellStyle name="60% - Ênfase6 6" xfId="3493" xr:uid="{00000000-0005-0000-0000-0000A10D0000}"/>
    <cellStyle name="60% - Ênfase6 6 2" xfId="3494" xr:uid="{00000000-0005-0000-0000-0000A20D0000}"/>
    <cellStyle name="60% - Ênfase6 7" xfId="3495" xr:uid="{00000000-0005-0000-0000-0000A30D0000}"/>
    <cellStyle name="60% - Ênfase6 7 2" xfId="3496" xr:uid="{00000000-0005-0000-0000-0000A40D0000}"/>
    <cellStyle name="60% - Ênfase6 8" xfId="3497" xr:uid="{00000000-0005-0000-0000-0000A50D0000}"/>
    <cellStyle name="60% - Ênfase6 9" xfId="3498" xr:uid="{00000000-0005-0000-0000-0000A60D0000}"/>
    <cellStyle name="60% - Énfasis1" xfId="3499" xr:uid="{00000000-0005-0000-0000-0000A70D0000}"/>
    <cellStyle name="60% - Énfasis2" xfId="3500" xr:uid="{00000000-0005-0000-0000-0000A80D0000}"/>
    <cellStyle name="60% - Énfasis3" xfId="3501" xr:uid="{00000000-0005-0000-0000-0000A90D0000}"/>
    <cellStyle name="60% - Énfasis4" xfId="3502" xr:uid="{00000000-0005-0000-0000-0000AA0D0000}"/>
    <cellStyle name="60% - Énfasis5" xfId="3503" xr:uid="{00000000-0005-0000-0000-0000AB0D0000}"/>
    <cellStyle name="60% - Énfasis6" xfId="3504" xr:uid="{00000000-0005-0000-0000-0000AC0D0000}"/>
    <cellStyle name="A3 297 x 420 mm" xfId="3505" xr:uid="{00000000-0005-0000-0000-0000AD0D0000}"/>
    <cellStyle name="A3 297 x 420 mm 2" xfId="3506" xr:uid="{00000000-0005-0000-0000-0000AE0D0000}"/>
    <cellStyle name="Accent1" xfId="3507" xr:uid="{00000000-0005-0000-0000-0000AF0D0000}"/>
    <cellStyle name="Accent1 2" xfId="3508" xr:uid="{00000000-0005-0000-0000-0000B00D0000}"/>
    <cellStyle name="Accent2" xfId="3509" xr:uid="{00000000-0005-0000-0000-0000B10D0000}"/>
    <cellStyle name="Accent2 2" xfId="3510" xr:uid="{00000000-0005-0000-0000-0000B20D0000}"/>
    <cellStyle name="Accent3" xfId="3511" xr:uid="{00000000-0005-0000-0000-0000B30D0000}"/>
    <cellStyle name="Accent3 2" xfId="3512" xr:uid="{00000000-0005-0000-0000-0000B40D0000}"/>
    <cellStyle name="Accent4" xfId="3513" xr:uid="{00000000-0005-0000-0000-0000B50D0000}"/>
    <cellStyle name="Accent4 2" xfId="3514" xr:uid="{00000000-0005-0000-0000-0000B60D0000}"/>
    <cellStyle name="Accent5" xfId="3515" xr:uid="{00000000-0005-0000-0000-0000B70D0000}"/>
    <cellStyle name="Accent5 2" xfId="3516" xr:uid="{00000000-0005-0000-0000-0000B80D0000}"/>
    <cellStyle name="Accent6" xfId="3517" xr:uid="{00000000-0005-0000-0000-0000B90D0000}"/>
    <cellStyle name="Accent6 2" xfId="3518" xr:uid="{00000000-0005-0000-0000-0000BA0D0000}"/>
    <cellStyle name="ar" xfId="3519" xr:uid="{00000000-0005-0000-0000-0000BB0D0000}"/>
    <cellStyle name="Área" xfId="3520" xr:uid="{00000000-0005-0000-0000-0000BC0D0000}"/>
    <cellStyle name="b475" xfId="3521" xr:uid="{00000000-0005-0000-0000-0000BD0D0000}"/>
    <cellStyle name="Bad" xfId="3522" xr:uid="{00000000-0005-0000-0000-0000BE0D0000}"/>
    <cellStyle name="Bad 2" xfId="3523" xr:uid="{00000000-0005-0000-0000-0000BF0D0000}"/>
    <cellStyle name="Bom 2" xfId="3524" xr:uid="{00000000-0005-0000-0000-0000C00D0000}"/>
    <cellStyle name="Bom 2 2" xfId="3525" xr:uid="{00000000-0005-0000-0000-0000C10D0000}"/>
    <cellStyle name="Bom 2 2 2" xfId="3526" xr:uid="{00000000-0005-0000-0000-0000C20D0000}"/>
    <cellStyle name="Bom 2 3" xfId="3527" xr:uid="{00000000-0005-0000-0000-0000C30D0000}"/>
    <cellStyle name="Bom 2 3 2" xfId="3528" xr:uid="{00000000-0005-0000-0000-0000C40D0000}"/>
    <cellStyle name="Bom 2 4" xfId="3529" xr:uid="{00000000-0005-0000-0000-0000C50D0000}"/>
    <cellStyle name="Bom 3" xfId="3530" xr:uid="{00000000-0005-0000-0000-0000C60D0000}"/>
    <cellStyle name="Bom 3 2" xfId="3531" xr:uid="{00000000-0005-0000-0000-0000C70D0000}"/>
    <cellStyle name="Bom 4" xfId="3532" xr:uid="{00000000-0005-0000-0000-0000C80D0000}"/>
    <cellStyle name="Bom 4 2" xfId="3533" xr:uid="{00000000-0005-0000-0000-0000C90D0000}"/>
    <cellStyle name="Bom 5" xfId="3534" xr:uid="{00000000-0005-0000-0000-0000CA0D0000}"/>
    <cellStyle name="Bom 5 2" xfId="3535" xr:uid="{00000000-0005-0000-0000-0000CB0D0000}"/>
    <cellStyle name="Bom 6" xfId="3536" xr:uid="{00000000-0005-0000-0000-0000CC0D0000}"/>
    <cellStyle name="Bom 6 2" xfId="3537" xr:uid="{00000000-0005-0000-0000-0000CD0D0000}"/>
    <cellStyle name="Bom 7" xfId="3538" xr:uid="{00000000-0005-0000-0000-0000CE0D0000}"/>
    <cellStyle name="Bom 7 2" xfId="3539" xr:uid="{00000000-0005-0000-0000-0000CF0D0000}"/>
    <cellStyle name="Bom 8" xfId="3540" xr:uid="{00000000-0005-0000-0000-0000D00D0000}"/>
    <cellStyle name="Bom 9" xfId="3541" xr:uid="{00000000-0005-0000-0000-0000D10D0000}"/>
    <cellStyle name="Brand Align Left Text" xfId="3542" xr:uid="{00000000-0005-0000-0000-0000D20D0000}"/>
    <cellStyle name="Brand Default" xfId="3543" xr:uid="{00000000-0005-0000-0000-0000D30D0000}"/>
    <cellStyle name="Brand Percent" xfId="3544" xr:uid="{00000000-0005-0000-0000-0000D40D0000}"/>
    <cellStyle name="Brand Percent 2" xfId="3545" xr:uid="{00000000-0005-0000-0000-0000D50D0000}"/>
    <cellStyle name="Brand Source" xfId="3546" xr:uid="{00000000-0005-0000-0000-0000D60D0000}"/>
    <cellStyle name="Brand Source 2" xfId="3547" xr:uid="{00000000-0005-0000-0000-0000D70D0000}"/>
    <cellStyle name="Brand Subtitle with Underline" xfId="3548" xr:uid="{00000000-0005-0000-0000-0000D80D0000}"/>
    <cellStyle name="Brand Subtitle without Underline" xfId="3549" xr:uid="{00000000-0005-0000-0000-0000D90D0000}"/>
    <cellStyle name="Brand Title" xfId="3550" xr:uid="{00000000-0005-0000-0000-0000DA0D0000}"/>
    <cellStyle name="Buena" xfId="3551" xr:uid="{00000000-0005-0000-0000-0000DB0D0000}"/>
    <cellStyle name="Calculation" xfId="3552" xr:uid="{00000000-0005-0000-0000-0000DC0D0000}"/>
    <cellStyle name="Calculation 2" xfId="3553" xr:uid="{00000000-0005-0000-0000-0000DD0D0000}"/>
    <cellStyle name="Cálculo 2" xfId="3554" xr:uid="{00000000-0005-0000-0000-0000DE0D0000}"/>
    <cellStyle name="Cálculo 2 2" xfId="3555" xr:uid="{00000000-0005-0000-0000-0000DF0D0000}"/>
    <cellStyle name="Cálculo 2 2 2" xfId="3556" xr:uid="{00000000-0005-0000-0000-0000E00D0000}"/>
    <cellStyle name="Cálculo 2 3" xfId="3557" xr:uid="{00000000-0005-0000-0000-0000E10D0000}"/>
    <cellStyle name="Cálculo 2 3 2" xfId="3558" xr:uid="{00000000-0005-0000-0000-0000E20D0000}"/>
    <cellStyle name="Cálculo 2 4" xfId="3559" xr:uid="{00000000-0005-0000-0000-0000E30D0000}"/>
    <cellStyle name="Cálculo 3" xfId="3560" xr:uid="{00000000-0005-0000-0000-0000E40D0000}"/>
    <cellStyle name="Cálculo 3 2" xfId="3561" xr:uid="{00000000-0005-0000-0000-0000E50D0000}"/>
    <cellStyle name="Cálculo 4" xfId="3562" xr:uid="{00000000-0005-0000-0000-0000E60D0000}"/>
    <cellStyle name="Cálculo 4 2" xfId="3563" xr:uid="{00000000-0005-0000-0000-0000E70D0000}"/>
    <cellStyle name="Cálculo 5" xfId="3564" xr:uid="{00000000-0005-0000-0000-0000E80D0000}"/>
    <cellStyle name="Cálculo 5 2" xfId="3565" xr:uid="{00000000-0005-0000-0000-0000E90D0000}"/>
    <cellStyle name="Cálculo 6" xfId="3566" xr:uid="{00000000-0005-0000-0000-0000EA0D0000}"/>
    <cellStyle name="Cálculo 6 2" xfId="3567" xr:uid="{00000000-0005-0000-0000-0000EB0D0000}"/>
    <cellStyle name="Cálculo 7" xfId="3568" xr:uid="{00000000-0005-0000-0000-0000EC0D0000}"/>
    <cellStyle name="Cálculo 7 2" xfId="3569" xr:uid="{00000000-0005-0000-0000-0000ED0D0000}"/>
    <cellStyle name="Cálculo 8" xfId="3570" xr:uid="{00000000-0005-0000-0000-0000EE0D0000}"/>
    <cellStyle name="Cálculo 9" xfId="3571" xr:uid="{00000000-0005-0000-0000-0000EF0D0000}"/>
    <cellStyle name="Cancel" xfId="3572" xr:uid="{00000000-0005-0000-0000-0000F00D0000}"/>
    <cellStyle name="Cancel 2" xfId="3573" xr:uid="{00000000-0005-0000-0000-0000F10D0000}"/>
    <cellStyle name="Celda de comprobación" xfId="3574" xr:uid="{00000000-0005-0000-0000-0000F20D0000}"/>
    <cellStyle name="Celda vinculada" xfId="3575" xr:uid="{00000000-0005-0000-0000-0000F30D0000}"/>
    <cellStyle name="Célula de Verificação 2" xfId="3576" xr:uid="{00000000-0005-0000-0000-0000F40D0000}"/>
    <cellStyle name="Célula de Verificação 2 2" xfId="3577" xr:uid="{00000000-0005-0000-0000-0000F50D0000}"/>
    <cellStyle name="Célula de Verificação 2 2 2" xfId="3578" xr:uid="{00000000-0005-0000-0000-0000F60D0000}"/>
    <cellStyle name="Célula de Verificação 2 3" xfId="3579" xr:uid="{00000000-0005-0000-0000-0000F70D0000}"/>
    <cellStyle name="Célula de Verificação 2 3 2" xfId="3580" xr:uid="{00000000-0005-0000-0000-0000F80D0000}"/>
    <cellStyle name="Célula de Verificação 2 4" xfId="3581" xr:uid="{00000000-0005-0000-0000-0000F90D0000}"/>
    <cellStyle name="Célula de Verificação 3" xfId="3582" xr:uid="{00000000-0005-0000-0000-0000FA0D0000}"/>
    <cellStyle name="Célula de Verificação 3 2" xfId="3583" xr:uid="{00000000-0005-0000-0000-0000FB0D0000}"/>
    <cellStyle name="Célula de Verificação 4" xfId="3584" xr:uid="{00000000-0005-0000-0000-0000FC0D0000}"/>
    <cellStyle name="Célula de Verificação 4 2" xfId="3585" xr:uid="{00000000-0005-0000-0000-0000FD0D0000}"/>
    <cellStyle name="Célula de Verificação 5" xfId="3586" xr:uid="{00000000-0005-0000-0000-0000FE0D0000}"/>
    <cellStyle name="Célula de Verificação 5 2" xfId="3587" xr:uid="{00000000-0005-0000-0000-0000FF0D0000}"/>
    <cellStyle name="Célula de Verificação 6" xfId="3588" xr:uid="{00000000-0005-0000-0000-0000000E0000}"/>
    <cellStyle name="Célula de Verificação 6 2" xfId="3589" xr:uid="{00000000-0005-0000-0000-0000010E0000}"/>
    <cellStyle name="Célula de Verificação 7" xfId="3590" xr:uid="{00000000-0005-0000-0000-0000020E0000}"/>
    <cellStyle name="Célula de Verificação 7 2" xfId="3591" xr:uid="{00000000-0005-0000-0000-0000030E0000}"/>
    <cellStyle name="Célula de Verificação 8" xfId="3592" xr:uid="{00000000-0005-0000-0000-0000040E0000}"/>
    <cellStyle name="Célula de Verificação 9" xfId="3593" xr:uid="{00000000-0005-0000-0000-0000050E0000}"/>
    <cellStyle name="Célula Vinculada 2" xfId="3594" xr:uid="{00000000-0005-0000-0000-0000060E0000}"/>
    <cellStyle name="Célula Vinculada 2 2" xfId="3595" xr:uid="{00000000-0005-0000-0000-0000070E0000}"/>
    <cellStyle name="Célula Vinculada 2 2 2" xfId="3596" xr:uid="{00000000-0005-0000-0000-0000080E0000}"/>
    <cellStyle name="Célula Vinculada 2 3" xfId="3597" xr:uid="{00000000-0005-0000-0000-0000090E0000}"/>
    <cellStyle name="Célula Vinculada 2 3 2" xfId="3598" xr:uid="{00000000-0005-0000-0000-00000A0E0000}"/>
    <cellStyle name="Célula Vinculada 2 4" xfId="3599" xr:uid="{00000000-0005-0000-0000-00000B0E0000}"/>
    <cellStyle name="Célula Vinculada 3" xfId="3600" xr:uid="{00000000-0005-0000-0000-00000C0E0000}"/>
    <cellStyle name="Célula Vinculada 3 2" xfId="3601" xr:uid="{00000000-0005-0000-0000-00000D0E0000}"/>
    <cellStyle name="Célula Vinculada 4" xfId="3602" xr:uid="{00000000-0005-0000-0000-00000E0E0000}"/>
    <cellStyle name="Célula Vinculada 4 2" xfId="3603" xr:uid="{00000000-0005-0000-0000-00000F0E0000}"/>
    <cellStyle name="Célula Vinculada 5" xfId="3604" xr:uid="{00000000-0005-0000-0000-0000100E0000}"/>
    <cellStyle name="Célula Vinculada 5 2" xfId="3605" xr:uid="{00000000-0005-0000-0000-0000110E0000}"/>
    <cellStyle name="Célula Vinculada 6" xfId="3606" xr:uid="{00000000-0005-0000-0000-0000120E0000}"/>
    <cellStyle name="Célula Vinculada 6 2" xfId="3607" xr:uid="{00000000-0005-0000-0000-0000130E0000}"/>
    <cellStyle name="Célula Vinculada 7" xfId="3608" xr:uid="{00000000-0005-0000-0000-0000140E0000}"/>
    <cellStyle name="Célula Vinculada 7 2" xfId="3609" xr:uid="{00000000-0005-0000-0000-0000150E0000}"/>
    <cellStyle name="Célula Vinculada 8" xfId="3610" xr:uid="{00000000-0005-0000-0000-0000160E0000}"/>
    <cellStyle name="Célula Vinculada 9" xfId="3611" xr:uid="{00000000-0005-0000-0000-0000170E0000}"/>
    <cellStyle name="Centered Heading" xfId="3612" xr:uid="{00000000-0005-0000-0000-0000180E0000}"/>
    <cellStyle name="CenterHead" xfId="3613" xr:uid="{00000000-0005-0000-0000-0000190E0000}"/>
    <cellStyle name="Check Cell" xfId="3614" xr:uid="{00000000-0005-0000-0000-00001A0E0000}"/>
    <cellStyle name="Check Cell 2" xfId="3615" xr:uid="{00000000-0005-0000-0000-00001B0E0000}"/>
    <cellStyle name="Column_Title" xfId="3616" xr:uid="{00000000-0005-0000-0000-00001C0E0000}"/>
    <cellStyle name="Comma  - Style1" xfId="3617" xr:uid="{00000000-0005-0000-0000-00001D0E0000}"/>
    <cellStyle name="Comma  - Style1 2" xfId="3618" xr:uid="{00000000-0005-0000-0000-00001E0E0000}"/>
    <cellStyle name="Comma  - Style1 3" xfId="3619" xr:uid="{00000000-0005-0000-0000-00001F0E0000}"/>
    <cellStyle name="Comma  - Style1_Movimentação Contingências dez,09" xfId="3620" xr:uid="{00000000-0005-0000-0000-0000200E0000}"/>
    <cellStyle name="Comma  - Style2" xfId="3621" xr:uid="{00000000-0005-0000-0000-0000210E0000}"/>
    <cellStyle name="Comma  - Style2 2" xfId="3622" xr:uid="{00000000-0005-0000-0000-0000220E0000}"/>
    <cellStyle name="Comma  - Style2 3" xfId="3623" xr:uid="{00000000-0005-0000-0000-0000230E0000}"/>
    <cellStyle name="Comma  - Style2_Movimentação Contingências dez,09" xfId="3624" xr:uid="{00000000-0005-0000-0000-0000240E0000}"/>
    <cellStyle name="Comma  - Style3" xfId="3625" xr:uid="{00000000-0005-0000-0000-0000250E0000}"/>
    <cellStyle name="Comma  - Style3 2" xfId="3626" xr:uid="{00000000-0005-0000-0000-0000260E0000}"/>
    <cellStyle name="Comma  - Style3 3" xfId="3627" xr:uid="{00000000-0005-0000-0000-0000270E0000}"/>
    <cellStyle name="Comma  - Style3_Movimentação Contingências dez,09" xfId="3628" xr:uid="{00000000-0005-0000-0000-0000280E0000}"/>
    <cellStyle name="Comma  - Style4" xfId="3629" xr:uid="{00000000-0005-0000-0000-0000290E0000}"/>
    <cellStyle name="Comma  - Style4 2" xfId="3630" xr:uid="{00000000-0005-0000-0000-00002A0E0000}"/>
    <cellStyle name="Comma  - Style4 3" xfId="3631" xr:uid="{00000000-0005-0000-0000-00002B0E0000}"/>
    <cellStyle name="Comma  - Style4_Movimentação Contingências dez,09" xfId="3632" xr:uid="{00000000-0005-0000-0000-00002C0E0000}"/>
    <cellStyle name="Comma  - Style5" xfId="3633" xr:uid="{00000000-0005-0000-0000-00002D0E0000}"/>
    <cellStyle name="Comma  - Style5 2" xfId="3634" xr:uid="{00000000-0005-0000-0000-00002E0E0000}"/>
    <cellStyle name="Comma  - Style5 3" xfId="3635" xr:uid="{00000000-0005-0000-0000-00002F0E0000}"/>
    <cellStyle name="Comma  - Style5_Movimentação Contingências dez,09" xfId="3636" xr:uid="{00000000-0005-0000-0000-0000300E0000}"/>
    <cellStyle name="Comma  - Style6" xfId="3637" xr:uid="{00000000-0005-0000-0000-0000310E0000}"/>
    <cellStyle name="Comma  - Style6 2" xfId="3638" xr:uid="{00000000-0005-0000-0000-0000320E0000}"/>
    <cellStyle name="Comma  - Style6 3" xfId="3639" xr:uid="{00000000-0005-0000-0000-0000330E0000}"/>
    <cellStyle name="Comma  - Style6_Movimentação Contingências dez,09" xfId="3640" xr:uid="{00000000-0005-0000-0000-0000340E0000}"/>
    <cellStyle name="Comma  - Style7" xfId="3641" xr:uid="{00000000-0005-0000-0000-0000350E0000}"/>
    <cellStyle name="Comma  - Style7 2" xfId="3642" xr:uid="{00000000-0005-0000-0000-0000360E0000}"/>
    <cellStyle name="Comma  - Style7 3" xfId="3643" xr:uid="{00000000-0005-0000-0000-0000370E0000}"/>
    <cellStyle name="Comma  - Style7_Movimentação Contingências dez,09" xfId="3644" xr:uid="{00000000-0005-0000-0000-0000380E0000}"/>
    <cellStyle name="Comma  - Style8" xfId="3645" xr:uid="{00000000-0005-0000-0000-0000390E0000}"/>
    <cellStyle name="Comma  - Style8 2" xfId="3646" xr:uid="{00000000-0005-0000-0000-00003A0E0000}"/>
    <cellStyle name="Comma  - Style8 3" xfId="3647" xr:uid="{00000000-0005-0000-0000-00003B0E0000}"/>
    <cellStyle name="Comma  - Style8_Movimentação Contingências dez,09" xfId="3648" xr:uid="{00000000-0005-0000-0000-00003C0E0000}"/>
    <cellStyle name="Comma [0]_08" xfId="3649" xr:uid="{00000000-0005-0000-0000-00003D0E0000}"/>
    <cellStyle name="Comma 0.0" xfId="3650" xr:uid="{00000000-0005-0000-0000-00003E0E0000}"/>
    <cellStyle name="Comma 0.00" xfId="3651" xr:uid="{00000000-0005-0000-0000-00003F0E0000}"/>
    <cellStyle name="Comma 0.000" xfId="3652" xr:uid="{00000000-0005-0000-0000-0000400E0000}"/>
    <cellStyle name="Comma 2" xfId="3653" xr:uid="{00000000-0005-0000-0000-0000410E0000}"/>
    <cellStyle name="Comma 2 2" xfId="3654" xr:uid="{00000000-0005-0000-0000-0000420E0000}"/>
    <cellStyle name="Comma 2 3" xfId="3655" xr:uid="{00000000-0005-0000-0000-0000430E0000}"/>
    <cellStyle name="Comma 2 3 2" xfId="3656" xr:uid="{00000000-0005-0000-0000-0000440E0000}"/>
    <cellStyle name="Comma 2 4" xfId="3657" xr:uid="{00000000-0005-0000-0000-0000450E0000}"/>
    <cellStyle name="Comma 2 5" xfId="3658" xr:uid="{00000000-0005-0000-0000-0000460E0000}"/>
    <cellStyle name="Comma 3" xfId="3659" xr:uid="{00000000-0005-0000-0000-0000470E0000}"/>
    <cellStyle name="Comma 3 2" xfId="3660" xr:uid="{00000000-0005-0000-0000-0000480E0000}"/>
    <cellStyle name="Comma 3 3" xfId="3661" xr:uid="{00000000-0005-0000-0000-0000490E0000}"/>
    <cellStyle name="Comma 3 4" xfId="3662" xr:uid="{00000000-0005-0000-0000-00004A0E0000}"/>
    <cellStyle name="Comma 3 5" xfId="3663" xr:uid="{00000000-0005-0000-0000-00004B0E0000}"/>
    <cellStyle name="Comma 4" xfId="3664" xr:uid="{00000000-0005-0000-0000-00004C0E0000}"/>
    <cellStyle name="Comma 4 2" xfId="3665" xr:uid="{00000000-0005-0000-0000-00004D0E0000}"/>
    <cellStyle name="Comma 5" xfId="3666" xr:uid="{00000000-0005-0000-0000-00004E0E0000}"/>
    <cellStyle name="Comma 6" xfId="3667" xr:uid="{00000000-0005-0000-0000-00004F0E0000}"/>
    <cellStyle name="Comma_08" xfId="3668" xr:uid="{00000000-0005-0000-0000-0000500E0000}"/>
    <cellStyle name="Comma0" xfId="3669" xr:uid="{00000000-0005-0000-0000-0000510E0000}"/>
    <cellStyle name="Comma0 - Style2" xfId="3670" xr:uid="{00000000-0005-0000-0000-0000520E0000}"/>
    <cellStyle name="Comma0 - Style3" xfId="3671" xr:uid="{00000000-0005-0000-0000-0000530E0000}"/>
    <cellStyle name="Comma0_5501 Despesas Antecipadas setembro" xfId="3672" xr:uid="{00000000-0005-0000-0000-0000540E0000}"/>
    <cellStyle name="Comma1 - Style1" xfId="3673" xr:uid="{00000000-0005-0000-0000-0000550E0000}"/>
    <cellStyle name="Company Name" xfId="3674" xr:uid="{00000000-0005-0000-0000-0000560E0000}"/>
    <cellStyle name="Currency [0]_08" xfId="3675" xr:uid="{00000000-0005-0000-0000-0000570E0000}"/>
    <cellStyle name="Currency 0.0" xfId="3676" xr:uid="{00000000-0005-0000-0000-0000580E0000}"/>
    <cellStyle name="Currency 0.00" xfId="3677" xr:uid="{00000000-0005-0000-0000-0000590E0000}"/>
    <cellStyle name="Currency 0.000" xfId="3678" xr:uid="{00000000-0005-0000-0000-00005A0E0000}"/>
    <cellStyle name="Currency_08" xfId="3679" xr:uid="{00000000-0005-0000-0000-00005B0E0000}"/>
    <cellStyle name="Currency0" xfId="3680" xr:uid="{00000000-0005-0000-0000-00005C0E0000}"/>
    <cellStyle name="Dan" xfId="3681" xr:uid="{00000000-0005-0000-0000-00005D0E0000}"/>
    <cellStyle name="Dan 2" xfId="3682" xr:uid="{00000000-0005-0000-0000-00005E0E0000}"/>
    <cellStyle name="Dan 3" xfId="3683" xr:uid="{00000000-0005-0000-0000-00005F0E0000}"/>
    <cellStyle name="Date" xfId="3684" xr:uid="{00000000-0005-0000-0000-0000600E0000}"/>
    <cellStyle name="Date - Style4" xfId="3685" xr:uid="{00000000-0005-0000-0000-0000610E0000}"/>
    <cellStyle name="Date_5501 Despesas Antecipadas setembro" xfId="3686" xr:uid="{00000000-0005-0000-0000-0000620E0000}"/>
    <cellStyle name="Dezimal [0]_Compiling Utility Macros" xfId="3687" xr:uid="{00000000-0005-0000-0000-0000630E0000}"/>
    <cellStyle name="Dezimal_Compiling Utility Macros" xfId="3688" xr:uid="{00000000-0005-0000-0000-0000640E0000}"/>
    <cellStyle name="Encabezado 4" xfId="3689" xr:uid="{00000000-0005-0000-0000-0000650E0000}"/>
    <cellStyle name="Ênfase1 2" xfId="3690" xr:uid="{00000000-0005-0000-0000-0000660E0000}"/>
    <cellStyle name="Ênfase1 2 2" xfId="3691" xr:uid="{00000000-0005-0000-0000-0000670E0000}"/>
    <cellStyle name="Ênfase1 2 2 2" xfId="3692" xr:uid="{00000000-0005-0000-0000-0000680E0000}"/>
    <cellStyle name="Ênfase1 2 3" xfId="3693" xr:uid="{00000000-0005-0000-0000-0000690E0000}"/>
    <cellStyle name="Ênfase1 2 3 2" xfId="3694" xr:uid="{00000000-0005-0000-0000-00006A0E0000}"/>
    <cellStyle name="Ênfase1 2 4" xfId="3695" xr:uid="{00000000-0005-0000-0000-00006B0E0000}"/>
    <cellStyle name="Ênfase1 3" xfId="3696" xr:uid="{00000000-0005-0000-0000-00006C0E0000}"/>
    <cellStyle name="Ênfase1 3 2" xfId="3697" xr:uid="{00000000-0005-0000-0000-00006D0E0000}"/>
    <cellStyle name="Ênfase1 4" xfId="3698" xr:uid="{00000000-0005-0000-0000-00006E0E0000}"/>
    <cellStyle name="Ênfase1 4 2" xfId="3699" xr:uid="{00000000-0005-0000-0000-00006F0E0000}"/>
    <cellStyle name="Ênfase1 5" xfId="3700" xr:uid="{00000000-0005-0000-0000-0000700E0000}"/>
    <cellStyle name="Ênfase1 5 2" xfId="3701" xr:uid="{00000000-0005-0000-0000-0000710E0000}"/>
    <cellStyle name="Ênfase1 6" xfId="3702" xr:uid="{00000000-0005-0000-0000-0000720E0000}"/>
    <cellStyle name="Ênfase1 6 2" xfId="3703" xr:uid="{00000000-0005-0000-0000-0000730E0000}"/>
    <cellStyle name="Ênfase1 7" xfId="3704" xr:uid="{00000000-0005-0000-0000-0000740E0000}"/>
    <cellStyle name="Ênfase1 7 2" xfId="3705" xr:uid="{00000000-0005-0000-0000-0000750E0000}"/>
    <cellStyle name="Ênfase1 8" xfId="3706" xr:uid="{00000000-0005-0000-0000-0000760E0000}"/>
    <cellStyle name="Ênfase1 9" xfId="3707" xr:uid="{00000000-0005-0000-0000-0000770E0000}"/>
    <cellStyle name="Ênfase2 2" xfId="3708" xr:uid="{00000000-0005-0000-0000-0000780E0000}"/>
    <cellStyle name="Ênfase2 2 2" xfId="3709" xr:uid="{00000000-0005-0000-0000-0000790E0000}"/>
    <cellStyle name="Ênfase2 2 2 2" xfId="3710" xr:uid="{00000000-0005-0000-0000-00007A0E0000}"/>
    <cellStyle name="Ênfase2 2 3" xfId="3711" xr:uid="{00000000-0005-0000-0000-00007B0E0000}"/>
    <cellStyle name="Ênfase2 2 3 2" xfId="3712" xr:uid="{00000000-0005-0000-0000-00007C0E0000}"/>
    <cellStyle name="Ênfase2 2 4" xfId="3713" xr:uid="{00000000-0005-0000-0000-00007D0E0000}"/>
    <cellStyle name="Ênfase2 3" xfId="3714" xr:uid="{00000000-0005-0000-0000-00007E0E0000}"/>
    <cellStyle name="Ênfase2 3 2" xfId="3715" xr:uid="{00000000-0005-0000-0000-00007F0E0000}"/>
    <cellStyle name="Ênfase2 4" xfId="3716" xr:uid="{00000000-0005-0000-0000-0000800E0000}"/>
    <cellStyle name="Ênfase2 4 2" xfId="3717" xr:uid="{00000000-0005-0000-0000-0000810E0000}"/>
    <cellStyle name="Ênfase2 5" xfId="3718" xr:uid="{00000000-0005-0000-0000-0000820E0000}"/>
    <cellStyle name="Ênfase2 5 2" xfId="3719" xr:uid="{00000000-0005-0000-0000-0000830E0000}"/>
    <cellStyle name="Ênfase2 6" xfId="3720" xr:uid="{00000000-0005-0000-0000-0000840E0000}"/>
    <cellStyle name="Ênfase2 6 2" xfId="3721" xr:uid="{00000000-0005-0000-0000-0000850E0000}"/>
    <cellStyle name="Ênfase2 7" xfId="3722" xr:uid="{00000000-0005-0000-0000-0000860E0000}"/>
    <cellStyle name="Ênfase2 7 2" xfId="3723" xr:uid="{00000000-0005-0000-0000-0000870E0000}"/>
    <cellStyle name="Ênfase2 8" xfId="3724" xr:uid="{00000000-0005-0000-0000-0000880E0000}"/>
    <cellStyle name="Ênfase2 9" xfId="3725" xr:uid="{00000000-0005-0000-0000-0000890E0000}"/>
    <cellStyle name="Ênfase3 2" xfId="3726" xr:uid="{00000000-0005-0000-0000-00008A0E0000}"/>
    <cellStyle name="Ênfase3 2 2" xfId="3727" xr:uid="{00000000-0005-0000-0000-00008B0E0000}"/>
    <cellStyle name="Ênfase3 2 2 2" xfId="3728" xr:uid="{00000000-0005-0000-0000-00008C0E0000}"/>
    <cellStyle name="Ênfase3 2 3" xfId="3729" xr:uid="{00000000-0005-0000-0000-00008D0E0000}"/>
    <cellStyle name="Ênfase3 2 3 2" xfId="3730" xr:uid="{00000000-0005-0000-0000-00008E0E0000}"/>
    <cellStyle name="Ênfase3 2 4" xfId="3731" xr:uid="{00000000-0005-0000-0000-00008F0E0000}"/>
    <cellStyle name="Ênfase3 3" xfId="3732" xr:uid="{00000000-0005-0000-0000-0000900E0000}"/>
    <cellStyle name="Ênfase3 3 2" xfId="3733" xr:uid="{00000000-0005-0000-0000-0000910E0000}"/>
    <cellStyle name="Ênfase3 4" xfId="3734" xr:uid="{00000000-0005-0000-0000-0000920E0000}"/>
    <cellStyle name="Ênfase3 4 2" xfId="3735" xr:uid="{00000000-0005-0000-0000-0000930E0000}"/>
    <cellStyle name="Ênfase3 5" xfId="3736" xr:uid="{00000000-0005-0000-0000-0000940E0000}"/>
    <cellStyle name="Ênfase3 5 2" xfId="3737" xr:uid="{00000000-0005-0000-0000-0000950E0000}"/>
    <cellStyle name="Ênfase3 6" xfId="3738" xr:uid="{00000000-0005-0000-0000-0000960E0000}"/>
    <cellStyle name="Ênfase3 6 2" xfId="3739" xr:uid="{00000000-0005-0000-0000-0000970E0000}"/>
    <cellStyle name="Ênfase3 7" xfId="3740" xr:uid="{00000000-0005-0000-0000-0000980E0000}"/>
    <cellStyle name="Ênfase3 7 2" xfId="3741" xr:uid="{00000000-0005-0000-0000-0000990E0000}"/>
    <cellStyle name="Ênfase3 8" xfId="3742" xr:uid="{00000000-0005-0000-0000-00009A0E0000}"/>
    <cellStyle name="Ênfase3 9" xfId="3743" xr:uid="{00000000-0005-0000-0000-00009B0E0000}"/>
    <cellStyle name="Ênfase4 2" xfId="3744" xr:uid="{00000000-0005-0000-0000-00009C0E0000}"/>
    <cellStyle name="Ênfase4 2 2" xfId="3745" xr:uid="{00000000-0005-0000-0000-00009D0E0000}"/>
    <cellStyle name="Ênfase4 2 2 2" xfId="3746" xr:uid="{00000000-0005-0000-0000-00009E0E0000}"/>
    <cellStyle name="Ênfase4 2 3" xfId="3747" xr:uid="{00000000-0005-0000-0000-00009F0E0000}"/>
    <cellStyle name="Ênfase4 2 3 2" xfId="3748" xr:uid="{00000000-0005-0000-0000-0000A00E0000}"/>
    <cellStyle name="Ênfase4 2 4" xfId="3749" xr:uid="{00000000-0005-0000-0000-0000A10E0000}"/>
    <cellStyle name="Ênfase4 3" xfId="3750" xr:uid="{00000000-0005-0000-0000-0000A20E0000}"/>
    <cellStyle name="Ênfase4 3 2" xfId="3751" xr:uid="{00000000-0005-0000-0000-0000A30E0000}"/>
    <cellStyle name="Ênfase4 4" xfId="3752" xr:uid="{00000000-0005-0000-0000-0000A40E0000}"/>
    <cellStyle name="Ênfase4 4 2" xfId="3753" xr:uid="{00000000-0005-0000-0000-0000A50E0000}"/>
    <cellStyle name="Ênfase4 5" xfId="3754" xr:uid="{00000000-0005-0000-0000-0000A60E0000}"/>
    <cellStyle name="Ênfase4 5 2" xfId="3755" xr:uid="{00000000-0005-0000-0000-0000A70E0000}"/>
    <cellStyle name="Ênfase4 6" xfId="3756" xr:uid="{00000000-0005-0000-0000-0000A80E0000}"/>
    <cellStyle name="Ênfase4 6 2" xfId="3757" xr:uid="{00000000-0005-0000-0000-0000A90E0000}"/>
    <cellStyle name="Ênfase4 7" xfId="3758" xr:uid="{00000000-0005-0000-0000-0000AA0E0000}"/>
    <cellStyle name="Ênfase4 7 2" xfId="3759" xr:uid="{00000000-0005-0000-0000-0000AB0E0000}"/>
    <cellStyle name="Ênfase4 8" xfId="3760" xr:uid="{00000000-0005-0000-0000-0000AC0E0000}"/>
    <cellStyle name="Ênfase4 9" xfId="3761" xr:uid="{00000000-0005-0000-0000-0000AD0E0000}"/>
    <cellStyle name="Ênfase5 2" xfId="3762" xr:uid="{00000000-0005-0000-0000-0000AE0E0000}"/>
    <cellStyle name="Ênfase5 2 2" xfId="3763" xr:uid="{00000000-0005-0000-0000-0000AF0E0000}"/>
    <cellStyle name="Ênfase5 2 2 2" xfId="3764" xr:uid="{00000000-0005-0000-0000-0000B00E0000}"/>
    <cellStyle name="Ênfase5 2 3" xfId="3765" xr:uid="{00000000-0005-0000-0000-0000B10E0000}"/>
    <cellStyle name="Ênfase5 2 3 2" xfId="3766" xr:uid="{00000000-0005-0000-0000-0000B20E0000}"/>
    <cellStyle name="Ênfase5 2 4" xfId="3767" xr:uid="{00000000-0005-0000-0000-0000B30E0000}"/>
    <cellStyle name="Ênfase5 3" xfId="3768" xr:uid="{00000000-0005-0000-0000-0000B40E0000}"/>
    <cellStyle name="Ênfase5 3 2" xfId="3769" xr:uid="{00000000-0005-0000-0000-0000B50E0000}"/>
    <cellStyle name="Ênfase5 4" xfId="3770" xr:uid="{00000000-0005-0000-0000-0000B60E0000}"/>
    <cellStyle name="Ênfase5 4 2" xfId="3771" xr:uid="{00000000-0005-0000-0000-0000B70E0000}"/>
    <cellStyle name="Ênfase5 5" xfId="3772" xr:uid="{00000000-0005-0000-0000-0000B80E0000}"/>
    <cellStyle name="Ênfase5 5 2" xfId="3773" xr:uid="{00000000-0005-0000-0000-0000B90E0000}"/>
    <cellStyle name="Ênfase5 6" xfId="3774" xr:uid="{00000000-0005-0000-0000-0000BA0E0000}"/>
    <cellStyle name="Ênfase5 6 2" xfId="3775" xr:uid="{00000000-0005-0000-0000-0000BB0E0000}"/>
    <cellStyle name="Ênfase5 7" xfId="3776" xr:uid="{00000000-0005-0000-0000-0000BC0E0000}"/>
    <cellStyle name="Ênfase5 7 2" xfId="3777" xr:uid="{00000000-0005-0000-0000-0000BD0E0000}"/>
    <cellStyle name="Ênfase5 8" xfId="3778" xr:uid="{00000000-0005-0000-0000-0000BE0E0000}"/>
    <cellStyle name="Ênfase5 9" xfId="3779" xr:uid="{00000000-0005-0000-0000-0000BF0E0000}"/>
    <cellStyle name="Ênfase6 2" xfId="3780" xr:uid="{00000000-0005-0000-0000-0000C00E0000}"/>
    <cellStyle name="Ênfase6 2 2" xfId="3781" xr:uid="{00000000-0005-0000-0000-0000C10E0000}"/>
    <cellStyle name="Ênfase6 2 2 2" xfId="3782" xr:uid="{00000000-0005-0000-0000-0000C20E0000}"/>
    <cellStyle name="Ênfase6 2 3" xfId="3783" xr:uid="{00000000-0005-0000-0000-0000C30E0000}"/>
    <cellStyle name="Ênfase6 2 3 2" xfId="3784" xr:uid="{00000000-0005-0000-0000-0000C40E0000}"/>
    <cellStyle name="Ênfase6 2 4" xfId="3785" xr:uid="{00000000-0005-0000-0000-0000C50E0000}"/>
    <cellStyle name="Ênfase6 3" xfId="3786" xr:uid="{00000000-0005-0000-0000-0000C60E0000}"/>
    <cellStyle name="Ênfase6 3 2" xfId="3787" xr:uid="{00000000-0005-0000-0000-0000C70E0000}"/>
    <cellStyle name="Ênfase6 4" xfId="3788" xr:uid="{00000000-0005-0000-0000-0000C80E0000}"/>
    <cellStyle name="Ênfase6 4 2" xfId="3789" xr:uid="{00000000-0005-0000-0000-0000C90E0000}"/>
    <cellStyle name="Ênfase6 5" xfId="3790" xr:uid="{00000000-0005-0000-0000-0000CA0E0000}"/>
    <cellStyle name="Ênfase6 5 2" xfId="3791" xr:uid="{00000000-0005-0000-0000-0000CB0E0000}"/>
    <cellStyle name="Ênfase6 6" xfId="3792" xr:uid="{00000000-0005-0000-0000-0000CC0E0000}"/>
    <cellStyle name="Ênfase6 6 2" xfId="3793" xr:uid="{00000000-0005-0000-0000-0000CD0E0000}"/>
    <cellStyle name="Ênfase6 7" xfId="3794" xr:uid="{00000000-0005-0000-0000-0000CE0E0000}"/>
    <cellStyle name="Ênfase6 7 2" xfId="3795" xr:uid="{00000000-0005-0000-0000-0000CF0E0000}"/>
    <cellStyle name="Ênfase6 8" xfId="3796" xr:uid="{00000000-0005-0000-0000-0000D00E0000}"/>
    <cellStyle name="Ênfase6 9" xfId="3797" xr:uid="{00000000-0005-0000-0000-0000D10E0000}"/>
    <cellStyle name="Énfasis1" xfId="3798" xr:uid="{00000000-0005-0000-0000-0000D20E0000}"/>
    <cellStyle name="Énfasis2" xfId="3799" xr:uid="{00000000-0005-0000-0000-0000D30E0000}"/>
    <cellStyle name="Énfasis3" xfId="3800" xr:uid="{00000000-0005-0000-0000-0000D40E0000}"/>
    <cellStyle name="Énfasis4" xfId="3801" xr:uid="{00000000-0005-0000-0000-0000D50E0000}"/>
    <cellStyle name="Énfasis5" xfId="3802" xr:uid="{00000000-0005-0000-0000-0000D60E0000}"/>
    <cellStyle name="Énfasis6" xfId="3803" xr:uid="{00000000-0005-0000-0000-0000D70E0000}"/>
    <cellStyle name="Entrada 2" xfId="3804" xr:uid="{00000000-0005-0000-0000-0000D80E0000}"/>
    <cellStyle name="Entrada 2 2" xfId="3805" xr:uid="{00000000-0005-0000-0000-0000D90E0000}"/>
    <cellStyle name="Entrada 2 2 2" xfId="3806" xr:uid="{00000000-0005-0000-0000-0000DA0E0000}"/>
    <cellStyle name="Entrada 2 3" xfId="3807" xr:uid="{00000000-0005-0000-0000-0000DB0E0000}"/>
    <cellStyle name="Entrada 2 3 2" xfId="3808" xr:uid="{00000000-0005-0000-0000-0000DC0E0000}"/>
    <cellStyle name="Entrada 2 4" xfId="3809" xr:uid="{00000000-0005-0000-0000-0000DD0E0000}"/>
    <cellStyle name="Entrada 3" xfId="3810" xr:uid="{00000000-0005-0000-0000-0000DE0E0000}"/>
    <cellStyle name="Entrada 3 2" xfId="3811" xr:uid="{00000000-0005-0000-0000-0000DF0E0000}"/>
    <cellStyle name="Entrada 4" xfId="3812" xr:uid="{00000000-0005-0000-0000-0000E00E0000}"/>
    <cellStyle name="Entrada 4 2" xfId="3813" xr:uid="{00000000-0005-0000-0000-0000E10E0000}"/>
    <cellStyle name="Entrada 5" xfId="3814" xr:uid="{00000000-0005-0000-0000-0000E20E0000}"/>
    <cellStyle name="Entrada 5 2" xfId="3815" xr:uid="{00000000-0005-0000-0000-0000E30E0000}"/>
    <cellStyle name="Entrada 6" xfId="3816" xr:uid="{00000000-0005-0000-0000-0000E40E0000}"/>
    <cellStyle name="Entrada 6 2" xfId="3817" xr:uid="{00000000-0005-0000-0000-0000E50E0000}"/>
    <cellStyle name="Entrada 7" xfId="3818" xr:uid="{00000000-0005-0000-0000-0000E60E0000}"/>
    <cellStyle name="Entrada 7 2" xfId="3819" xr:uid="{00000000-0005-0000-0000-0000E70E0000}"/>
    <cellStyle name="Entrada 8" xfId="3820" xr:uid="{00000000-0005-0000-0000-0000E80E0000}"/>
    <cellStyle name="Entrada 9" xfId="3821" xr:uid="{00000000-0005-0000-0000-0000E90E0000}"/>
    <cellStyle name="Error" xfId="3822" xr:uid="{00000000-0005-0000-0000-0000EA0E0000}"/>
    <cellStyle name="Escondido" xfId="3823" xr:uid="{00000000-0005-0000-0000-0000EB0E0000}"/>
    <cellStyle name="Euro" xfId="3824" xr:uid="{00000000-0005-0000-0000-0000EC0E0000}"/>
    <cellStyle name="Euro 2" xfId="3825" xr:uid="{00000000-0005-0000-0000-0000ED0E0000}"/>
    <cellStyle name="Euro 2 2" xfId="3826" xr:uid="{00000000-0005-0000-0000-0000EE0E0000}"/>
    <cellStyle name="Euro 2 2 2" xfId="3827" xr:uid="{00000000-0005-0000-0000-0000EF0E0000}"/>
    <cellStyle name="Euro 2 3" xfId="3828" xr:uid="{00000000-0005-0000-0000-0000F00E0000}"/>
    <cellStyle name="Euro 3" xfId="3829" xr:uid="{00000000-0005-0000-0000-0000F10E0000}"/>
    <cellStyle name="Euro 3 2" xfId="3830" xr:uid="{00000000-0005-0000-0000-0000F20E0000}"/>
    <cellStyle name="Euro 3 2 2" xfId="3831" xr:uid="{00000000-0005-0000-0000-0000F30E0000}"/>
    <cellStyle name="Euro 3 3" xfId="3832" xr:uid="{00000000-0005-0000-0000-0000F40E0000}"/>
    <cellStyle name="Euro 4" xfId="3833" xr:uid="{00000000-0005-0000-0000-0000F50E0000}"/>
    <cellStyle name="Euro 4 2" xfId="3834" xr:uid="{00000000-0005-0000-0000-0000F60E0000}"/>
    <cellStyle name="Euro 4 2 2" xfId="3835" xr:uid="{00000000-0005-0000-0000-0000F70E0000}"/>
    <cellStyle name="Euro 4 3" xfId="3836" xr:uid="{00000000-0005-0000-0000-0000F80E0000}"/>
    <cellStyle name="Euro 5" xfId="3837" xr:uid="{00000000-0005-0000-0000-0000F90E0000}"/>
    <cellStyle name="Euro 5 2" xfId="3838" xr:uid="{00000000-0005-0000-0000-0000FA0E0000}"/>
    <cellStyle name="Euro 5 2 2" xfId="3839" xr:uid="{00000000-0005-0000-0000-0000FB0E0000}"/>
    <cellStyle name="Euro 5 3" xfId="3840" xr:uid="{00000000-0005-0000-0000-0000FC0E0000}"/>
    <cellStyle name="Euro 6" xfId="3841" xr:uid="{00000000-0005-0000-0000-0000FD0E0000}"/>
    <cellStyle name="Euro 6 2" xfId="3842" xr:uid="{00000000-0005-0000-0000-0000FE0E0000}"/>
    <cellStyle name="Euro 6 2 2" xfId="3843" xr:uid="{00000000-0005-0000-0000-0000FF0E0000}"/>
    <cellStyle name="Euro 6 3" xfId="3844" xr:uid="{00000000-0005-0000-0000-0000000F0000}"/>
    <cellStyle name="Euro 7" xfId="3845" xr:uid="{00000000-0005-0000-0000-0000010F0000}"/>
    <cellStyle name="Euro 8" xfId="3846" xr:uid="{00000000-0005-0000-0000-0000020F0000}"/>
    <cellStyle name="Explanatory Text" xfId="3847" xr:uid="{00000000-0005-0000-0000-0000030F0000}"/>
    <cellStyle name="Explanatory Text 2" xfId="3848" xr:uid="{00000000-0005-0000-0000-0000040F0000}"/>
    <cellStyle name="Fixed" xfId="3849" xr:uid="{00000000-0005-0000-0000-0000050F0000}"/>
    <cellStyle name="Fixed3 - Style3" xfId="3850" xr:uid="{00000000-0005-0000-0000-0000060F0000}"/>
    <cellStyle name="Followed Hyperlink" xfId="3851" xr:uid="{00000000-0005-0000-0000-0000070F0000}"/>
    <cellStyle name="Good" xfId="3852" xr:uid="{00000000-0005-0000-0000-0000080F0000}"/>
    <cellStyle name="Good 2" xfId="3853" xr:uid="{00000000-0005-0000-0000-0000090F0000}"/>
    <cellStyle name="Grey" xfId="3854" xr:uid="{00000000-0005-0000-0000-00000A0F0000}"/>
    <cellStyle name="Grupo" xfId="3855" xr:uid="{00000000-0005-0000-0000-00000B0F0000}"/>
    <cellStyle name="Header1" xfId="3856" xr:uid="{00000000-0005-0000-0000-00000C0F0000}"/>
    <cellStyle name="Header1 2" xfId="3857" xr:uid="{00000000-0005-0000-0000-00000D0F0000}"/>
    <cellStyle name="Header2" xfId="3858" xr:uid="{00000000-0005-0000-0000-00000E0F0000}"/>
    <cellStyle name="Header2 2" xfId="3859" xr:uid="{00000000-0005-0000-0000-00000F0F0000}"/>
    <cellStyle name="Heading" xfId="3860" xr:uid="{00000000-0005-0000-0000-0000100F0000}"/>
    <cellStyle name="Heading 1" xfId="3861" xr:uid="{00000000-0005-0000-0000-0000110F0000}"/>
    <cellStyle name="Heading 1 2" xfId="3862" xr:uid="{00000000-0005-0000-0000-0000120F0000}"/>
    <cellStyle name="Heading 2" xfId="3863" xr:uid="{00000000-0005-0000-0000-0000130F0000}"/>
    <cellStyle name="Heading 2 2" xfId="3864" xr:uid="{00000000-0005-0000-0000-0000140F0000}"/>
    <cellStyle name="Heading 3" xfId="3865" xr:uid="{00000000-0005-0000-0000-0000150F0000}"/>
    <cellStyle name="Heading 3 2" xfId="3866" xr:uid="{00000000-0005-0000-0000-0000160F0000}"/>
    <cellStyle name="Heading 4" xfId="3867" xr:uid="{00000000-0005-0000-0000-0000170F0000}"/>
    <cellStyle name="Heading 4 2" xfId="3868" xr:uid="{00000000-0005-0000-0000-0000180F0000}"/>
    <cellStyle name="Heading 5" xfId="3869" xr:uid="{00000000-0005-0000-0000-0000190F0000}"/>
    <cellStyle name="Heading 6" xfId="3870" xr:uid="{00000000-0005-0000-0000-00001A0F0000}"/>
    <cellStyle name="Heading No Underline" xfId="3871" xr:uid="{00000000-0005-0000-0000-00001B0F0000}"/>
    <cellStyle name="Heading With Underline" xfId="3872" xr:uid="{00000000-0005-0000-0000-00001C0F0000}"/>
    <cellStyle name="Heading_Contingências junho2008-CTB" xfId="3873" xr:uid="{00000000-0005-0000-0000-00001D0F0000}"/>
    <cellStyle name="Hiperlink" xfId="5796" builtinId="8"/>
    <cellStyle name="Hyperlink 2" xfId="3874" xr:uid="{00000000-0005-0000-0000-00001F0F0000}"/>
    <cellStyle name="Hypertextový odkaz" xfId="3875" xr:uid="{00000000-0005-0000-0000-0000200F0000}"/>
    <cellStyle name="Hypertextový odkaz 2" xfId="3876" xr:uid="{00000000-0005-0000-0000-0000210F0000}"/>
    <cellStyle name="Incorrecto" xfId="3877" xr:uid="{00000000-0005-0000-0000-0000220F0000}"/>
    <cellStyle name="Incorreto 2" xfId="3878" xr:uid="{00000000-0005-0000-0000-0000230F0000}"/>
    <cellStyle name="Incorreto 2 2" xfId="3879" xr:uid="{00000000-0005-0000-0000-0000240F0000}"/>
    <cellStyle name="Incorreto 2 2 2" xfId="3880" xr:uid="{00000000-0005-0000-0000-0000250F0000}"/>
    <cellStyle name="Incorreto 2 3" xfId="3881" xr:uid="{00000000-0005-0000-0000-0000260F0000}"/>
    <cellStyle name="Incorreto 2 3 2" xfId="3882" xr:uid="{00000000-0005-0000-0000-0000270F0000}"/>
    <cellStyle name="Incorreto 2 4" xfId="3883" xr:uid="{00000000-0005-0000-0000-0000280F0000}"/>
    <cellStyle name="Incorreto 3" xfId="3884" xr:uid="{00000000-0005-0000-0000-0000290F0000}"/>
    <cellStyle name="Incorreto 3 2" xfId="3885" xr:uid="{00000000-0005-0000-0000-00002A0F0000}"/>
    <cellStyle name="Incorreto 4" xfId="3886" xr:uid="{00000000-0005-0000-0000-00002B0F0000}"/>
    <cellStyle name="Incorreto 4 2" xfId="3887" xr:uid="{00000000-0005-0000-0000-00002C0F0000}"/>
    <cellStyle name="Incorreto 5" xfId="3888" xr:uid="{00000000-0005-0000-0000-00002D0F0000}"/>
    <cellStyle name="Incorreto 5 2" xfId="3889" xr:uid="{00000000-0005-0000-0000-00002E0F0000}"/>
    <cellStyle name="Incorreto 6" xfId="3890" xr:uid="{00000000-0005-0000-0000-00002F0F0000}"/>
    <cellStyle name="Incorreto 6 2" xfId="3891" xr:uid="{00000000-0005-0000-0000-0000300F0000}"/>
    <cellStyle name="Incorreto 7" xfId="3892" xr:uid="{00000000-0005-0000-0000-0000310F0000}"/>
    <cellStyle name="Incorreto 7 2" xfId="3893" xr:uid="{00000000-0005-0000-0000-0000320F0000}"/>
    <cellStyle name="Incorreto 8" xfId="3894" xr:uid="{00000000-0005-0000-0000-0000330F0000}"/>
    <cellStyle name="Incorreto 9" xfId="3895" xr:uid="{00000000-0005-0000-0000-0000340F0000}"/>
    <cellStyle name="Indefinido" xfId="3896" xr:uid="{00000000-0005-0000-0000-0000350F0000}"/>
    <cellStyle name="Indefinido 2" xfId="3897" xr:uid="{00000000-0005-0000-0000-0000360F0000}"/>
    <cellStyle name="Indefinido 3" xfId="3898" xr:uid="{00000000-0005-0000-0000-0000370F0000}"/>
    <cellStyle name="Indent" xfId="3899" xr:uid="{00000000-0005-0000-0000-0000380F0000}"/>
    <cellStyle name="Indent 2" xfId="3900" xr:uid="{00000000-0005-0000-0000-0000390F0000}"/>
    <cellStyle name="Indent 3" xfId="3901" xr:uid="{00000000-0005-0000-0000-00003A0F0000}"/>
    <cellStyle name="Input" xfId="3902" xr:uid="{00000000-0005-0000-0000-00003B0F0000}"/>
    <cellStyle name="Input [yellow]" xfId="3903" xr:uid="{00000000-0005-0000-0000-00003C0F0000}"/>
    <cellStyle name="Input 2" xfId="3904" xr:uid="{00000000-0005-0000-0000-00003D0F0000}"/>
    <cellStyle name="Item" xfId="3905" xr:uid="{00000000-0005-0000-0000-00003E0F0000}"/>
    <cellStyle name="Linked Cell" xfId="3906" xr:uid="{00000000-0005-0000-0000-00003F0F0000}"/>
    <cellStyle name="Linked Cell 2" xfId="3907" xr:uid="{00000000-0005-0000-0000-0000400F0000}"/>
    <cellStyle name="MainHead" xfId="3908" xr:uid="{00000000-0005-0000-0000-0000410F0000}"/>
    <cellStyle name="Millares [0]_03 - moonpark5 Costa Salguero - 11-06-04" xfId="3909" xr:uid="{00000000-0005-0000-0000-0000420F0000}"/>
    <cellStyle name="Millares 2" xfId="3910" xr:uid="{00000000-0005-0000-0000-0000430F0000}"/>
    <cellStyle name="Millares 2 2" xfId="3911" xr:uid="{00000000-0005-0000-0000-0000440F0000}"/>
    <cellStyle name="Millares 2 3" xfId="3912" xr:uid="{00000000-0005-0000-0000-0000450F0000}"/>
    <cellStyle name="Millares 3" xfId="3913" xr:uid="{00000000-0005-0000-0000-0000460F0000}"/>
    <cellStyle name="Millares_Activo Diferido 99" xfId="3914" xr:uid="{00000000-0005-0000-0000-0000470F0000}"/>
    <cellStyle name="Milliers [0]_CA Restit Saisie" xfId="3915" xr:uid="{00000000-0005-0000-0000-0000480F0000}"/>
    <cellStyle name="Milliers_CA Restit Saisie" xfId="3916" xr:uid="{00000000-0005-0000-0000-0000490F0000}"/>
    <cellStyle name="Moeda 2" xfId="3917" xr:uid="{00000000-0005-0000-0000-00004A0F0000}"/>
    <cellStyle name="Moeda 3" xfId="3918" xr:uid="{00000000-0005-0000-0000-00004B0F0000}"/>
    <cellStyle name="Moneda [0]_Abrev." xfId="3919" xr:uid="{00000000-0005-0000-0000-00004C0F0000}"/>
    <cellStyle name="Moneda 2" xfId="3920" xr:uid="{00000000-0005-0000-0000-00004D0F0000}"/>
    <cellStyle name="Moneda_Abrev." xfId="3921" xr:uid="{00000000-0005-0000-0000-00004E0F0000}"/>
    <cellStyle name="Monétaire [0]_CA Restit Saisie" xfId="3922" xr:uid="{00000000-0005-0000-0000-00004F0F0000}"/>
    <cellStyle name="Monétaire_CA Restit Saisie" xfId="3923" xr:uid="{00000000-0005-0000-0000-0000500F0000}"/>
    <cellStyle name="Neutra 2" xfId="3924" xr:uid="{00000000-0005-0000-0000-0000510F0000}"/>
    <cellStyle name="Neutra 2 2" xfId="3925" xr:uid="{00000000-0005-0000-0000-0000520F0000}"/>
    <cellStyle name="Neutra 2 2 2" xfId="3926" xr:uid="{00000000-0005-0000-0000-0000530F0000}"/>
    <cellStyle name="Neutra 2 3" xfId="3927" xr:uid="{00000000-0005-0000-0000-0000540F0000}"/>
    <cellStyle name="Neutra 2 3 2" xfId="3928" xr:uid="{00000000-0005-0000-0000-0000550F0000}"/>
    <cellStyle name="Neutra 2 4" xfId="3929" xr:uid="{00000000-0005-0000-0000-0000560F0000}"/>
    <cellStyle name="Neutra 3" xfId="3930" xr:uid="{00000000-0005-0000-0000-0000570F0000}"/>
    <cellStyle name="Neutra 3 2" xfId="3931" xr:uid="{00000000-0005-0000-0000-0000580F0000}"/>
    <cellStyle name="Neutra 4" xfId="3932" xr:uid="{00000000-0005-0000-0000-0000590F0000}"/>
    <cellStyle name="Neutra 4 2" xfId="3933" xr:uid="{00000000-0005-0000-0000-00005A0F0000}"/>
    <cellStyle name="Neutra 5" xfId="3934" xr:uid="{00000000-0005-0000-0000-00005B0F0000}"/>
    <cellStyle name="Neutra 5 2" xfId="3935" xr:uid="{00000000-0005-0000-0000-00005C0F0000}"/>
    <cellStyle name="Neutra 6" xfId="3936" xr:uid="{00000000-0005-0000-0000-00005D0F0000}"/>
    <cellStyle name="Neutra 6 2" xfId="3937" xr:uid="{00000000-0005-0000-0000-00005E0F0000}"/>
    <cellStyle name="Neutra 7" xfId="3938" xr:uid="{00000000-0005-0000-0000-00005F0F0000}"/>
    <cellStyle name="Neutra 7 2" xfId="3939" xr:uid="{00000000-0005-0000-0000-0000600F0000}"/>
    <cellStyle name="Neutra 8" xfId="3940" xr:uid="{00000000-0005-0000-0000-0000610F0000}"/>
    <cellStyle name="Neutra 9" xfId="3941" xr:uid="{00000000-0005-0000-0000-0000620F0000}"/>
    <cellStyle name="Neutral" xfId="3942" xr:uid="{00000000-0005-0000-0000-0000630F0000}"/>
    <cellStyle name="Neutral 2" xfId="3943" xr:uid="{00000000-0005-0000-0000-0000640F0000}"/>
    <cellStyle name="no dec" xfId="3944" xr:uid="{00000000-0005-0000-0000-0000650F0000}"/>
    <cellStyle name="Non défini" xfId="3945" xr:uid="{00000000-0005-0000-0000-0000660F0000}"/>
    <cellStyle name="Normal" xfId="0" builtinId="0"/>
    <cellStyle name="Normal - Style1" xfId="3946" xr:uid="{00000000-0005-0000-0000-0000680F0000}"/>
    <cellStyle name="Normal - Style1 2" xfId="3947" xr:uid="{00000000-0005-0000-0000-0000690F0000}"/>
    <cellStyle name="Normal - Style1 3" xfId="3948" xr:uid="{00000000-0005-0000-0000-00006A0F0000}"/>
    <cellStyle name="Normal - Style1 4" xfId="3949" xr:uid="{00000000-0005-0000-0000-00006B0F0000}"/>
    <cellStyle name="Normal - Style1_Movimentação Contingências dez,09" xfId="3950" xr:uid="{00000000-0005-0000-0000-00006C0F0000}"/>
    <cellStyle name="Normal 10" xfId="3951" xr:uid="{00000000-0005-0000-0000-00006D0F0000}"/>
    <cellStyle name="Normal 10 2" xfId="3952" xr:uid="{00000000-0005-0000-0000-00006E0F0000}"/>
    <cellStyle name="Normal 10 2 2" xfId="3953" xr:uid="{00000000-0005-0000-0000-00006F0F0000}"/>
    <cellStyle name="Normal 10 3" xfId="3954" xr:uid="{00000000-0005-0000-0000-0000700F0000}"/>
    <cellStyle name="Normal 10 3 2" xfId="3955" xr:uid="{00000000-0005-0000-0000-0000710F0000}"/>
    <cellStyle name="Normal 10 4" xfId="3956" xr:uid="{00000000-0005-0000-0000-0000720F0000}"/>
    <cellStyle name="Normal 10 4 2" xfId="3957" xr:uid="{00000000-0005-0000-0000-0000730F0000}"/>
    <cellStyle name="Normal 10 5" xfId="3958" xr:uid="{00000000-0005-0000-0000-0000740F0000}"/>
    <cellStyle name="Normal 10 5 2" xfId="3959" xr:uid="{00000000-0005-0000-0000-0000750F0000}"/>
    <cellStyle name="Normal 10 6" xfId="3960" xr:uid="{00000000-0005-0000-0000-0000760F0000}"/>
    <cellStyle name="Normal 100" xfId="3961" xr:uid="{00000000-0005-0000-0000-0000770F0000}"/>
    <cellStyle name="Normal 101" xfId="3962" xr:uid="{00000000-0005-0000-0000-0000780F0000}"/>
    <cellStyle name="Normal 102" xfId="3963" xr:uid="{00000000-0005-0000-0000-0000790F0000}"/>
    <cellStyle name="Normal 103" xfId="3964" xr:uid="{00000000-0005-0000-0000-00007A0F0000}"/>
    <cellStyle name="Normal 104" xfId="3965" xr:uid="{00000000-0005-0000-0000-00007B0F0000}"/>
    <cellStyle name="Normal 105" xfId="3966" xr:uid="{00000000-0005-0000-0000-00007C0F0000}"/>
    <cellStyle name="Normal 106" xfId="3967" xr:uid="{00000000-0005-0000-0000-00007D0F0000}"/>
    <cellStyle name="Normal 107" xfId="3968" xr:uid="{00000000-0005-0000-0000-00007E0F0000}"/>
    <cellStyle name="Normal 108" xfId="3969" xr:uid="{00000000-0005-0000-0000-00007F0F0000}"/>
    <cellStyle name="Normal 109" xfId="3970" xr:uid="{00000000-0005-0000-0000-0000800F0000}"/>
    <cellStyle name="Normal 11" xfId="3971" xr:uid="{00000000-0005-0000-0000-0000810F0000}"/>
    <cellStyle name="Normal 11 2" xfId="3972" xr:uid="{00000000-0005-0000-0000-0000820F0000}"/>
    <cellStyle name="Normal 11 2 2" xfId="3973" xr:uid="{00000000-0005-0000-0000-0000830F0000}"/>
    <cellStyle name="Normal 11 3" xfId="3974" xr:uid="{00000000-0005-0000-0000-0000840F0000}"/>
    <cellStyle name="Normal 11 3 2" xfId="3975" xr:uid="{00000000-0005-0000-0000-0000850F0000}"/>
    <cellStyle name="Normal 11 4" xfId="3976" xr:uid="{00000000-0005-0000-0000-0000860F0000}"/>
    <cellStyle name="Normal 11 4 2" xfId="3977" xr:uid="{00000000-0005-0000-0000-0000870F0000}"/>
    <cellStyle name="Normal 11 5" xfId="3978" xr:uid="{00000000-0005-0000-0000-0000880F0000}"/>
    <cellStyle name="Normal 11 5 2" xfId="3979" xr:uid="{00000000-0005-0000-0000-0000890F0000}"/>
    <cellStyle name="Normal 11 6" xfId="3980" xr:uid="{00000000-0005-0000-0000-00008A0F0000}"/>
    <cellStyle name="Normal 110" xfId="3981" xr:uid="{00000000-0005-0000-0000-00008B0F0000}"/>
    <cellStyle name="Normal 111" xfId="3982" xr:uid="{00000000-0005-0000-0000-00008C0F0000}"/>
    <cellStyle name="Normal 112" xfId="3983" xr:uid="{00000000-0005-0000-0000-00008D0F0000}"/>
    <cellStyle name="Normal 113" xfId="3984" xr:uid="{00000000-0005-0000-0000-00008E0F0000}"/>
    <cellStyle name="Normal 114" xfId="3985" xr:uid="{00000000-0005-0000-0000-00008F0F0000}"/>
    <cellStyle name="Normal 115" xfId="3986" xr:uid="{00000000-0005-0000-0000-0000900F0000}"/>
    <cellStyle name="Normal 116" xfId="3987" xr:uid="{00000000-0005-0000-0000-0000910F0000}"/>
    <cellStyle name="Normal 117" xfId="3988" xr:uid="{00000000-0005-0000-0000-0000920F0000}"/>
    <cellStyle name="Normal 118" xfId="3989" xr:uid="{00000000-0005-0000-0000-0000930F0000}"/>
    <cellStyle name="Normal 119" xfId="3990" xr:uid="{00000000-0005-0000-0000-0000940F0000}"/>
    <cellStyle name="Normal 12" xfId="3991" xr:uid="{00000000-0005-0000-0000-0000950F0000}"/>
    <cellStyle name="Normal 12 2" xfId="3992" xr:uid="{00000000-0005-0000-0000-0000960F0000}"/>
    <cellStyle name="Normal 12 2 2" xfId="3993" xr:uid="{00000000-0005-0000-0000-0000970F0000}"/>
    <cellStyle name="Normal 12 3" xfId="3994" xr:uid="{00000000-0005-0000-0000-0000980F0000}"/>
    <cellStyle name="Normal 12 3 2" xfId="3995" xr:uid="{00000000-0005-0000-0000-0000990F0000}"/>
    <cellStyle name="Normal 12 4" xfId="3996" xr:uid="{00000000-0005-0000-0000-00009A0F0000}"/>
    <cellStyle name="Normal 120" xfId="3997" xr:uid="{00000000-0005-0000-0000-00009B0F0000}"/>
    <cellStyle name="Normal 121" xfId="3998" xr:uid="{00000000-0005-0000-0000-00009C0F0000}"/>
    <cellStyle name="Normal 122" xfId="3999" xr:uid="{00000000-0005-0000-0000-00009D0F0000}"/>
    <cellStyle name="Normal 123" xfId="4000" xr:uid="{00000000-0005-0000-0000-00009E0F0000}"/>
    <cellStyle name="Normal 124" xfId="4001" xr:uid="{00000000-0005-0000-0000-00009F0F0000}"/>
    <cellStyle name="Normal 125" xfId="4002" xr:uid="{00000000-0005-0000-0000-0000A00F0000}"/>
    <cellStyle name="Normal 126" xfId="4003" xr:uid="{00000000-0005-0000-0000-0000A10F0000}"/>
    <cellStyle name="Normal 127" xfId="4004" xr:uid="{00000000-0005-0000-0000-0000A20F0000}"/>
    <cellStyle name="Normal 128" xfId="4005" xr:uid="{00000000-0005-0000-0000-0000A30F0000}"/>
    <cellStyle name="Normal 129" xfId="4006" xr:uid="{00000000-0005-0000-0000-0000A40F0000}"/>
    <cellStyle name="Normal 13" xfId="4007" xr:uid="{00000000-0005-0000-0000-0000A50F0000}"/>
    <cellStyle name="Normal 13 2" xfId="4008" xr:uid="{00000000-0005-0000-0000-0000A60F0000}"/>
    <cellStyle name="Normal 13 2 2" xfId="4009" xr:uid="{00000000-0005-0000-0000-0000A70F0000}"/>
    <cellStyle name="Normal 13 3" xfId="4010" xr:uid="{00000000-0005-0000-0000-0000A80F0000}"/>
    <cellStyle name="Normal 130" xfId="4011" xr:uid="{00000000-0005-0000-0000-0000A90F0000}"/>
    <cellStyle name="Normal 131" xfId="4012" xr:uid="{00000000-0005-0000-0000-0000AA0F0000}"/>
    <cellStyle name="Normal 132" xfId="4013" xr:uid="{00000000-0005-0000-0000-0000AB0F0000}"/>
    <cellStyle name="Normal 133" xfId="4014" xr:uid="{00000000-0005-0000-0000-0000AC0F0000}"/>
    <cellStyle name="Normal 134" xfId="4015" xr:uid="{00000000-0005-0000-0000-0000AD0F0000}"/>
    <cellStyle name="Normal 135" xfId="4016" xr:uid="{00000000-0005-0000-0000-0000AE0F0000}"/>
    <cellStyle name="Normal 136" xfId="4017" xr:uid="{00000000-0005-0000-0000-0000AF0F0000}"/>
    <cellStyle name="Normal 14" xfId="4018" xr:uid="{00000000-0005-0000-0000-0000B00F0000}"/>
    <cellStyle name="Normal 14 2" xfId="4019" xr:uid="{00000000-0005-0000-0000-0000B10F0000}"/>
    <cellStyle name="Normal 14 2 2" xfId="4020" xr:uid="{00000000-0005-0000-0000-0000B20F0000}"/>
    <cellStyle name="Normal 14 3" xfId="4021" xr:uid="{00000000-0005-0000-0000-0000B30F0000}"/>
    <cellStyle name="Normal 15" xfId="4022" xr:uid="{00000000-0005-0000-0000-0000B40F0000}"/>
    <cellStyle name="Normal 15 2" xfId="4023" xr:uid="{00000000-0005-0000-0000-0000B50F0000}"/>
    <cellStyle name="Normal 15 2 2" xfId="4024" xr:uid="{00000000-0005-0000-0000-0000B60F0000}"/>
    <cellStyle name="Normal 15 3" xfId="4025" xr:uid="{00000000-0005-0000-0000-0000B70F0000}"/>
    <cellStyle name="Normal 16" xfId="4026" xr:uid="{00000000-0005-0000-0000-0000B80F0000}"/>
    <cellStyle name="Normal 16 2" xfId="4027" xr:uid="{00000000-0005-0000-0000-0000B90F0000}"/>
    <cellStyle name="Normal 16 2 2" xfId="4028" xr:uid="{00000000-0005-0000-0000-0000BA0F0000}"/>
    <cellStyle name="Normal 16 3" xfId="4029" xr:uid="{00000000-0005-0000-0000-0000BB0F0000}"/>
    <cellStyle name="Normal 16 3 2" xfId="4030" xr:uid="{00000000-0005-0000-0000-0000BC0F0000}"/>
    <cellStyle name="Normal 16 4" xfId="4031" xr:uid="{00000000-0005-0000-0000-0000BD0F0000}"/>
    <cellStyle name="Normal 17" xfId="4032" xr:uid="{00000000-0005-0000-0000-0000BE0F0000}"/>
    <cellStyle name="Normal 17 2" xfId="4033" xr:uid="{00000000-0005-0000-0000-0000BF0F0000}"/>
    <cellStyle name="Normal 17 2 2" xfId="4034" xr:uid="{00000000-0005-0000-0000-0000C00F0000}"/>
    <cellStyle name="Normal 17 3" xfId="4035" xr:uid="{00000000-0005-0000-0000-0000C10F0000}"/>
    <cellStyle name="Normal 18" xfId="4036" xr:uid="{00000000-0005-0000-0000-0000C20F0000}"/>
    <cellStyle name="Normal 18 2" xfId="4037" xr:uid="{00000000-0005-0000-0000-0000C30F0000}"/>
    <cellStyle name="Normal 18 2 2" xfId="4038" xr:uid="{00000000-0005-0000-0000-0000C40F0000}"/>
    <cellStyle name="Normal 18 3" xfId="4039" xr:uid="{00000000-0005-0000-0000-0000C50F0000}"/>
    <cellStyle name="Normal 18 3 2" xfId="4040" xr:uid="{00000000-0005-0000-0000-0000C60F0000}"/>
    <cellStyle name="Normal 18 4" xfId="4041" xr:uid="{00000000-0005-0000-0000-0000C70F0000}"/>
    <cellStyle name="Normal 18 5" xfId="4042" xr:uid="{00000000-0005-0000-0000-0000C80F0000}"/>
    <cellStyle name="Normal 19" xfId="4043" xr:uid="{00000000-0005-0000-0000-0000C90F0000}"/>
    <cellStyle name="Normal 19 2" xfId="4044" xr:uid="{00000000-0005-0000-0000-0000CA0F0000}"/>
    <cellStyle name="Normal 19 2 2" xfId="4045" xr:uid="{00000000-0005-0000-0000-0000CB0F0000}"/>
    <cellStyle name="Normal 19 3" xfId="4046" xr:uid="{00000000-0005-0000-0000-0000CC0F0000}"/>
    <cellStyle name="Normal 19 3 2" xfId="4047" xr:uid="{00000000-0005-0000-0000-0000CD0F0000}"/>
    <cellStyle name="Normal 19 4" xfId="4048" xr:uid="{00000000-0005-0000-0000-0000CE0F0000}"/>
    <cellStyle name="Normal 191" xfId="5793" xr:uid="{00000000-0005-0000-0000-0000CF0F0000}"/>
    <cellStyle name="Normal 192" xfId="5794" xr:uid="{00000000-0005-0000-0000-0000D00F0000}"/>
    <cellStyle name="Normal 195" xfId="5795" xr:uid="{00000000-0005-0000-0000-0000D10F0000}"/>
    <cellStyle name="Normal 2" xfId="3" xr:uid="{00000000-0005-0000-0000-0000D20F0000}"/>
    <cellStyle name="Normal 2 10" xfId="4049" xr:uid="{00000000-0005-0000-0000-0000D30F0000}"/>
    <cellStyle name="Normal 2 10 2" xfId="4050" xr:uid="{00000000-0005-0000-0000-0000D40F0000}"/>
    <cellStyle name="Normal 2 11" xfId="4051" xr:uid="{00000000-0005-0000-0000-0000D50F0000}"/>
    <cellStyle name="Normal 2 12" xfId="4052" xr:uid="{00000000-0005-0000-0000-0000D60F0000}"/>
    <cellStyle name="Normal 2 13" xfId="4053" xr:uid="{00000000-0005-0000-0000-0000D70F0000}"/>
    <cellStyle name="Normal 2 2" xfId="4054" xr:uid="{00000000-0005-0000-0000-0000D80F0000}"/>
    <cellStyle name="Normal 2 2 2" xfId="4055" xr:uid="{00000000-0005-0000-0000-0000D90F0000}"/>
    <cellStyle name="Normal 2 2 3" xfId="4056" xr:uid="{00000000-0005-0000-0000-0000DA0F0000}"/>
    <cellStyle name="Normal 2 3" xfId="4057" xr:uid="{00000000-0005-0000-0000-0000DB0F0000}"/>
    <cellStyle name="Normal 2 3 2" xfId="4058" xr:uid="{00000000-0005-0000-0000-0000DC0F0000}"/>
    <cellStyle name="Normal 2 3 2 2" xfId="4059" xr:uid="{00000000-0005-0000-0000-0000DD0F0000}"/>
    <cellStyle name="Normal 2 3 3" xfId="4060" xr:uid="{00000000-0005-0000-0000-0000DE0F0000}"/>
    <cellStyle name="Normal 2 3 4" xfId="4061" xr:uid="{00000000-0005-0000-0000-0000DF0F0000}"/>
    <cellStyle name="Normal 2 3 5" xfId="4062" xr:uid="{00000000-0005-0000-0000-0000E00F0000}"/>
    <cellStyle name="Normal 2 3_21.9.03.10.01 - PATROCINIO - SUITES CAMAROTES" xfId="4063" xr:uid="{00000000-0005-0000-0000-0000E10F0000}"/>
    <cellStyle name="Normal 2 4" xfId="4064" xr:uid="{00000000-0005-0000-0000-0000E20F0000}"/>
    <cellStyle name="Normal 2 4 2" xfId="4065" xr:uid="{00000000-0005-0000-0000-0000E30F0000}"/>
    <cellStyle name="Normal 2 4 2 2" xfId="4066" xr:uid="{00000000-0005-0000-0000-0000E40F0000}"/>
    <cellStyle name="Normal 2 4 3" xfId="4067" xr:uid="{00000000-0005-0000-0000-0000E50F0000}"/>
    <cellStyle name="Normal 2 4 4" xfId="4068" xr:uid="{00000000-0005-0000-0000-0000E60F0000}"/>
    <cellStyle name="Normal 2 4_21.9.03.10.01 - PATROCINIO - SUITES CAMAROTES" xfId="4069" xr:uid="{00000000-0005-0000-0000-0000E70F0000}"/>
    <cellStyle name="Normal 2 5" xfId="4070" xr:uid="{00000000-0005-0000-0000-0000E80F0000}"/>
    <cellStyle name="Normal 2 5 2" xfId="4071" xr:uid="{00000000-0005-0000-0000-0000E90F0000}"/>
    <cellStyle name="Normal 2 5 2 2" xfId="4072" xr:uid="{00000000-0005-0000-0000-0000EA0F0000}"/>
    <cellStyle name="Normal 2 5 3" xfId="4073" xr:uid="{00000000-0005-0000-0000-0000EB0F0000}"/>
    <cellStyle name="Normal 2 5 4" xfId="4074" xr:uid="{00000000-0005-0000-0000-0000EC0F0000}"/>
    <cellStyle name="Normal 2 5_21.9.03.10.01 - PATROCINIO - SUITES CAMAROTES" xfId="4075" xr:uid="{00000000-0005-0000-0000-0000ED0F0000}"/>
    <cellStyle name="Normal 2 6" xfId="4076" xr:uid="{00000000-0005-0000-0000-0000EE0F0000}"/>
    <cellStyle name="Normal 2 6 2" xfId="4077" xr:uid="{00000000-0005-0000-0000-0000EF0F0000}"/>
    <cellStyle name="Normal 2 7" xfId="4078" xr:uid="{00000000-0005-0000-0000-0000F00F0000}"/>
    <cellStyle name="Normal 2 7 2" xfId="4079" xr:uid="{00000000-0005-0000-0000-0000F10F0000}"/>
    <cellStyle name="Normal 2 7 2 2" xfId="4080" xr:uid="{00000000-0005-0000-0000-0000F20F0000}"/>
    <cellStyle name="Normal 2 7 3" xfId="4081" xr:uid="{00000000-0005-0000-0000-0000F30F0000}"/>
    <cellStyle name="Normal 2 7_21.9.03.10.01 - PATROCINIO - SUITES CAMAROTES" xfId="4082" xr:uid="{00000000-0005-0000-0000-0000F40F0000}"/>
    <cellStyle name="Normal 2 8" xfId="4083" xr:uid="{00000000-0005-0000-0000-0000F50F0000}"/>
    <cellStyle name="Normal 2 8 2" xfId="4084" xr:uid="{00000000-0005-0000-0000-0000F60F0000}"/>
    <cellStyle name="Normal 2 9" xfId="4085" xr:uid="{00000000-0005-0000-0000-0000F70F0000}"/>
    <cellStyle name="Normal 2 9 2" xfId="4086" xr:uid="{00000000-0005-0000-0000-0000F80F0000}"/>
    <cellStyle name="Normal 2_Movimentação Contingências dez,09" xfId="4087" xr:uid="{00000000-0005-0000-0000-0000F90F0000}"/>
    <cellStyle name="Normal 20" xfId="4088" xr:uid="{00000000-0005-0000-0000-0000FA0F0000}"/>
    <cellStyle name="Normal 20 2" xfId="4089" xr:uid="{00000000-0005-0000-0000-0000FB0F0000}"/>
    <cellStyle name="Normal 20 2 2" xfId="4090" xr:uid="{00000000-0005-0000-0000-0000FC0F0000}"/>
    <cellStyle name="Normal 20 3" xfId="4091" xr:uid="{00000000-0005-0000-0000-0000FD0F0000}"/>
    <cellStyle name="Normal 20 3 2" xfId="4092" xr:uid="{00000000-0005-0000-0000-0000FE0F0000}"/>
    <cellStyle name="Normal 20 4" xfId="4093" xr:uid="{00000000-0005-0000-0000-0000FF0F0000}"/>
    <cellStyle name="Normal 21" xfId="4094" xr:uid="{00000000-0005-0000-0000-000000100000}"/>
    <cellStyle name="Normal 21 2" xfId="4095" xr:uid="{00000000-0005-0000-0000-000001100000}"/>
    <cellStyle name="Normal 21 2 2" xfId="4096" xr:uid="{00000000-0005-0000-0000-000002100000}"/>
    <cellStyle name="Normal 21 2 3" xfId="4097" xr:uid="{00000000-0005-0000-0000-000003100000}"/>
    <cellStyle name="Normal 21 3" xfId="4098" xr:uid="{00000000-0005-0000-0000-000004100000}"/>
    <cellStyle name="Normal 21 3 2" xfId="4099" xr:uid="{00000000-0005-0000-0000-000005100000}"/>
    <cellStyle name="Normal 21 4" xfId="4100" xr:uid="{00000000-0005-0000-0000-000006100000}"/>
    <cellStyle name="Normal 21 5" xfId="4101" xr:uid="{00000000-0005-0000-0000-000007100000}"/>
    <cellStyle name="Normal 22" xfId="4102" xr:uid="{00000000-0005-0000-0000-000008100000}"/>
    <cellStyle name="Normal 22 2" xfId="4103" xr:uid="{00000000-0005-0000-0000-000009100000}"/>
    <cellStyle name="Normal 22 2 2" xfId="4104" xr:uid="{00000000-0005-0000-0000-00000A100000}"/>
    <cellStyle name="Normal 22 3" xfId="4105" xr:uid="{00000000-0005-0000-0000-00000B100000}"/>
    <cellStyle name="Normal 22 3 2" xfId="4106" xr:uid="{00000000-0005-0000-0000-00000C100000}"/>
    <cellStyle name="Normal 22 4" xfId="4107" xr:uid="{00000000-0005-0000-0000-00000D100000}"/>
    <cellStyle name="Normal 23" xfId="4108" xr:uid="{00000000-0005-0000-0000-00000E100000}"/>
    <cellStyle name="Normal 23 2" xfId="4109" xr:uid="{00000000-0005-0000-0000-00000F100000}"/>
    <cellStyle name="Normal 24" xfId="4110" xr:uid="{00000000-0005-0000-0000-000010100000}"/>
    <cellStyle name="Normal 24 2" xfId="4111" xr:uid="{00000000-0005-0000-0000-000011100000}"/>
    <cellStyle name="Normal 25" xfId="4112" xr:uid="{00000000-0005-0000-0000-000012100000}"/>
    <cellStyle name="Normal 25 2" xfId="4113" xr:uid="{00000000-0005-0000-0000-000013100000}"/>
    <cellStyle name="Normal 26" xfId="4114" xr:uid="{00000000-0005-0000-0000-000014100000}"/>
    <cellStyle name="Normal 26 2" xfId="4115" xr:uid="{00000000-0005-0000-0000-000015100000}"/>
    <cellStyle name="Normal 27" xfId="4116" xr:uid="{00000000-0005-0000-0000-000016100000}"/>
    <cellStyle name="Normal 27 2" xfId="4117" xr:uid="{00000000-0005-0000-0000-000017100000}"/>
    <cellStyle name="Normal 28" xfId="4118" xr:uid="{00000000-0005-0000-0000-000018100000}"/>
    <cellStyle name="Normal 28 2" xfId="4119" xr:uid="{00000000-0005-0000-0000-000019100000}"/>
    <cellStyle name="Normal 29" xfId="4120" xr:uid="{00000000-0005-0000-0000-00001A100000}"/>
    <cellStyle name="Normal 29 2" xfId="4121" xr:uid="{00000000-0005-0000-0000-00001B100000}"/>
    <cellStyle name="Normal 3" xfId="4122" xr:uid="{00000000-0005-0000-0000-00001C100000}"/>
    <cellStyle name="Normal 3 10" xfId="4123" xr:uid="{00000000-0005-0000-0000-00001D100000}"/>
    <cellStyle name="Normal 3 10 2" xfId="4124" xr:uid="{00000000-0005-0000-0000-00001E100000}"/>
    <cellStyle name="Normal 3 10 2 2" xfId="4125" xr:uid="{00000000-0005-0000-0000-00001F100000}"/>
    <cellStyle name="Normal 3 10 2 2 2" xfId="4126" xr:uid="{00000000-0005-0000-0000-000020100000}"/>
    <cellStyle name="Normal 3 10 2 2 2 2" xfId="4127" xr:uid="{00000000-0005-0000-0000-000021100000}"/>
    <cellStyle name="Normal 3 10 2 2 2 2 2" xfId="4128" xr:uid="{00000000-0005-0000-0000-000022100000}"/>
    <cellStyle name="Normal 3 10 2 2 2 2 3" xfId="4129" xr:uid="{00000000-0005-0000-0000-000023100000}"/>
    <cellStyle name="Normal 3 10 2 2 2 2 4" xfId="4130" xr:uid="{00000000-0005-0000-0000-000024100000}"/>
    <cellStyle name="Normal 3 10 2 2 2 3" xfId="4131" xr:uid="{00000000-0005-0000-0000-000025100000}"/>
    <cellStyle name="Normal 3 10 2 2 2 4" xfId="4132" xr:uid="{00000000-0005-0000-0000-000026100000}"/>
    <cellStyle name="Normal 3 10 2 2 2 5" xfId="4133" xr:uid="{00000000-0005-0000-0000-000027100000}"/>
    <cellStyle name="Normal 3 10 2 2 2 6" xfId="4134" xr:uid="{00000000-0005-0000-0000-000028100000}"/>
    <cellStyle name="Normal 3 10 2 2 3" xfId="4135" xr:uid="{00000000-0005-0000-0000-000029100000}"/>
    <cellStyle name="Normal 3 10 2 2 3 2" xfId="4136" xr:uid="{00000000-0005-0000-0000-00002A100000}"/>
    <cellStyle name="Normal 3 10 2 2 3 3" xfId="4137" xr:uid="{00000000-0005-0000-0000-00002B100000}"/>
    <cellStyle name="Normal 3 10 2 2 3 4" xfId="4138" xr:uid="{00000000-0005-0000-0000-00002C100000}"/>
    <cellStyle name="Normal 3 10 2 2 4" xfId="4139" xr:uid="{00000000-0005-0000-0000-00002D100000}"/>
    <cellStyle name="Normal 3 10 2 2 5" xfId="4140" xr:uid="{00000000-0005-0000-0000-00002E100000}"/>
    <cellStyle name="Normal 3 10 2 2 6" xfId="4141" xr:uid="{00000000-0005-0000-0000-00002F100000}"/>
    <cellStyle name="Normal 3 10 2 3" xfId="4142" xr:uid="{00000000-0005-0000-0000-000030100000}"/>
    <cellStyle name="Normal 3 10 2 4" xfId="4143" xr:uid="{00000000-0005-0000-0000-000031100000}"/>
    <cellStyle name="Normal 3 10 2 5" xfId="4144" xr:uid="{00000000-0005-0000-0000-000032100000}"/>
    <cellStyle name="Normal 3 10 2 5 2" xfId="4145" xr:uid="{00000000-0005-0000-0000-000033100000}"/>
    <cellStyle name="Normal 3 10 2 5 3" xfId="4146" xr:uid="{00000000-0005-0000-0000-000034100000}"/>
    <cellStyle name="Normal 3 10 2 5 4" xfId="4147" xr:uid="{00000000-0005-0000-0000-000035100000}"/>
    <cellStyle name="Normal 3 10 2 6" xfId="4148" xr:uid="{00000000-0005-0000-0000-000036100000}"/>
    <cellStyle name="Normal 3 10 2 7" xfId="4149" xr:uid="{00000000-0005-0000-0000-000037100000}"/>
    <cellStyle name="Normal 3 10 2 8" xfId="4150" xr:uid="{00000000-0005-0000-0000-000038100000}"/>
    <cellStyle name="Normal 3 10 2 9" xfId="4151" xr:uid="{00000000-0005-0000-0000-000039100000}"/>
    <cellStyle name="Normal 3 10 3" xfId="4152" xr:uid="{00000000-0005-0000-0000-00003A100000}"/>
    <cellStyle name="Normal 3 10 3 2" xfId="4153" xr:uid="{00000000-0005-0000-0000-00003B100000}"/>
    <cellStyle name="Normal 3 10 3 2 2" xfId="4154" xr:uid="{00000000-0005-0000-0000-00003C100000}"/>
    <cellStyle name="Normal 3 10 3 2 2 2" xfId="4155" xr:uid="{00000000-0005-0000-0000-00003D100000}"/>
    <cellStyle name="Normal 3 10 3 2 2 3" xfId="4156" xr:uid="{00000000-0005-0000-0000-00003E100000}"/>
    <cellStyle name="Normal 3 10 3 2 2 4" xfId="4157" xr:uid="{00000000-0005-0000-0000-00003F100000}"/>
    <cellStyle name="Normal 3 10 3 2 3" xfId="4158" xr:uid="{00000000-0005-0000-0000-000040100000}"/>
    <cellStyle name="Normal 3 10 3 2 4" xfId="4159" xr:uid="{00000000-0005-0000-0000-000041100000}"/>
    <cellStyle name="Normal 3 10 3 2 5" xfId="4160" xr:uid="{00000000-0005-0000-0000-000042100000}"/>
    <cellStyle name="Normal 3 10 3 2 6" xfId="4161" xr:uid="{00000000-0005-0000-0000-000043100000}"/>
    <cellStyle name="Normal 3 10 3 3" xfId="4162" xr:uid="{00000000-0005-0000-0000-000044100000}"/>
    <cellStyle name="Normal 3 10 3 3 2" xfId="4163" xr:uid="{00000000-0005-0000-0000-000045100000}"/>
    <cellStyle name="Normal 3 10 3 3 3" xfId="4164" xr:uid="{00000000-0005-0000-0000-000046100000}"/>
    <cellStyle name="Normal 3 10 3 3 4" xfId="4165" xr:uid="{00000000-0005-0000-0000-000047100000}"/>
    <cellStyle name="Normal 3 10 3 4" xfId="4166" xr:uid="{00000000-0005-0000-0000-000048100000}"/>
    <cellStyle name="Normal 3 10 3 5" xfId="4167" xr:uid="{00000000-0005-0000-0000-000049100000}"/>
    <cellStyle name="Normal 3 10 3 6" xfId="4168" xr:uid="{00000000-0005-0000-0000-00004A100000}"/>
    <cellStyle name="Normal 3 10 4" xfId="4169" xr:uid="{00000000-0005-0000-0000-00004B100000}"/>
    <cellStyle name="Normal 3 10 5" xfId="4170" xr:uid="{00000000-0005-0000-0000-00004C100000}"/>
    <cellStyle name="Normal 3 10 5 2" xfId="4171" xr:uid="{00000000-0005-0000-0000-00004D100000}"/>
    <cellStyle name="Normal 3 10 5 3" xfId="4172" xr:uid="{00000000-0005-0000-0000-00004E100000}"/>
    <cellStyle name="Normal 3 10 5 4" xfId="4173" xr:uid="{00000000-0005-0000-0000-00004F100000}"/>
    <cellStyle name="Normal 3 10 6" xfId="4174" xr:uid="{00000000-0005-0000-0000-000050100000}"/>
    <cellStyle name="Normal 3 10 7" xfId="4175" xr:uid="{00000000-0005-0000-0000-000051100000}"/>
    <cellStyle name="Normal 3 10 8" xfId="4176" xr:uid="{00000000-0005-0000-0000-000052100000}"/>
    <cellStyle name="Normal 3 10 9" xfId="4177" xr:uid="{00000000-0005-0000-0000-000053100000}"/>
    <cellStyle name="Normal 3 11" xfId="4178" xr:uid="{00000000-0005-0000-0000-000054100000}"/>
    <cellStyle name="Normal 3 12" xfId="4179" xr:uid="{00000000-0005-0000-0000-000055100000}"/>
    <cellStyle name="Normal 3 13" xfId="4180" xr:uid="{00000000-0005-0000-0000-000056100000}"/>
    <cellStyle name="Normal 3 14" xfId="4181" xr:uid="{00000000-0005-0000-0000-000057100000}"/>
    <cellStyle name="Normal 3 15" xfId="4182" xr:uid="{00000000-0005-0000-0000-000058100000}"/>
    <cellStyle name="Normal 3 16" xfId="4183" xr:uid="{00000000-0005-0000-0000-000059100000}"/>
    <cellStyle name="Normal 3 17" xfId="4184" xr:uid="{00000000-0005-0000-0000-00005A100000}"/>
    <cellStyle name="Normal 3 18" xfId="4185" xr:uid="{00000000-0005-0000-0000-00005B100000}"/>
    <cellStyle name="Normal 3 19" xfId="4186" xr:uid="{00000000-0005-0000-0000-00005C100000}"/>
    <cellStyle name="Normal 3 2" xfId="4187" xr:uid="{00000000-0005-0000-0000-00005D100000}"/>
    <cellStyle name="Normal 3 2 2" xfId="4188" xr:uid="{00000000-0005-0000-0000-00005E100000}"/>
    <cellStyle name="Normal 3 2 2 2" xfId="4189" xr:uid="{00000000-0005-0000-0000-00005F100000}"/>
    <cellStyle name="Normal 3 2 2 3" xfId="4190" xr:uid="{00000000-0005-0000-0000-000060100000}"/>
    <cellStyle name="Normal 3 2 3" xfId="4191" xr:uid="{00000000-0005-0000-0000-000061100000}"/>
    <cellStyle name="Normal 3 2 3 2" xfId="4192" xr:uid="{00000000-0005-0000-0000-000062100000}"/>
    <cellStyle name="Normal 3 2 4" xfId="4193" xr:uid="{00000000-0005-0000-0000-000063100000}"/>
    <cellStyle name="Normal 3 2 4 2" xfId="4194" xr:uid="{00000000-0005-0000-0000-000064100000}"/>
    <cellStyle name="Normal 3 2 5" xfId="4195" xr:uid="{00000000-0005-0000-0000-000065100000}"/>
    <cellStyle name="Normal 3 2 6" xfId="4196" xr:uid="{00000000-0005-0000-0000-000066100000}"/>
    <cellStyle name="Normal 3 2_21.9.03.10.01 - PATROCINIO - SUITES CAMAROTES" xfId="4197" xr:uid="{00000000-0005-0000-0000-000067100000}"/>
    <cellStyle name="Normal 3 20" xfId="4198" xr:uid="{00000000-0005-0000-0000-000068100000}"/>
    <cellStyle name="Normal 3 21" xfId="4199" xr:uid="{00000000-0005-0000-0000-000069100000}"/>
    <cellStyle name="Normal 3 21 2" xfId="4200" xr:uid="{00000000-0005-0000-0000-00006A100000}"/>
    <cellStyle name="Normal 3 21 2 2" xfId="4201" xr:uid="{00000000-0005-0000-0000-00006B100000}"/>
    <cellStyle name="Normal 3 21 2 2 2" xfId="4202" xr:uid="{00000000-0005-0000-0000-00006C100000}"/>
    <cellStyle name="Normal 3 21 2 2 3" xfId="4203" xr:uid="{00000000-0005-0000-0000-00006D100000}"/>
    <cellStyle name="Normal 3 21 2 2 4" xfId="4204" xr:uid="{00000000-0005-0000-0000-00006E100000}"/>
    <cellStyle name="Normal 3 21 2 3" xfId="4205" xr:uid="{00000000-0005-0000-0000-00006F100000}"/>
    <cellStyle name="Normal 3 21 2 4" xfId="4206" xr:uid="{00000000-0005-0000-0000-000070100000}"/>
    <cellStyle name="Normal 3 21 2 5" xfId="4207" xr:uid="{00000000-0005-0000-0000-000071100000}"/>
    <cellStyle name="Normal 3 21 2 6" xfId="4208" xr:uid="{00000000-0005-0000-0000-000072100000}"/>
    <cellStyle name="Normal 3 21 3" xfId="4209" xr:uid="{00000000-0005-0000-0000-000073100000}"/>
    <cellStyle name="Normal 3 21 3 2" xfId="4210" xr:uid="{00000000-0005-0000-0000-000074100000}"/>
    <cellStyle name="Normal 3 21 3 3" xfId="4211" xr:uid="{00000000-0005-0000-0000-000075100000}"/>
    <cellStyle name="Normal 3 21 3 4" xfId="4212" xr:uid="{00000000-0005-0000-0000-000076100000}"/>
    <cellStyle name="Normal 3 21 4" xfId="4213" xr:uid="{00000000-0005-0000-0000-000077100000}"/>
    <cellStyle name="Normal 3 21 5" xfId="4214" xr:uid="{00000000-0005-0000-0000-000078100000}"/>
    <cellStyle name="Normal 3 21 6" xfId="4215" xr:uid="{00000000-0005-0000-0000-000079100000}"/>
    <cellStyle name="Normal 3 22" xfId="4216" xr:uid="{00000000-0005-0000-0000-00007A100000}"/>
    <cellStyle name="Normal 3 23" xfId="4217" xr:uid="{00000000-0005-0000-0000-00007B100000}"/>
    <cellStyle name="Normal 3 24" xfId="4218" xr:uid="{00000000-0005-0000-0000-00007C100000}"/>
    <cellStyle name="Normal 3 24 2" xfId="4219" xr:uid="{00000000-0005-0000-0000-00007D100000}"/>
    <cellStyle name="Normal 3 24 3" xfId="4220" xr:uid="{00000000-0005-0000-0000-00007E100000}"/>
    <cellStyle name="Normal 3 24 4" xfId="4221" xr:uid="{00000000-0005-0000-0000-00007F100000}"/>
    <cellStyle name="Normal 3 25" xfId="4222" xr:uid="{00000000-0005-0000-0000-000080100000}"/>
    <cellStyle name="Normal 3 26" xfId="4223" xr:uid="{00000000-0005-0000-0000-000081100000}"/>
    <cellStyle name="Normal 3 27" xfId="4224" xr:uid="{00000000-0005-0000-0000-000082100000}"/>
    <cellStyle name="Normal 3 28" xfId="4225" xr:uid="{00000000-0005-0000-0000-000083100000}"/>
    <cellStyle name="Normal 3 29" xfId="4226" xr:uid="{00000000-0005-0000-0000-000084100000}"/>
    <cellStyle name="Normal 3 3" xfId="4227" xr:uid="{00000000-0005-0000-0000-000085100000}"/>
    <cellStyle name="Normal 3 3 10" xfId="4228" xr:uid="{00000000-0005-0000-0000-000086100000}"/>
    <cellStyle name="Normal 3 3 11" xfId="4229" xr:uid="{00000000-0005-0000-0000-000087100000}"/>
    <cellStyle name="Normal 3 3 12" xfId="4230" xr:uid="{00000000-0005-0000-0000-000088100000}"/>
    <cellStyle name="Normal 3 3 13" xfId="4231" xr:uid="{00000000-0005-0000-0000-000089100000}"/>
    <cellStyle name="Normal 3 3 13 2" xfId="4232" xr:uid="{00000000-0005-0000-0000-00008A100000}"/>
    <cellStyle name="Normal 3 3 13 2 2" xfId="4233" xr:uid="{00000000-0005-0000-0000-00008B100000}"/>
    <cellStyle name="Normal 3 3 13 2 2 2" xfId="4234" xr:uid="{00000000-0005-0000-0000-00008C100000}"/>
    <cellStyle name="Normal 3 3 13 2 2 3" xfId="4235" xr:uid="{00000000-0005-0000-0000-00008D100000}"/>
    <cellStyle name="Normal 3 3 13 2 2 4" xfId="4236" xr:uid="{00000000-0005-0000-0000-00008E100000}"/>
    <cellStyle name="Normal 3 3 13 2 3" xfId="4237" xr:uid="{00000000-0005-0000-0000-00008F100000}"/>
    <cellStyle name="Normal 3 3 13 2 4" xfId="4238" xr:uid="{00000000-0005-0000-0000-000090100000}"/>
    <cellStyle name="Normal 3 3 13 2 5" xfId="4239" xr:uid="{00000000-0005-0000-0000-000091100000}"/>
    <cellStyle name="Normal 3 3 13 2 6" xfId="4240" xr:uid="{00000000-0005-0000-0000-000092100000}"/>
    <cellStyle name="Normal 3 3 13 3" xfId="4241" xr:uid="{00000000-0005-0000-0000-000093100000}"/>
    <cellStyle name="Normal 3 3 13 3 2" xfId="4242" xr:uid="{00000000-0005-0000-0000-000094100000}"/>
    <cellStyle name="Normal 3 3 13 3 3" xfId="4243" xr:uid="{00000000-0005-0000-0000-000095100000}"/>
    <cellStyle name="Normal 3 3 13 3 4" xfId="4244" xr:uid="{00000000-0005-0000-0000-000096100000}"/>
    <cellStyle name="Normal 3 3 13 4" xfId="4245" xr:uid="{00000000-0005-0000-0000-000097100000}"/>
    <cellStyle name="Normal 3 3 13 5" xfId="4246" xr:uid="{00000000-0005-0000-0000-000098100000}"/>
    <cellStyle name="Normal 3 3 13 6" xfId="4247" xr:uid="{00000000-0005-0000-0000-000099100000}"/>
    <cellStyle name="Normal 3 3 14" xfId="4248" xr:uid="{00000000-0005-0000-0000-00009A100000}"/>
    <cellStyle name="Normal 3 3 15" xfId="4249" xr:uid="{00000000-0005-0000-0000-00009B100000}"/>
    <cellStyle name="Normal 3 3 16" xfId="4250" xr:uid="{00000000-0005-0000-0000-00009C100000}"/>
    <cellStyle name="Normal 3 3 16 2" xfId="4251" xr:uid="{00000000-0005-0000-0000-00009D100000}"/>
    <cellStyle name="Normal 3 3 16 3" xfId="4252" xr:uid="{00000000-0005-0000-0000-00009E100000}"/>
    <cellStyle name="Normal 3 3 16 4" xfId="4253" xr:uid="{00000000-0005-0000-0000-00009F100000}"/>
    <cellStyle name="Normal 3 3 17" xfId="4254" xr:uid="{00000000-0005-0000-0000-0000A0100000}"/>
    <cellStyle name="Normal 3 3 18" xfId="4255" xr:uid="{00000000-0005-0000-0000-0000A1100000}"/>
    <cellStyle name="Normal 3 3 19" xfId="4256" xr:uid="{00000000-0005-0000-0000-0000A2100000}"/>
    <cellStyle name="Normal 3 3 2" xfId="4257" xr:uid="{00000000-0005-0000-0000-0000A3100000}"/>
    <cellStyle name="Normal 3 3 2 10" xfId="4258" xr:uid="{00000000-0005-0000-0000-0000A4100000}"/>
    <cellStyle name="Normal 3 3 2 11" xfId="4259" xr:uid="{00000000-0005-0000-0000-0000A5100000}"/>
    <cellStyle name="Normal 3 3 2 12" xfId="4260" xr:uid="{00000000-0005-0000-0000-0000A6100000}"/>
    <cellStyle name="Normal 3 3 2 13" xfId="4261" xr:uid="{00000000-0005-0000-0000-0000A7100000}"/>
    <cellStyle name="Normal 3 3 2 13 2" xfId="4262" xr:uid="{00000000-0005-0000-0000-0000A8100000}"/>
    <cellStyle name="Normal 3 3 2 13 2 2" xfId="4263" xr:uid="{00000000-0005-0000-0000-0000A9100000}"/>
    <cellStyle name="Normal 3 3 2 13 2 2 2" xfId="4264" xr:uid="{00000000-0005-0000-0000-0000AA100000}"/>
    <cellStyle name="Normal 3 3 2 13 2 2 3" xfId="4265" xr:uid="{00000000-0005-0000-0000-0000AB100000}"/>
    <cellStyle name="Normal 3 3 2 13 2 2 4" xfId="4266" xr:uid="{00000000-0005-0000-0000-0000AC100000}"/>
    <cellStyle name="Normal 3 3 2 13 2 3" xfId="4267" xr:uid="{00000000-0005-0000-0000-0000AD100000}"/>
    <cellStyle name="Normal 3 3 2 13 2 4" xfId="4268" xr:uid="{00000000-0005-0000-0000-0000AE100000}"/>
    <cellStyle name="Normal 3 3 2 13 2 5" xfId="4269" xr:uid="{00000000-0005-0000-0000-0000AF100000}"/>
    <cellStyle name="Normal 3 3 2 13 2 6" xfId="4270" xr:uid="{00000000-0005-0000-0000-0000B0100000}"/>
    <cellStyle name="Normal 3 3 2 13 3" xfId="4271" xr:uid="{00000000-0005-0000-0000-0000B1100000}"/>
    <cellStyle name="Normal 3 3 2 13 3 2" xfId="4272" xr:uid="{00000000-0005-0000-0000-0000B2100000}"/>
    <cellStyle name="Normal 3 3 2 13 3 3" xfId="4273" xr:uid="{00000000-0005-0000-0000-0000B3100000}"/>
    <cellStyle name="Normal 3 3 2 13 3 4" xfId="4274" xr:uid="{00000000-0005-0000-0000-0000B4100000}"/>
    <cellStyle name="Normal 3 3 2 13 4" xfId="4275" xr:uid="{00000000-0005-0000-0000-0000B5100000}"/>
    <cellStyle name="Normal 3 3 2 13 5" xfId="4276" xr:uid="{00000000-0005-0000-0000-0000B6100000}"/>
    <cellStyle name="Normal 3 3 2 13 6" xfId="4277" xr:uid="{00000000-0005-0000-0000-0000B7100000}"/>
    <cellStyle name="Normal 3 3 2 14" xfId="4278" xr:uid="{00000000-0005-0000-0000-0000B8100000}"/>
    <cellStyle name="Normal 3 3 2 15" xfId="4279" xr:uid="{00000000-0005-0000-0000-0000B9100000}"/>
    <cellStyle name="Normal 3 3 2 16" xfId="4280" xr:uid="{00000000-0005-0000-0000-0000BA100000}"/>
    <cellStyle name="Normal 3 3 2 16 2" xfId="4281" xr:uid="{00000000-0005-0000-0000-0000BB100000}"/>
    <cellStyle name="Normal 3 3 2 16 3" xfId="4282" xr:uid="{00000000-0005-0000-0000-0000BC100000}"/>
    <cellStyle name="Normal 3 3 2 16 4" xfId="4283" xr:uid="{00000000-0005-0000-0000-0000BD100000}"/>
    <cellStyle name="Normal 3 3 2 17" xfId="4284" xr:uid="{00000000-0005-0000-0000-0000BE100000}"/>
    <cellStyle name="Normal 3 3 2 18" xfId="4285" xr:uid="{00000000-0005-0000-0000-0000BF100000}"/>
    <cellStyle name="Normal 3 3 2 19" xfId="4286" xr:uid="{00000000-0005-0000-0000-0000C0100000}"/>
    <cellStyle name="Normal 3 3 2 2" xfId="4287" xr:uid="{00000000-0005-0000-0000-0000C1100000}"/>
    <cellStyle name="Normal 3 3 2 2 10" xfId="4288" xr:uid="{00000000-0005-0000-0000-0000C2100000}"/>
    <cellStyle name="Normal 3 3 2 2 2" xfId="4289" xr:uid="{00000000-0005-0000-0000-0000C3100000}"/>
    <cellStyle name="Normal 3 3 2 2 2 2" xfId="4290" xr:uid="{00000000-0005-0000-0000-0000C4100000}"/>
    <cellStyle name="Normal 3 3 2 2 2 2 2" xfId="4291" xr:uid="{00000000-0005-0000-0000-0000C5100000}"/>
    <cellStyle name="Normal 3 3 2 2 2 2 2 2" xfId="4292" xr:uid="{00000000-0005-0000-0000-0000C6100000}"/>
    <cellStyle name="Normal 3 3 2 2 2 2 2 2 2" xfId="4293" xr:uid="{00000000-0005-0000-0000-0000C7100000}"/>
    <cellStyle name="Normal 3 3 2 2 2 2 2 2 3" xfId="4294" xr:uid="{00000000-0005-0000-0000-0000C8100000}"/>
    <cellStyle name="Normal 3 3 2 2 2 2 2 2 4" xfId="4295" xr:uid="{00000000-0005-0000-0000-0000C9100000}"/>
    <cellStyle name="Normal 3 3 2 2 2 2 2 3" xfId="4296" xr:uid="{00000000-0005-0000-0000-0000CA100000}"/>
    <cellStyle name="Normal 3 3 2 2 2 2 2 4" xfId="4297" xr:uid="{00000000-0005-0000-0000-0000CB100000}"/>
    <cellStyle name="Normal 3 3 2 2 2 2 2 5" xfId="4298" xr:uid="{00000000-0005-0000-0000-0000CC100000}"/>
    <cellStyle name="Normal 3 3 2 2 2 2 2 6" xfId="4299" xr:uid="{00000000-0005-0000-0000-0000CD100000}"/>
    <cellStyle name="Normal 3 3 2 2 2 2 3" xfId="4300" xr:uid="{00000000-0005-0000-0000-0000CE100000}"/>
    <cellStyle name="Normal 3 3 2 2 2 2 3 2" xfId="4301" xr:uid="{00000000-0005-0000-0000-0000CF100000}"/>
    <cellStyle name="Normal 3 3 2 2 2 2 3 3" xfId="4302" xr:uid="{00000000-0005-0000-0000-0000D0100000}"/>
    <cellStyle name="Normal 3 3 2 2 2 2 3 4" xfId="4303" xr:uid="{00000000-0005-0000-0000-0000D1100000}"/>
    <cellStyle name="Normal 3 3 2 2 2 2 4" xfId="4304" xr:uid="{00000000-0005-0000-0000-0000D2100000}"/>
    <cellStyle name="Normal 3 3 2 2 2 2 5" xfId="4305" xr:uid="{00000000-0005-0000-0000-0000D3100000}"/>
    <cellStyle name="Normal 3 3 2 2 2 2 6" xfId="4306" xr:uid="{00000000-0005-0000-0000-0000D4100000}"/>
    <cellStyle name="Normal 3 3 2 2 2 3" xfId="4307" xr:uid="{00000000-0005-0000-0000-0000D5100000}"/>
    <cellStyle name="Normal 3 3 2 2 2 4" xfId="4308" xr:uid="{00000000-0005-0000-0000-0000D6100000}"/>
    <cellStyle name="Normal 3 3 2 2 2 5" xfId="4309" xr:uid="{00000000-0005-0000-0000-0000D7100000}"/>
    <cellStyle name="Normal 3 3 2 2 2 5 2" xfId="4310" xr:uid="{00000000-0005-0000-0000-0000D8100000}"/>
    <cellStyle name="Normal 3 3 2 2 2 5 3" xfId="4311" xr:uid="{00000000-0005-0000-0000-0000D9100000}"/>
    <cellStyle name="Normal 3 3 2 2 2 5 4" xfId="4312" xr:uid="{00000000-0005-0000-0000-0000DA100000}"/>
    <cellStyle name="Normal 3 3 2 2 2 6" xfId="4313" xr:uid="{00000000-0005-0000-0000-0000DB100000}"/>
    <cellStyle name="Normal 3 3 2 2 2 7" xfId="4314" xr:uid="{00000000-0005-0000-0000-0000DC100000}"/>
    <cellStyle name="Normal 3 3 2 2 2 8" xfId="4315" xr:uid="{00000000-0005-0000-0000-0000DD100000}"/>
    <cellStyle name="Normal 3 3 2 2 2 9" xfId="4316" xr:uid="{00000000-0005-0000-0000-0000DE100000}"/>
    <cellStyle name="Normal 3 3 2 2 3" xfId="4317" xr:uid="{00000000-0005-0000-0000-0000DF100000}"/>
    <cellStyle name="Normal 3 3 2 2 3 2" xfId="4318" xr:uid="{00000000-0005-0000-0000-0000E0100000}"/>
    <cellStyle name="Normal 3 3 2 2 3 2 2" xfId="4319" xr:uid="{00000000-0005-0000-0000-0000E1100000}"/>
    <cellStyle name="Normal 3 3 2 2 3 2 2 2" xfId="4320" xr:uid="{00000000-0005-0000-0000-0000E2100000}"/>
    <cellStyle name="Normal 3 3 2 2 3 2 2 3" xfId="4321" xr:uid="{00000000-0005-0000-0000-0000E3100000}"/>
    <cellStyle name="Normal 3 3 2 2 3 2 2 4" xfId="4322" xr:uid="{00000000-0005-0000-0000-0000E4100000}"/>
    <cellStyle name="Normal 3 3 2 2 3 2 3" xfId="4323" xr:uid="{00000000-0005-0000-0000-0000E5100000}"/>
    <cellStyle name="Normal 3 3 2 2 3 2 4" xfId="4324" xr:uid="{00000000-0005-0000-0000-0000E6100000}"/>
    <cellStyle name="Normal 3 3 2 2 3 2 5" xfId="4325" xr:uid="{00000000-0005-0000-0000-0000E7100000}"/>
    <cellStyle name="Normal 3 3 2 2 3 2 6" xfId="4326" xr:uid="{00000000-0005-0000-0000-0000E8100000}"/>
    <cellStyle name="Normal 3 3 2 2 3 3" xfId="4327" xr:uid="{00000000-0005-0000-0000-0000E9100000}"/>
    <cellStyle name="Normal 3 3 2 2 3 3 2" xfId="4328" xr:uid="{00000000-0005-0000-0000-0000EA100000}"/>
    <cellStyle name="Normal 3 3 2 2 3 3 3" xfId="4329" xr:uid="{00000000-0005-0000-0000-0000EB100000}"/>
    <cellStyle name="Normal 3 3 2 2 3 3 4" xfId="4330" xr:uid="{00000000-0005-0000-0000-0000EC100000}"/>
    <cellStyle name="Normal 3 3 2 2 3 4" xfId="4331" xr:uid="{00000000-0005-0000-0000-0000ED100000}"/>
    <cellStyle name="Normal 3 3 2 2 3 5" xfId="4332" xr:uid="{00000000-0005-0000-0000-0000EE100000}"/>
    <cellStyle name="Normal 3 3 2 2 3 6" xfId="4333" xr:uid="{00000000-0005-0000-0000-0000EF100000}"/>
    <cellStyle name="Normal 3 3 2 2 4" xfId="4334" xr:uid="{00000000-0005-0000-0000-0000F0100000}"/>
    <cellStyle name="Normal 3 3 2 2 5" xfId="4335" xr:uid="{00000000-0005-0000-0000-0000F1100000}"/>
    <cellStyle name="Normal 3 3 2 2 5 2" xfId="4336" xr:uid="{00000000-0005-0000-0000-0000F2100000}"/>
    <cellStyle name="Normal 3 3 2 2 5 3" xfId="4337" xr:uid="{00000000-0005-0000-0000-0000F3100000}"/>
    <cellStyle name="Normal 3 3 2 2 5 4" xfId="4338" xr:uid="{00000000-0005-0000-0000-0000F4100000}"/>
    <cellStyle name="Normal 3 3 2 2 6" xfId="4339" xr:uid="{00000000-0005-0000-0000-0000F5100000}"/>
    <cellStyle name="Normal 3 3 2 2 7" xfId="4340" xr:uid="{00000000-0005-0000-0000-0000F6100000}"/>
    <cellStyle name="Normal 3 3 2 2 8" xfId="4341" xr:uid="{00000000-0005-0000-0000-0000F7100000}"/>
    <cellStyle name="Normal 3 3 2 2 9" xfId="4342" xr:uid="{00000000-0005-0000-0000-0000F8100000}"/>
    <cellStyle name="Normal 3 3 2 20" xfId="4343" xr:uid="{00000000-0005-0000-0000-0000F9100000}"/>
    <cellStyle name="Normal 3 3 2 21" xfId="4344" xr:uid="{00000000-0005-0000-0000-0000FA100000}"/>
    <cellStyle name="Normal 3 3 2 3" xfId="4345" xr:uid="{00000000-0005-0000-0000-0000FB100000}"/>
    <cellStyle name="Normal 3 3 2 4" xfId="4346" xr:uid="{00000000-0005-0000-0000-0000FC100000}"/>
    <cellStyle name="Normal 3 3 2 5" xfId="4347" xr:uid="{00000000-0005-0000-0000-0000FD100000}"/>
    <cellStyle name="Normal 3 3 2 6" xfId="4348" xr:uid="{00000000-0005-0000-0000-0000FE100000}"/>
    <cellStyle name="Normal 3 3 2 7" xfId="4349" xr:uid="{00000000-0005-0000-0000-0000FF100000}"/>
    <cellStyle name="Normal 3 3 2 8" xfId="4350" xr:uid="{00000000-0005-0000-0000-000000110000}"/>
    <cellStyle name="Normal 3 3 2 9" xfId="4351" xr:uid="{00000000-0005-0000-0000-000001110000}"/>
    <cellStyle name="Normal 3 3 20" xfId="4352" xr:uid="{00000000-0005-0000-0000-000002110000}"/>
    <cellStyle name="Normal 3 3 21" xfId="4353" xr:uid="{00000000-0005-0000-0000-000003110000}"/>
    <cellStyle name="Normal 3 3 3" xfId="4354" xr:uid="{00000000-0005-0000-0000-000004110000}"/>
    <cellStyle name="Normal 3 3 3 10" xfId="4355" xr:uid="{00000000-0005-0000-0000-000005110000}"/>
    <cellStyle name="Normal 3 3 3 2" xfId="4356" xr:uid="{00000000-0005-0000-0000-000006110000}"/>
    <cellStyle name="Normal 3 3 3 2 10" xfId="4357" xr:uid="{00000000-0005-0000-0000-000007110000}"/>
    <cellStyle name="Normal 3 3 3 2 2" xfId="4358" xr:uid="{00000000-0005-0000-0000-000008110000}"/>
    <cellStyle name="Normal 3 3 3 2 2 2" xfId="4359" xr:uid="{00000000-0005-0000-0000-000009110000}"/>
    <cellStyle name="Normal 3 3 3 2 2 2 2" xfId="4360" xr:uid="{00000000-0005-0000-0000-00000A110000}"/>
    <cellStyle name="Normal 3 3 3 2 2 2 2 2" xfId="4361" xr:uid="{00000000-0005-0000-0000-00000B110000}"/>
    <cellStyle name="Normal 3 3 3 2 2 2 2 3" xfId="4362" xr:uid="{00000000-0005-0000-0000-00000C110000}"/>
    <cellStyle name="Normal 3 3 3 2 2 2 2 4" xfId="4363" xr:uid="{00000000-0005-0000-0000-00000D110000}"/>
    <cellStyle name="Normal 3 3 3 2 2 2 3" xfId="4364" xr:uid="{00000000-0005-0000-0000-00000E110000}"/>
    <cellStyle name="Normal 3 3 3 2 2 2 4" xfId="4365" xr:uid="{00000000-0005-0000-0000-00000F110000}"/>
    <cellStyle name="Normal 3 3 3 2 2 2 5" xfId="4366" xr:uid="{00000000-0005-0000-0000-000010110000}"/>
    <cellStyle name="Normal 3 3 3 2 2 2 6" xfId="4367" xr:uid="{00000000-0005-0000-0000-000011110000}"/>
    <cellStyle name="Normal 3 3 3 2 2 3" xfId="4368" xr:uid="{00000000-0005-0000-0000-000012110000}"/>
    <cellStyle name="Normal 3 3 3 2 2 3 2" xfId="4369" xr:uid="{00000000-0005-0000-0000-000013110000}"/>
    <cellStyle name="Normal 3 3 3 2 2 3 3" xfId="4370" xr:uid="{00000000-0005-0000-0000-000014110000}"/>
    <cellStyle name="Normal 3 3 3 2 2 3 4" xfId="4371" xr:uid="{00000000-0005-0000-0000-000015110000}"/>
    <cellStyle name="Normal 3 3 3 2 2 4" xfId="4372" xr:uid="{00000000-0005-0000-0000-000016110000}"/>
    <cellStyle name="Normal 3 3 3 2 2 5" xfId="4373" xr:uid="{00000000-0005-0000-0000-000017110000}"/>
    <cellStyle name="Normal 3 3 3 2 2 6" xfId="4374" xr:uid="{00000000-0005-0000-0000-000018110000}"/>
    <cellStyle name="Normal 3 3 3 2 3" xfId="4375" xr:uid="{00000000-0005-0000-0000-000019110000}"/>
    <cellStyle name="Normal 3 3 3 2 4" xfId="4376" xr:uid="{00000000-0005-0000-0000-00001A110000}"/>
    <cellStyle name="Normal 3 3 3 2 5" xfId="4377" xr:uid="{00000000-0005-0000-0000-00001B110000}"/>
    <cellStyle name="Normal 3 3 3 2 5 2" xfId="4378" xr:uid="{00000000-0005-0000-0000-00001C110000}"/>
    <cellStyle name="Normal 3 3 3 2 5 3" xfId="4379" xr:uid="{00000000-0005-0000-0000-00001D110000}"/>
    <cellStyle name="Normal 3 3 3 2 5 4" xfId="4380" xr:uid="{00000000-0005-0000-0000-00001E110000}"/>
    <cellStyle name="Normal 3 3 3 2 6" xfId="4381" xr:uid="{00000000-0005-0000-0000-00001F110000}"/>
    <cellStyle name="Normal 3 3 3 2 7" xfId="4382" xr:uid="{00000000-0005-0000-0000-000020110000}"/>
    <cellStyle name="Normal 3 3 3 2 8" xfId="4383" xr:uid="{00000000-0005-0000-0000-000021110000}"/>
    <cellStyle name="Normal 3 3 3 2 9" xfId="4384" xr:uid="{00000000-0005-0000-0000-000022110000}"/>
    <cellStyle name="Normal 3 3 3 3" xfId="4385" xr:uid="{00000000-0005-0000-0000-000023110000}"/>
    <cellStyle name="Normal 3 3 3 3 2" xfId="4386" xr:uid="{00000000-0005-0000-0000-000024110000}"/>
    <cellStyle name="Normal 3 3 3 3 2 2" xfId="4387" xr:uid="{00000000-0005-0000-0000-000025110000}"/>
    <cellStyle name="Normal 3 3 3 3 2 2 2" xfId="4388" xr:uid="{00000000-0005-0000-0000-000026110000}"/>
    <cellStyle name="Normal 3 3 3 3 2 2 3" xfId="4389" xr:uid="{00000000-0005-0000-0000-000027110000}"/>
    <cellStyle name="Normal 3 3 3 3 2 2 4" xfId="4390" xr:uid="{00000000-0005-0000-0000-000028110000}"/>
    <cellStyle name="Normal 3 3 3 3 2 3" xfId="4391" xr:uid="{00000000-0005-0000-0000-000029110000}"/>
    <cellStyle name="Normal 3 3 3 3 2 4" xfId="4392" xr:uid="{00000000-0005-0000-0000-00002A110000}"/>
    <cellStyle name="Normal 3 3 3 3 2 5" xfId="4393" xr:uid="{00000000-0005-0000-0000-00002B110000}"/>
    <cellStyle name="Normal 3 3 3 3 2 6" xfId="4394" xr:uid="{00000000-0005-0000-0000-00002C110000}"/>
    <cellStyle name="Normal 3 3 3 3 3" xfId="4395" xr:uid="{00000000-0005-0000-0000-00002D110000}"/>
    <cellStyle name="Normal 3 3 3 3 3 2" xfId="4396" xr:uid="{00000000-0005-0000-0000-00002E110000}"/>
    <cellStyle name="Normal 3 3 3 3 3 3" xfId="4397" xr:uid="{00000000-0005-0000-0000-00002F110000}"/>
    <cellStyle name="Normal 3 3 3 3 3 4" xfId="4398" xr:uid="{00000000-0005-0000-0000-000030110000}"/>
    <cellStyle name="Normal 3 3 3 3 4" xfId="4399" xr:uid="{00000000-0005-0000-0000-000031110000}"/>
    <cellStyle name="Normal 3 3 3 3 5" xfId="4400" xr:uid="{00000000-0005-0000-0000-000032110000}"/>
    <cellStyle name="Normal 3 3 3 3 6" xfId="4401" xr:uid="{00000000-0005-0000-0000-000033110000}"/>
    <cellStyle name="Normal 3 3 3 4" xfId="4402" xr:uid="{00000000-0005-0000-0000-000034110000}"/>
    <cellStyle name="Normal 3 3 3 5" xfId="4403" xr:uid="{00000000-0005-0000-0000-000035110000}"/>
    <cellStyle name="Normal 3 3 3 5 2" xfId="4404" xr:uid="{00000000-0005-0000-0000-000036110000}"/>
    <cellStyle name="Normal 3 3 3 5 3" xfId="4405" xr:uid="{00000000-0005-0000-0000-000037110000}"/>
    <cellStyle name="Normal 3 3 3 5 4" xfId="4406" xr:uid="{00000000-0005-0000-0000-000038110000}"/>
    <cellStyle name="Normal 3 3 3 6" xfId="4407" xr:uid="{00000000-0005-0000-0000-000039110000}"/>
    <cellStyle name="Normal 3 3 3 7" xfId="4408" xr:uid="{00000000-0005-0000-0000-00003A110000}"/>
    <cellStyle name="Normal 3 3 3 8" xfId="4409" xr:uid="{00000000-0005-0000-0000-00003B110000}"/>
    <cellStyle name="Normal 3 3 3 9" xfId="4410" xr:uid="{00000000-0005-0000-0000-00003C110000}"/>
    <cellStyle name="Normal 3 3 4" xfId="4411" xr:uid="{00000000-0005-0000-0000-00003D110000}"/>
    <cellStyle name="Normal 3 3 4 2" xfId="4412" xr:uid="{00000000-0005-0000-0000-00003E110000}"/>
    <cellStyle name="Normal 3 3 5" xfId="4413" xr:uid="{00000000-0005-0000-0000-00003F110000}"/>
    <cellStyle name="Normal 3 3 6" xfId="4414" xr:uid="{00000000-0005-0000-0000-000040110000}"/>
    <cellStyle name="Normal 3 3 7" xfId="4415" xr:uid="{00000000-0005-0000-0000-000041110000}"/>
    <cellStyle name="Normal 3 3 8" xfId="4416" xr:uid="{00000000-0005-0000-0000-000042110000}"/>
    <cellStyle name="Normal 3 3 9" xfId="4417" xr:uid="{00000000-0005-0000-0000-000043110000}"/>
    <cellStyle name="Normal 3 3_21.9.03.10.01 - PATROCINIO - SUITES CAMAROTES" xfId="4418" xr:uid="{00000000-0005-0000-0000-000044110000}"/>
    <cellStyle name="Normal 3 4" xfId="4419" xr:uid="{00000000-0005-0000-0000-000045110000}"/>
    <cellStyle name="Normal 3 4 2" xfId="4420" xr:uid="{00000000-0005-0000-0000-000046110000}"/>
    <cellStyle name="Normal 3 4 2 2" xfId="4421" xr:uid="{00000000-0005-0000-0000-000047110000}"/>
    <cellStyle name="Normal 3 4 2 3" xfId="4422" xr:uid="{00000000-0005-0000-0000-000048110000}"/>
    <cellStyle name="Normal 3 4 3" xfId="4423" xr:uid="{00000000-0005-0000-0000-000049110000}"/>
    <cellStyle name="Normal 3 4 3 2" xfId="4424" xr:uid="{00000000-0005-0000-0000-00004A110000}"/>
    <cellStyle name="Normal 3 4 4" xfId="4425" xr:uid="{00000000-0005-0000-0000-00004B110000}"/>
    <cellStyle name="Normal 3 4 5" xfId="4426" xr:uid="{00000000-0005-0000-0000-00004C110000}"/>
    <cellStyle name="Normal 3 4_21.9.03.10.01 - PATROCINIO - SUITES CAMAROTES" xfId="4427" xr:uid="{00000000-0005-0000-0000-00004D110000}"/>
    <cellStyle name="Normal 3 5" xfId="4428" xr:uid="{00000000-0005-0000-0000-00004E110000}"/>
    <cellStyle name="Normal 3 5 2" xfId="4429" xr:uid="{00000000-0005-0000-0000-00004F110000}"/>
    <cellStyle name="Normal 3 5 2 2" xfId="4430" xr:uid="{00000000-0005-0000-0000-000050110000}"/>
    <cellStyle name="Normal 3 5 2 3" xfId="4431" xr:uid="{00000000-0005-0000-0000-000051110000}"/>
    <cellStyle name="Normal 3 5 3" xfId="4432" xr:uid="{00000000-0005-0000-0000-000052110000}"/>
    <cellStyle name="Normal 3 5 3 2" xfId="4433" xr:uid="{00000000-0005-0000-0000-000053110000}"/>
    <cellStyle name="Normal 3 5 4" xfId="4434" xr:uid="{00000000-0005-0000-0000-000054110000}"/>
    <cellStyle name="Normal 3 5 5" xfId="4435" xr:uid="{00000000-0005-0000-0000-000055110000}"/>
    <cellStyle name="Normal 3 5_21.9.03.10.01 - PATROCINIO - SUITES CAMAROTES" xfId="4436" xr:uid="{00000000-0005-0000-0000-000056110000}"/>
    <cellStyle name="Normal 3 6" xfId="4437" xr:uid="{00000000-0005-0000-0000-000057110000}"/>
    <cellStyle name="Normal 3 6 2" xfId="4438" xr:uid="{00000000-0005-0000-0000-000058110000}"/>
    <cellStyle name="Normal 3 6 2 2" xfId="4439" xr:uid="{00000000-0005-0000-0000-000059110000}"/>
    <cellStyle name="Normal 3 6 2 3" xfId="4440" xr:uid="{00000000-0005-0000-0000-00005A110000}"/>
    <cellStyle name="Normal 3 6 3" xfId="4441" xr:uid="{00000000-0005-0000-0000-00005B110000}"/>
    <cellStyle name="Normal 3 6 4" xfId="4442" xr:uid="{00000000-0005-0000-0000-00005C110000}"/>
    <cellStyle name="Normal 3 7" xfId="4443" xr:uid="{00000000-0005-0000-0000-00005D110000}"/>
    <cellStyle name="Normal 3 7 2" xfId="4444" xr:uid="{00000000-0005-0000-0000-00005E110000}"/>
    <cellStyle name="Normal 3 7 3" xfId="4445" xr:uid="{00000000-0005-0000-0000-00005F110000}"/>
    <cellStyle name="Normal 3 8" xfId="4446" xr:uid="{00000000-0005-0000-0000-000060110000}"/>
    <cellStyle name="Normal 3 8 2" xfId="4447" xr:uid="{00000000-0005-0000-0000-000061110000}"/>
    <cellStyle name="Normal 3 9" xfId="4448" xr:uid="{00000000-0005-0000-0000-000062110000}"/>
    <cellStyle name="Normal 30" xfId="4449" xr:uid="{00000000-0005-0000-0000-000063110000}"/>
    <cellStyle name="Normal 30 2" xfId="4450" xr:uid="{00000000-0005-0000-0000-000064110000}"/>
    <cellStyle name="Normal 31" xfId="4451" xr:uid="{00000000-0005-0000-0000-000065110000}"/>
    <cellStyle name="Normal 31 2" xfId="4452" xr:uid="{00000000-0005-0000-0000-000066110000}"/>
    <cellStyle name="Normal 32" xfId="4453" xr:uid="{00000000-0005-0000-0000-000067110000}"/>
    <cellStyle name="Normal 32 2" xfId="4454" xr:uid="{00000000-0005-0000-0000-000068110000}"/>
    <cellStyle name="Normal 33" xfId="4455" xr:uid="{00000000-0005-0000-0000-000069110000}"/>
    <cellStyle name="Normal 33 2" xfId="4456" xr:uid="{00000000-0005-0000-0000-00006A110000}"/>
    <cellStyle name="Normal 34" xfId="4457" xr:uid="{00000000-0005-0000-0000-00006B110000}"/>
    <cellStyle name="Normal 34 2" xfId="4458" xr:uid="{00000000-0005-0000-0000-00006C110000}"/>
    <cellStyle name="Normal 35" xfId="4459" xr:uid="{00000000-0005-0000-0000-00006D110000}"/>
    <cellStyle name="Normal 35 2" xfId="4460" xr:uid="{00000000-0005-0000-0000-00006E110000}"/>
    <cellStyle name="Normal 36" xfId="4461" xr:uid="{00000000-0005-0000-0000-00006F110000}"/>
    <cellStyle name="Normal 36 2" xfId="4462" xr:uid="{00000000-0005-0000-0000-000070110000}"/>
    <cellStyle name="Normal 37" xfId="4463" xr:uid="{00000000-0005-0000-0000-000071110000}"/>
    <cellStyle name="Normal 37 2" xfId="4464" xr:uid="{00000000-0005-0000-0000-000072110000}"/>
    <cellStyle name="Normal 38" xfId="4465" xr:uid="{00000000-0005-0000-0000-000073110000}"/>
    <cellStyle name="Normal 38 2" xfId="4466" xr:uid="{00000000-0005-0000-0000-000074110000}"/>
    <cellStyle name="Normal 39" xfId="4467" xr:uid="{00000000-0005-0000-0000-000075110000}"/>
    <cellStyle name="Normal 39 2" xfId="4468" xr:uid="{00000000-0005-0000-0000-000076110000}"/>
    <cellStyle name="Normal 4" xfId="2" xr:uid="{00000000-0005-0000-0000-000077110000}"/>
    <cellStyle name="Normal 4 2" xfId="4469" xr:uid="{00000000-0005-0000-0000-000078110000}"/>
    <cellStyle name="Normal 4 2 2" xfId="4470" xr:uid="{00000000-0005-0000-0000-000079110000}"/>
    <cellStyle name="Normal 4 2 2 2" xfId="4471" xr:uid="{00000000-0005-0000-0000-00007A110000}"/>
    <cellStyle name="Normal 4 2 3" xfId="4472" xr:uid="{00000000-0005-0000-0000-00007B110000}"/>
    <cellStyle name="Normal 4 2 3 2" xfId="4473" xr:uid="{00000000-0005-0000-0000-00007C110000}"/>
    <cellStyle name="Normal 4 2 4" xfId="4474" xr:uid="{00000000-0005-0000-0000-00007D110000}"/>
    <cellStyle name="Normal 4 2 5" xfId="4475" xr:uid="{00000000-0005-0000-0000-00007E110000}"/>
    <cellStyle name="Normal 4 3" xfId="4476" xr:uid="{00000000-0005-0000-0000-00007F110000}"/>
    <cellStyle name="Normal 4 3 2" xfId="4477" xr:uid="{00000000-0005-0000-0000-000080110000}"/>
    <cellStyle name="Normal 4 3 2 2" xfId="4478" xr:uid="{00000000-0005-0000-0000-000081110000}"/>
    <cellStyle name="Normal 4 3 3" xfId="4479" xr:uid="{00000000-0005-0000-0000-000082110000}"/>
    <cellStyle name="Normal 4 3 3 2" xfId="4480" xr:uid="{00000000-0005-0000-0000-000083110000}"/>
    <cellStyle name="Normal 4 3 4" xfId="4481" xr:uid="{00000000-0005-0000-0000-000084110000}"/>
    <cellStyle name="Normal 4 3 5" xfId="4482" xr:uid="{00000000-0005-0000-0000-000085110000}"/>
    <cellStyle name="Normal 4 4" xfId="4483" xr:uid="{00000000-0005-0000-0000-000086110000}"/>
    <cellStyle name="Normal 4 4 2" xfId="4484" xr:uid="{00000000-0005-0000-0000-000087110000}"/>
    <cellStyle name="Normal 4 4 2 2" xfId="4485" xr:uid="{00000000-0005-0000-0000-000088110000}"/>
    <cellStyle name="Normal 4 4 3" xfId="4486" xr:uid="{00000000-0005-0000-0000-000089110000}"/>
    <cellStyle name="Normal 4 4 3 2" xfId="4487" xr:uid="{00000000-0005-0000-0000-00008A110000}"/>
    <cellStyle name="Normal 4 4 4" xfId="4488" xr:uid="{00000000-0005-0000-0000-00008B110000}"/>
    <cellStyle name="Normal 4 4 5" xfId="4489" xr:uid="{00000000-0005-0000-0000-00008C110000}"/>
    <cellStyle name="Normal 4 5" xfId="4490" xr:uid="{00000000-0005-0000-0000-00008D110000}"/>
    <cellStyle name="Normal 4 5 2" xfId="4491" xr:uid="{00000000-0005-0000-0000-00008E110000}"/>
    <cellStyle name="Normal 4 5 2 2" xfId="4492" xr:uid="{00000000-0005-0000-0000-00008F110000}"/>
    <cellStyle name="Normal 4 5 3" xfId="4493" xr:uid="{00000000-0005-0000-0000-000090110000}"/>
    <cellStyle name="Normal 4 5 3 2" xfId="4494" xr:uid="{00000000-0005-0000-0000-000091110000}"/>
    <cellStyle name="Normal 4 5 4" xfId="4495" xr:uid="{00000000-0005-0000-0000-000092110000}"/>
    <cellStyle name="Normal 4 5 5" xfId="4496" xr:uid="{00000000-0005-0000-0000-000093110000}"/>
    <cellStyle name="Normal 4 6" xfId="4497" xr:uid="{00000000-0005-0000-0000-000094110000}"/>
    <cellStyle name="Normal 4 6 2" xfId="4498" xr:uid="{00000000-0005-0000-0000-000095110000}"/>
    <cellStyle name="Normal 4 6 3" xfId="4499" xr:uid="{00000000-0005-0000-0000-000096110000}"/>
    <cellStyle name="Normal 4 7" xfId="4500" xr:uid="{00000000-0005-0000-0000-000097110000}"/>
    <cellStyle name="Normal 4 7 2" xfId="4501" xr:uid="{00000000-0005-0000-0000-000098110000}"/>
    <cellStyle name="Normal 4 7 3" xfId="4502" xr:uid="{00000000-0005-0000-0000-000099110000}"/>
    <cellStyle name="Normal 4 8" xfId="4503" xr:uid="{00000000-0005-0000-0000-00009A110000}"/>
    <cellStyle name="Normal 4 9" xfId="4504" xr:uid="{00000000-0005-0000-0000-00009B110000}"/>
    <cellStyle name="Normal 40" xfId="4505" xr:uid="{00000000-0005-0000-0000-00009C110000}"/>
    <cellStyle name="Normal 40 2" xfId="4506" xr:uid="{00000000-0005-0000-0000-00009D110000}"/>
    <cellStyle name="Normal 41" xfId="4507" xr:uid="{00000000-0005-0000-0000-00009E110000}"/>
    <cellStyle name="Normal 41 2" xfId="4508" xr:uid="{00000000-0005-0000-0000-00009F110000}"/>
    <cellStyle name="Normal 42" xfId="4509" xr:uid="{00000000-0005-0000-0000-0000A0110000}"/>
    <cellStyle name="Normal 42 2" xfId="4510" xr:uid="{00000000-0005-0000-0000-0000A1110000}"/>
    <cellStyle name="Normal 43" xfId="4511" xr:uid="{00000000-0005-0000-0000-0000A2110000}"/>
    <cellStyle name="Normal 43 2" xfId="4512" xr:uid="{00000000-0005-0000-0000-0000A3110000}"/>
    <cellStyle name="Normal 44" xfId="4513" xr:uid="{00000000-0005-0000-0000-0000A4110000}"/>
    <cellStyle name="Normal 44 2" xfId="4514" xr:uid="{00000000-0005-0000-0000-0000A5110000}"/>
    <cellStyle name="Normal 45" xfId="4515" xr:uid="{00000000-0005-0000-0000-0000A6110000}"/>
    <cellStyle name="Normal 45 2" xfId="4516" xr:uid="{00000000-0005-0000-0000-0000A7110000}"/>
    <cellStyle name="Normal 46" xfId="4517" xr:uid="{00000000-0005-0000-0000-0000A8110000}"/>
    <cellStyle name="Normal 46 2" xfId="4518" xr:uid="{00000000-0005-0000-0000-0000A9110000}"/>
    <cellStyle name="Normal 47" xfId="4519" xr:uid="{00000000-0005-0000-0000-0000AA110000}"/>
    <cellStyle name="Normal 47 2" xfId="4520" xr:uid="{00000000-0005-0000-0000-0000AB110000}"/>
    <cellStyle name="Normal 48" xfId="4521" xr:uid="{00000000-0005-0000-0000-0000AC110000}"/>
    <cellStyle name="Normal 48 2" xfId="4522" xr:uid="{00000000-0005-0000-0000-0000AD110000}"/>
    <cellStyle name="Normal 49" xfId="4523" xr:uid="{00000000-0005-0000-0000-0000AE110000}"/>
    <cellStyle name="Normal 49 2" xfId="4524" xr:uid="{00000000-0005-0000-0000-0000AF110000}"/>
    <cellStyle name="Normal 5" xfId="4525" xr:uid="{00000000-0005-0000-0000-0000B0110000}"/>
    <cellStyle name="Normal 5 2" xfId="4526" xr:uid="{00000000-0005-0000-0000-0000B1110000}"/>
    <cellStyle name="Normal 5 2 2" xfId="4527" xr:uid="{00000000-0005-0000-0000-0000B2110000}"/>
    <cellStyle name="Normal 5 2 2 2" xfId="4528" xr:uid="{00000000-0005-0000-0000-0000B3110000}"/>
    <cellStyle name="Normal 5 2 3" xfId="4529" xr:uid="{00000000-0005-0000-0000-0000B4110000}"/>
    <cellStyle name="Normal 5 2 3 2" xfId="4530" xr:uid="{00000000-0005-0000-0000-0000B5110000}"/>
    <cellStyle name="Normal 5 2 4" xfId="4531" xr:uid="{00000000-0005-0000-0000-0000B6110000}"/>
    <cellStyle name="Normal 5 2 5" xfId="4532" xr:uid="{00000000-0005-0000-0000-0000B7110000}"/>
    <cellStyle name="Normal 5 3" xfId="4533" xr:uid="{00000000-0005-0000-0000-0000B8110000}"/>
    <cellStyle name="Normal 5 3 2" xfId="4534" xr:uid="{00000000-0005-0000-0000-0000B9110000}"/>
    <cellStyle name="Normal 5 3 2 2" xfId="4535" xr:uid="{00000000-0005-0000-0000-0000BA110000}"/>
    <cellStyle name="Normal 5 3 3" xfId="4536" xr:uid="{00000000-0005-0000-0000-0000BB110000}"/>
    <cellStyle name="Normal 5 3 3 2" xfId="4537" xr:uid="{00000000-0005-0000-0000-0000BC110000}"/>
    <cellStyle name="Normal 5 3 4" xfId="4538" xr:uid="{00000000-0005-0000-0000-0000BD110000}"/>
    <cellStyle name="Normal 5 3 5" xfId="4539" xr:uid="{00000000-0005-0000-0000-0000BE110000}"/>
    <cellStyle name="Normal 5 4" xfId="4540" xr:uid="{00000000-0005-0000-0000-0000BF110000}"/>
    <cellStyle name="Normal 5 4 2" xfId="4541" xr:uid="{00000000-0005-0000-0000-0000C0110000}"/>
    <cellStyle name="Normal 5 4 2 2" xfId="4542" xr:uid="{00000000-0005-0000-0000-0000C1110000}"/>
    <cellStyle name="Normal 5 4 3" xfId="4543" xr:uid="{00000000-0005-0000-0000-0000C2110000}"/>
    <cellStyle name="Normal 5 4 3 2" xfId="4544" xr:uid="{00000000-0005-0000-0000-0000C3110000}"/>
    <cellStyle name="Normal 5 4 4" xfId="4545" xr:uid="{00000000-0005-0000-0000-0000C4110000}"/>
    <cellStyle name="Normal 5 4 5" xfId="4546" xr:uid="{00000000-0005-0000-0000-0000C5110000}"/>
    <cellStyle name="Normal 5 5" xfId="4547" xr:uid="{00000000-0005-0000-0000-0000C6110000}"/>
    <cellStyle name="Normal 5 5 2" xfId="4548" xr:uid="{00000000-0005-0000-0000-0000C7110000}"/>
    <cellStyle name="Normal 5 5 2 2" xfId="4549" xr:uid="{00000000-0005-0000-0000-0000C8110000}"/>
    <cellStyle name="Normal 5 5 3" xfId="4550" xr:uid="{00000000-0005-0000-0000-0000C9110000}"/>
    <cellStyle name="Normal 5 5 3 2" xfId="4551" xr:uid="{00000000-0005-0000-0000-0000CA110000}"/>
    <cellStyle name="Normal 5 5 4" xfId="4552" xr:uid="{00000000-0005-0000-0000-0000CB110000}"/>
    <cellStyle name="Normal 5 5 5" xfId="4553" xr:uid="{00000000-0005-0000-0000-0000CC110000}"/>
    <cellStyle name="Normal 5 6" xfId="4554" xr:uid="{00000000-0005-0000-0000-0000CD110000}"/>
    <cellStyle name="Normal 5 6 2" xfId="4555" xr:uid="{00000000-0005-0000-0000-0000CE110000}"/>
    <cellStyle name="Normal 5 6 3" xfId="4556" xr:uid="{00000000-0005-0000-0000-0000CF110000}"/>
    <cellStyle name="Normal 5 7" xfId="4557" xr:uid="{00000000-0005-0000-0000-0000D0110000}"/>
    <cellStyle name="Normal 5 8" xfId="4558" xr:uid="{00000000-0005-0000-0000-0000D1110000}"/>
    <cellStyle name="Normal 5 9" xfId="4559" xr:uid="{00000000-0005-0000-0000-0000D2110000}"/>
    <cellStyle name="Normal 50" xfId="4560" xr:uid="{00000000-0005-0000-0000-0000D3110000}"/>
    <cellStyle name="Normal 51" xfId="4561" xr:uid="{00000000-0005-0000-0000-0000D4110000}"/>
    <cellStyle name="Normal 52" xfId="4562" xr:uid="{00000000-0005-0000-0000-0000D5110000}"/>
    <cellStyle name="Normal 53" xfId="4563" xr:uid="{00000000-0005-0000-0000-0000D6110000}"/>
    <cellStyle name="Normal 54" xfId="4564" xr:uid="{00000000-0005-0000-0000-0000D7110000}"/>
    <cellStyle name="Normal 54 2" xfId="4565" xr:uid="{00000000-0005-0000-0000-0000D8110000}"/>
    <cellStyle name="Normal 55" xfId="4566" xr:uid="{00000000-0005-0000-0000-0000D9110000}"/>
    <cellStyle name="Normal 56" xfId="4567" xr:uid="{00000000-0005-0000-0000-0000DA110000}"/>
    <cellStyle name="Normal 57" xfId="4568" xr:uid="{00000000-0005-0000-0000-0000DB110000}"/>
    <cellStyle name="Normal 58" xfId="4569" xr:uid="{00000000-0005-0000-0000-0000DC110000}"/>
    <cellStyle name="Normal 59" xfId="4570" xr:uid="{00000000-0005-0000-0000-0000DD110000}"/>
    <cellStyle name="Normal 6" xfId="4571" xr:uid="{00000000-0005-0000-0000-0000DE110000}"/>
    <cellStyle name="Normal 6 2" xfId="4572" xr:uid="{00000000-0005-0000-0000-0000DF110000}"/>
    <cellStyle name="Normal 6 2 2" xfId="4573" xr:uid="{00000000-0005-0000-0000-0000E0110000}"/>
    <cellStyle name="Normal 6 2 2 2" xfId="4574" xr:uid="{00000000-0005-0000-0000-0000E1110000}"/>
    <cellStyle name="Normal 6 2 3" xfId="4575" xr:uid="{00000000-0005-0000-0000-0000E2110000}"/>
    <cellStyle name="Normal 6 2 3 2" xfId="4576" xr:uid="{00000000-0005-0000-0000-0000E3110000}"/>
    <cellStyle name="Normal 6 2 4" xfId="4577" xr:uid="{00000000-0005-0000-0000-0000E4110000}"/>
    <cellStyle name="Normal 6 2 5" xfId="4578" xr:uid="{00000000-0005-0000-0000-0000E5110000}"/>
    <cellStyle name="Normal 6 3" xfId="4579" xr:uid="{00000000-0005-0000-0000-0000E6110000}"/>
    <cellStyle name="Normal 6 3 2" xfId="4580" xr:uid="{00000000-0005-0000-0000-0000E7110000}"/>
    <cellStyle name="Normal 6 3 2 2" xfId="4581" xr:uid="{00000000-0005-0000-0000-0000E8110000}"/>
    <cellStyle name="Normal 6 3 3" xfId="4582" xr:uid="{00000000-0005-0000-0000-0000E9110000}"/>
    <cellStyle name="Normal 6 3 3 2" xfId="4583" xr:uid="{00000000-0005-0000-0000-0000EA110000}"/>
    <cellStyle name="Normal 6 3 4" xfId="4584" xr:uid="{00000000-0005-0000-0000-0000EB110000}"/>
    <cellStyle name="Normal 6 3 5" xfId="4585" xr:uid="{00000000-0005-0000-0000-0000EC110000}"/>
    <cellStyle name="Normal 6 4" xfId="4586" xr:uid="{00000000-0005-0000-0000-0000ED110000}"/>
    <cellStyle name="Normal 6 4 2" xfId="4587" xr:uid="{00000000-0005-0000-0000-0000EE110000}"/>
    <cellStyle name="Normal 6 4 2 2" xfId="4588" xr:uid="{00000000-0005-0000-0000-0000EF110000}"/>
    <cellStyle name="Normal 6 4 3" xfId="4589" xr:uid="{00000000-0005-0000-0000-0000F0110000}"/>
    <cellStyle name="Normal 6 4 3 2" xfId="4590" xr:uid="{00000000-0005-0000-0000-0000F1110000}"/>
    <cellStyle name="Normal 6 4 4" xfId="4591" xr:uid="{00000000-0005-0000-0000-0000F2110000}"/>
    <cellStyle name="Normal 6 4 5" xfId="4592" xr:uid="{00000000-0005-0000-0000-0000F3110000}"/>
    <cellStyle name="Normal 6 5" xfId="4593" xr:uid="{00000000-0005-0000-0000-0000F4110000}"/>
    <cellStyle name="Normal 6 5 2" xfId="4594" xr:uid="{00000000-0005-0000-0000-0000F5110000}"/>
    <cellStyle name="Normal 6 5 2 2" xfId="4595" xr:uid="{00000000-0005-0000-0000-0000F6110000}"/>
    <cellStyle name="Normal 6 5 3" xfId="4596" xr:uid="{00000000-0005-0000-0000-0000F7110000}"/>
    <cellStyle name="Normal 6 5 3 2" xfId="4597" xr:uid="{00000000-0005-0000-0000-0000F8110000}"/>
    <cellStyle name="Normal 6 5 4" xfId="4598" xr:uid="{00000000-0005-0000-0000-0000F9110000}"/>
    <cellStyle name="Normal 6 5 5" xfId="4599" xr:uid="{00000000-0005-0000-0000-0000FA110000}"/>
    <cellStyle name="Normal 6 6" xfId="4600" xr:uid="{00000000-0005-0000-0000-0000FB110000}"/>
    <cellStyle name="Normal 6 6 2" xfId="4601" xr:uid="{00000000-0005-0000-0000-0000FC110000}"/>
    <cellStyle name="Normal 6 6 3" xfId="4602" xr:uid="{00000000-0005-0000-0000-0000FD110000}"/>
    <cellStyle name="Normal 6 7" xfId="4603" xr:uid="{00000000-0005-0000-0000-0000FE110000}"/>
    <cellStyle name="Normal 6 8" xfId="4604" xr:uid="{00000000-0005-0000-0000-0000FF110000}"/>
    <cellStyle name="Normal 6 9" xfId="4605" xr:uid="{00000000-0005-0000-0000-000000120000}"/>
    <cellStyle name="Normal 60" xfId="4606" xr:uid="{00000000-0005-0000-0000-000001120000}"/>
    <cellStyle name="Normal 61" xfId="4607" xr:uid="{00000000-0005-0000-0000-000002120000}"/>
    <cellStyle name="Normal 62" xfId="4608" xr:uid="{00000000-0005-0000-0000-000003120000}"/>
    <cellStyle name="Normal 63" xfId="4609" xr:uid="{00000000-0005-0000-0000-000004120000}"/>
    <cellStyle name="Normal 63 2" xfId="4610" xr:uid="{00000000-0005-0000-0000-000005120000}"/>
    <cellStyle name="Normal 64" xfId="4611" xr:uid="{00000000-0005-0000-0000-000006120000}"/>
    <cellStyle name="Normal 65" xfId="4612" xr:uid="{00000000-0005-0000-0000-000007120000}"/>
    <cellStyle name="Normal 66" xfId="4613" xr:uid="{00000000-0005-0000-0000-000008120000}"/>
    <cellStyle name="Normal 67" xfId="4614" xr:uid="{00000000-0005-0000-0000-000009120000}"/>
    <cellStyle name="Normal 68" xfId="4615" xr:uid="{00000000-0005-0000-0000-00000A120000}"/>
    <cellStyle name="Normal 69" xfId="4616" xr:uid="{00000000-0005-0000-0000-00000B120000}"/>
    <cellStyle name="Normal 7" xfId="4617" xr:uid="{00000000-0005-0000-0000-00000C120000}"/>
    <cellStyle name="Normal 7 2" xfId="4618" xr:uid="{00000000-0005-0000-0000-00000D120000}"/>
    <cellStyle name="Normal 7 2 2" xfId="4619" xr:uid="{00000000-0005-0000-0000-00000E120000}"/>
    <cellStyle name="Normal 7 3" xfId="4620" xr:uid="{00000000-0005-0000-0000-00000F120000}"/>
    <cellStyle name="Normal 7 3 2" xfId="4621" xr:uid="{00000000-0005-0000-0000-000010120000}"/>
    <cellStyle name="Normal 7 4" xfId="4622" xr:uid="{00000000-0005-0000-0000-000011120000}"/>
    <cellStyle name="Normal 7 4 2" xfId="4623" xr:uid="{00000000-0005-0000-0000-000012120000}"/>
    <cellStyle name="Normal 7 5" xfId="4624" xr:uid="{00000000-0005-0000-0000-000013120000}"/>
    <cellStyle name="Normal 7 6" xfId="4625" xr:uid="{00000000-0005-0000-0000-000014120000}"/>
    <cellStyle name="Normal 70" xfId="4626" xr:uid="{00000000-0005-0000-0000-000015120000}"/>
    <cellStyle name="Normal 70 2" xfId="4627" xr:uid="{00000000-0005-0000-0000-000016120000}"/>
    <cellStyle name="Normal 71" xfId="4628" xr:uid="{00000000-0005-0000-0000-000017120000}"/>
    <cellStyle name="Normal 71 2" xfId="4629" xr:uid="{00000000-0005-0000-0000-000018120000}"/>
    <cellStyle name="Normal 72" xfId="4630" xr:uid="{00000000-0005-0000-0000-000019120000}"/>
    <cellStyle name="Normal 72 2" xfId="4631" xr:uid="{00000000-0005-0000-0000-00001A120000}"/>
    <cellStyle name="Normal 73" xfId="4632" xr:uid="{00000000-0005-0000-0000-00001B120000}"/>
    <cellStyle name="Normal 73 2" xfId="4633" xr:uid="{00000000-0005-0000-0000-00001C120000}"/>
    <cellStyle name="Normal 74" xfId="4634" xr:uid="{00000000-0005-0000-0000-00001D120000}"/>
    <cellStyle name="Normal 75" xfId="4635" xr:uid="{00000000-0005-0000-0000-00001E120000}"/>
    <cellStyle name="Normal 76" xfId="4636" xr:uid="{00000000-0005-0000-0000-00001F120000}"/>
    <cellStyle name="Normal 77" xfId="4637" xr:uid="{00000000-0005-0000-0000-000020120000}"/>
    <cellStyle name="Normal 78" xfId="4638" xr:uid="{00000000-0005-0000-0000-000021120000}"/>
    <cellStyle name="Normal 79" xfId="4639" xr:uid="{00000000-0005-0000-0000-000022120000}"/>
    <cellStyle name="Normal 8" xfId="4640" xr:uid="{00000000-0005-0000-0000-000023120000}"/>
    <cellStyle name="Normal 8 2" xfId="4641" xr:uid="{00000000-0005-0000-0000-000024120000}"/>
    <cellStyle name="Normal 8 2 2" xfId="4642" xr:uid="{00000000-0005-0000-0000-000025120000}"/>
    <cellStyle name="Normal 8 2 2 2" xfId="4643" xr:uid="{00000000-0005-0000-0000-000026120000}"/>
    <cellStyle name="Normal 8 2 3" xfId="4644" xr:uid="{00000000-0005-0000-0000-000027120000}"/>
    <cellStyle name="Normal 8 2 3 2" xfId="4645" xr:uid="{00000000-0005-0000-0000-000028120000}"/>
    <cellStyle name="Normal 8 2 4" xfId="4646" xr:uid="{00000000-0005-0000-0000-000029120000}"/>
    <cellStyle name="Normal 8 3" xfId="4647" xr:uid="{00000000-0005-0000-0000-00002A120000}"/>
    <cellStyle name="Normal 8 3 2" xfId="4648" xr:uid="{00000000-0005-0000-0000-00002B120000}"/>
    <cellStyle name="Normal 8 4" xfId="4649" xr:uid="{00000000-0005-0000-0000-00002C120000}"/>
    <cellStyle name="Normal 8 4 2" xfId="4650" xr:uid="{00000000-0005-0000-0000-00002D120000}"/>
    <cellStyle name="Normal 8 5" xfId="4651" xr:uid="{00000000-0005-0000-0000-00002E120000}"/>
    <cellStyle name="Normal 8 5 2" xfId="4652" xr:uid="{00000000-0005-0000-0000-00002F120000}"/>
    <cellStyle name="Normal 8 6" xfId="4653" xr:uid="{00000000-0005-0000-0000-000030120000}"/>
    <cellStyle name="Normal 8 7" xfId="4654" xr:uid="{00000000-0005-0000-0000-000031120000}"/>
    <cellStyle name="Normal 80" xfId="4655" xr:uid="{00000000-0005-0000-0000-000032120000}"/>
    <cellStyle name="Normal 81" xfId="4656" xr:uid="{00000000-0005-0000-0000-000033120000}"/>
    <cellStyle name="Normal 82" xfId="4657" xr:uid="{00000000-0005-0000-0000-000034120000}"/>
    <cellStyle name="Normal 83" xfId="4658" xr:uid="{00000000-0005-0000-0000-000035120000}"/>
    <cellStyle name="Normal 84" xfId="4659" xr:uid="{00000000-0005-0000-0000-000036120000}"/>
    <cellStyle name="Normal 85" xfId="4660" xr:uid="{00000000-0005-0000-0000-000037120000}"/>
    <cellStyle name="Normal 86" xfId="4661" xr:uid="{00000000-0005-0000-0000-000038120000}"/>
    <cellStyle name="Normal 87" xfId="4662" xr:uid="{00000000-0005-0000-0000-000039120000}"/>
    <cellStyle name="Normal 88" xfId="4663" xr:uid="{00000000-0005-0000-0000-00003A120000}"/>
    <cellStyle name="Normal 89" xfId="4664" xr:uid="{00000000-0005-0000-0000-00003B120000}"/>
    <cellStyle name="Normal 9" xfId="4665" xr:uid="{00000000-0005-0000-0000-00003C120000}"/>
    <cellStyle name="Normal 9 2" xfId="4666" xr:uid="{00000000-0005-0000-0000-00003D120000}"/>
    <cellStyle name="Normal 9 2 2" xfId="4667" xr:uid="{00000000-0005-0000-0000-00003E120000}"/>
    <cellStyle name="Normal 9 3" xfId="4668" xr:uid="{00000000-0005-0000-0000-00003F120000}"/>
    <cellStyle name="Normal 9 3 2" xfId="4669" xr:uid="{00000000-0005-0000-0000-000040120000}"/>
    <cellStyle name="Normal 9 4" xfId="4670" xr:uid="{00000000-0005-0000-0000-000041120000}"/>
    <cellStyle name="Normal 9 4 2" xfId="4671" xr:uid="{00000000-0005-0000-0000-000042120000}"/>
    <cellStyle name="Normal 9 5" xfId="4672" xr:uid="{00000000-0005-0000-0000-000043120000}"/>
    <cellStyle name="Normal 9 5 2" xfId="4673" xr:uid="{00000000-0005-0000-0000-000044120000}"/>
    <cellStyle name="Normal 9 6" xfId="4674" xr:uid="{00000000-0005-0000-0000-000045120000}"/>
    <cellStyle name="Normal 9 7" xfId="4675" xr:uid="{00000000-0005-0000-0000-000046120000}"/>
    <cellStyle name="Normal 90" xfId="4676" xr:uid="{00000000-0005-0000-0000-000047120000}"/>
    <cellStyle name="Normal 91" xfId="4677" xr:uid="{00000000-0005-0000-0000-000048120000}"/>
    <cellStyle name="Normal 92" xfId="4678" xr:uid="{00000000-0005-0000-0000-000049120000}"/>
    <cellStyle name="Normal 93" xfId="4679" xr:uid="{00000000-0005-0000-0000-00004A120000}"/>
    <cellStyle name="Normal 94" xfId="4680" xr:uid="{00000000-0005-0000-0000-00004B120000}"/>
    <cellStyle name="Normal 95" xfId="4681" xr:uid="{00000000-0005-0000-0000-00004C120000}"/>
    <cellStyle name="Normal 96" xfId="4682" xr:uid="{00000000-0005-0000-0000-00004D120000}"/>
    <cellStyle name="Normal 97" xfId="4683" xr:uid="{00000000-0005-0000-0000-00004E120000}"/>
    <cellStyle name="Normal 98" xfId="4684" xr:uid="{00000000-0005-0000-0000-00004F120000}"/>
    <cellStyle name="Normal 99" xfId="4685" xr:uid="{00000000-0005-0000-0000-000050120000}"/>
    <cellStyle name="Normalny_laroux" xfId="4686" xr:uid="{00000000-0005-0000-0000-000051120000}"/>
    <cellStyle name="Nota 10" xfId="4687" xr:uid="{00000000-0005-0000-0000-000052120000}"/>
    <cellStyle name="Nota 10 2" xfId="4688" xr:uid="{00000000-0005-0000-0000-000053120000}"/>
    <cellStyle name="Nota 10 2 2" xfId="4689" xr:uid="{00000000-0005-0000-0000-000054120000}"/>
    <cellStyle name="Nota 10 2 2 2" xfId="4690" xr:uid="{00000000-0005-0000-0000-000055120000}"/>
    <cellStyle name="Nota 10 2 3" xfId="4691" xr:uid="{00000000-0005-0000-0000-000056120000}"/>
    <cellStyle name="Nota 10 2 3 2" xfId="4692" xr:uid="{00000000-0005-0000-0000-000057120000}"/>
    <cellStyle name="Nota 10 2 4" xfId="4693" xr:uid="{00000000-0005-0000-0000-000058120000}"/>
    <cellStyle name="Nota 10 3" xfId="4694" xr:uid="{00000000-0005-0000-0000-000059120000}"/>
    <cellStyle name="Nota 10 3 2" xfId="4695" xr:uid="{00000000-0005-0000-0000-00005A120000}"/>
    <cellStyle name="Nota 10 4" xfId="4696" xr:uid="{00000000-0005-0000-0000-00005B120000}"/>
    <cellStyle name="Nota 10 4 2" xfId="4697" xr:uid="{00000000-0005-0000-0000-00005C120000}"/>
    <cellStyle name="Nota 10 5" xfId="4698" xr:uid="{00000000-0005-0000-0000-00005D120000}"/>
    <cellStyle name="Nota 11" xfId="4699" xr:uid="{00000000-0005-0000-0000-00005E120000}"/>
    <cellStyle name="Nota 11 2" xfId="4700" xr:uid="{00000000-0005-0000-0000-00005F120000}"/>
    <cellStyle name="Nota 11 2 2" xfId="4701" xr:uid="{00000000-0005-0000-0000-000060120000}"/>
    <cellStyle name="Nota 11 2 2 2" xfId="4702" xr:uid="{00000000-0005-0000-0000-000061120000}"/>
    <cellStyle name="Nota 11 2 3" xfId="4703" xr:uid="{00000000-0005-0000-0000-000062120000}"/>
    <cellStyle name="Nota 11 2 3 2" xfId="4704" xr:uid="{00000000-0005-0000-0000-000063120000}"/>
    <cellStyle name="Nota 11 2 4" xfId="4705" xr:uid="{00000000-0005-0000-0000-000064120000}"/>
    <cellStyle name="Nota 11 3" xfId="4706" xr:uid="{00000000-0005-0000-0000-000065120000}"/>
    <cellStyle name="Nota 11 3 2" xfId="4707" xr:uid="{00000000-0005-0000-0000-000066120000}"/>
    <cellStyle name="Nota 11 4" xfId="4708" xr:uid="{00000000-0005-0000-0000-000067120000}"/>
    <cellStyle name="Nota 11 4 2" xfId="4709" xr:uid="{00000000-0005-0000-0000-000068120000}"/>
    <cellStyle name="Nota 11 5" xfId="4710" xr:uid="{00000000-0005-0000-0000-000069120000}"/>
    <cellStyle name="Nota 12" xfId="4711" xr:uid="{00000000-0005-0000-0000-00006A120000}"/>
    <cellStyle name="Nota 12 2" xfId="4712" xr:uid="{00000000-0005-0000-0000-00006B120000}"/>
    <cellStyle name="Nota 12 2 2" xfId="4713" xr:uid="{00000000-0005-0000-0000-00006C120000}"/>
    <cellStyle name="Nota 12 2 2 2" xfId="4714" xr:uid="{00000000-0005-0000-0000-00006D120000}"/>
    <cellStyle name="Nota 12 2 3" xfId="4715" xr:uid="{00000000-0005-0000-0000-00006E120000}"/>
    <cellStyle name="Nota 12 2 3 2" xfId="4716" xr:uid="{00000000-0005-0000-0000-00006F120000}"/>
    <cellStyle name="Nota 12 2 4" xfId="4717" xr:uid="{00000000-0005-0000-0000-000070120000}"/>
    <cellStyle name="Nota 12 3" xfId="4718" xr:uid="{00000000-0005-0000-0000-000071120000}"/>
    <cellStyle name="Nota 12 3 2" xfId="4719" xr:uid="{00000000-0005-0000-0000-000072120000}"/>
    <cellStyle name="Nota 12 4" xfId="4720" xr:uid="{00000000-0005-0000-0000-000073120000}"/>
    <cellStyle name="Nota 12 4 2" xfId="4721" xr:uid="{00000000-0005-0000-0000-000074120000}"/>
    <cellStyle name="Nota 12 5" xfId="4722" xr:uid="{00000000-0005-0000-0000-000075120000}"/>
    <cellStyle name="Nota 13" xfId="4723" xr:uid="{00000000-0005-0000-0000-000076120000}"/>
    <cellStyle name="Nota 13 2" xfId="4724" xr:uid="{00000000-0005-0000-0000-000077120000}"/>
    <cellStyle name="Nota 13 2 2" xfId="4725" xr:uid="{00000000-0005-0000-0000-000078120000}"/>
    <cellStyle name="Nota 13 2 2 2" xfId="4726" xr:uid="{00000000-0005-0000-0000-000079120000}"/>
    <cellStyle name="Nota 13 2 3" xfId="4727" xr:uid="{00000000-0005-0000-0000-00007A120000}"/>
    <cellStyle name="Nota 13 2 3 2" xfId="4728" xr:uid="{00000000-0005-0000-0000-00007B120000}"/>
    <cellStyle name="Nota 13 2 4" xfId="4729" xr:uid="{00000000-0005-0000-0000-00007C120000}"/>
    <cellStyle name="Nota 13 3" xfId="4730" xr:uid="{00000000-0005-0000-0000-00007D120000}"/>
    <cellStyle name="Nota 13 3 2" xfId="4731" xr:uid="{00000000-0005-0000-0000-00007E120000}"/>
    <cellStyle name="Nota 13 4" xfId="4732" xr:uid="{00000000-0005-0000-0000-00007F120000}"/>
    <cellStyle name="Nota 13 4 2" xfId="4733" xr:uid="{00000000-0005-0000-0000-000080120000}"/>
    <cellStyle name="Nota 13 5" xfId="4734" xr:uid="{00000000-0005-0000-0000-000081120000}"/>
    <cellStyle name="Nota 14" xfId="4735" xr:uid="{00000000-0005-0000-0000-000082120000}"/>
    <cellStyle name="Nota 14 2" xfId="4736" xr:uid="{00000000-0005-0000-0000-000083120000}"/>
    <cellStyle name="Nota 14 2 2" xfId="4737" xr:uid="{00000000-0005-0000-0000-000084120000}"/>
    <cellStyle name="Nota 14 2 2 2" xfId="4738" xr:uid="{00000000-0005-0000-0000-000085120000}"/>
    <cellStyle name="Nota 14 2 3" xfId="4739" xr:uid="{00000000-0005-0000-0000-000086120000}"/>
    <cellStyle name="Nota 14 2 3 2" xfId="4740" xr:uid="{00000000-0005-0000-0000-000087120000}"/>
    <cellStyle name="Nota 14 2 4" xfId="4741" xr:uid="{00000000-0005-0000-0000-000088120000}"/>
    <cellStyle name="Nota 14 3" xfId="4742" xr:uid="{00000000-0005-0000-0000-000089120000}"/>
    <cellStyle name="Nota 14 3 2" xfId="4743" xr:uid="{00000000-0005-0000-0000-00008A120000}"/>
    <cellStyle name="Nota 14 4" xfId="4744" xr:uid="{00000000-0005-0000-0000-00008B120000}"/>
    <cellStyle name="Nota 14 4 2" xfId="4745" xr:uid="{00000000-0005-0000-0000-00008C120000}"/>
    <cellStyle name="Nota 14 5" xfId="4746" xr:uid="{00000000-0005-0000-0000-00008D120000}"/>
    <cellStyle name="Nota 15" xfId="4747" xr:uid="{00000000-0005-0000-0000-00008E120000}"/>
    <cellStyle name="Nota 15 2" xfId="4748" xr:uid="{00000000-0005-0000-0000-00008F120000}"/>
    <cellStyle name="Nota 15 2 2" xfId="4749" xr:uid="{00000000-0005-0000-0000-000090120000}"/>
    <cellStyle name="Nota 15 2 2 2" xfId="4750" xr:uid="{00000000-0005-0000-0000-000091120000}"/>
    <cellStyle name="Nota 15 2 3" xfId="4751" xr:uid="{00000000-0005-0000-0000-000092120000}"/>
    <cellStyle name="Nota 15 2 3 2" xfId="4752" xr:uid="{00000000-0005-0000-0000-000093120000}"/>
    <cellStyle name="Nota 15 2 4" xfId="4753" xr:uid="{00000000-0005-0000-0000-000094120000}"/>
    <cellStyle name="Nota 15 3" xfId="4754" xr:uid="{00000000-0005-0000-0000-000095120000}"/>
    <cellStyle name="Nota 15 3 2" xfId="4755" xr:uid="{00000000-0005-0000-0000-000096120000}"/>
    <cellStyle name="Nota 15 4" xfId="4756" xr:uid="{00000000-0005-0000-0000-000097120000}"/>
    <cellStyle name="Nota 15 4 2" xfId="4757" xr:uid="{00000000-0005-0000-0000-000098120000}"/>
    <cellStyle name="Nota 15 5" xfId="4758" xr:uid="{00000000-0005-0000-0000-000099120000}"/>
    <cellStyle name="Nota 16" xfId="4759" xr:uid="{00000000-0005-0000-0000-00009A120000}"/>
    <cellStyle name="Nota 16 2" xfId="4760" xr:uid="{00000000-0005-0000-0000-00009B120000}"/>
    <cellStyle name="Nota 16 2 2" xfId="4761" xr:uid="{00000000-0005-0000-0000-00009C120000}"/>
    <cellStyle name="Nota 16 2 2 2" xfId="4762" xr:uid="{00000000-0005-0000-0000-00009D120000}"/>
    <cellStyle name="Nota 16 2 3" xfId="4763" xr:uid="{00000000-0005-0000-0000-00009E120000}"/>
    <cellStyle name="Nota 16 2 3 2" xfId="4764" xr:uid="{00000000-0005-0000-0000-00009F120000}"/>
    <cellStyle name="Nota 16 2 4" xfId="4765" xr:uid="{00000000-0005-0000-0000-0000A0120000}"/>
    <cellStyle name="Nota 16 3" xfId="4766" xr:uid="{00000000-0005-0000-0000-0000A1120000}"/>
    <cellStyle name="Nota 16 3 2" xfId="4767" xr:uid="{00000000-0005-0000-0000-0000A2120000}"/>
    <cellStyle name="Nota 16 4" xfId="4768" xr:uid="{00000000-0005-0000-0000-0000A3120000}"/>
    <cellStyle name="Nota 16 4 2" xfId="4769" xr:uid="{00000000-0005-0000-0000-0000A4120000}"/>
    <cellStyle name="Nota 16 5" xfId="4770" xr:uid="{00000000-0005-0000-0000-0000A5120000}"/>
    <cellStyle name="Nota 17" xfId="4771" xr:uid="{00000000-0005-0000-0000-0000A6120000}"/>
    <cellStyle name="Nota 17 2" xfId="4772" xr:uid="{00000000-0005-0000-0000-0000A7120000}"/>
    <cellStyle name="Nota 17 2 2" xfId="4773" xr:uid="{00000000-0005-0000-0000-0000A8120000}"/>
    <cellStyle name="Nota 17 2 2 2" xfId="4774" xr:uid="{00000000-0005-0000-0000-0000A9120000}"/>
    <cellStyle name="Nota 17 2 3" xfId="4775" xr:uid="{00000000-0005-0000-0000-0000AA120000}"/>
    <cellStyle name="Nota 17 2 3 2" xfId="4776" xr:uid="{00000000-0005-0000-0000-0000AB120000}"/>
    <cellStyle name="Nota 17 2 4" xfId="4777" xr:uid="{00000000-0005-0000-0000-0000AC120000}"/>
    <cellStyle name="Nota 17 3" xfId="4778" xr:uid="{00000000-0005-0000-0000-0000AD120000}"/>
    <cellStyle name="Nota 17 3 2" xfId="4779" xr:uid="{00000000-0005-0000-0000-0000AE120000}"/>
    <cellStyle name="Nota 17 4" xfId="4780" xr:uid="{00000000-0005-0000-0000-0000AF120000}"/>
    <cellStyle name="Nota 17 4 2" xfId="4781" xr:uid="{00000000-0005-0000-0000-0000B0120000}"/>
    <cellStyle name="Nota 17 5" xfId="4782" xr:uid="{00000000-0005-0000-0000-0000B1120000}"/>
    <cellStyle name="Nota 18" xfId="4783" xr:uid="{00000000-0005-0000-0000-0000B2120000}"/>
    <cellStyle name="Nota 18 2" xfId="4784" xr:uid="{00000000-0005-0000-0000-0000B3120000}"/>
    <cellStyle name="Nota 18 2 2" xfId="4785" xr:uid="{00000000-0005-0000-0000-0000B4120000}"/>
    <cellStyle name="Nota 18 2 2 2" xfId="4786" xr:uid="{00000000-0005-0000-0000-0000B5120000}"/>
    <cellStyle name="Nota 18 2 3" xfId="4787" xr:uid="{00000000-0005-0000-0000-0000B6120000}"/>
    <cellStyle name="Nota 18 2 3 2" xfId="4788" xr:uid="{00000000-0005-0000-0000-0000B7120000}"/>
    <cellStyle name="Nota 18 2 4" xfId="4789" xr:uid="{00000000-0005-0000-0000-0000B8120000}"/>
    <cellStyle name="Nota 18 3" xfId="4790" xr:uid="{00000000-0005-0000-0000-0000B9120000}"/>
    <cellStyle name="Nota 18 3 2" xfId="4791" xr:uid="{00000000-0005-0000-0000-0000BA120000}"/>
    <cellStyle name="Nota 18 4" xfId="4792" xr:uid="{00000000-0005-0000-0000-0000BB120000}"/>
    <cellStyle name="Nota 18 4 2" xfId="4793" xr:uid="{00000000-0005-0000-0000-0000BC120000}"/>
    <cellStyle name="Nota 18 5" xfId="4794" xr:uid="{00000000-0005-0000-0000-0000BD120000}"/>
    <cellStyle name="Nota 19" xfId="4795" xr:uid="{00000000-0005-0000-0000-0000BE120000}"/>
    <cellStyle name="Nota 19 2" xfId="4796" xr:uid="{00000000-0005-0000-0000-0000BF120000}"/>
    <cellStyle name="Nota 19 2 2" xfId="4797" xr:uid="{00000000-0005-0000-0000-0000C0120000}"/>
    <cellStyle name="Nota 19 2 2 2" xfId="4798" xr:uid="{00000000-0005-0000-0000-0000C1120000}"/>
    <cellStyle name="Nota 19 2 3" xfId="4799" xr:uid="{00000000-0005-0000-0000-0000C2120000}"/>
    <cellStyle name="Nota 19 3" xfId="4800" xr:uid="{00000000-0005-0000-0000-0000C3120000}"/>
    <cellStyle name="Nota 19 3 2" xfId="4801" xr:uid="{00000000-0005-0000-0000-0000C4120000}"/>
    <cellStyle name="Nota 19 4" xfId="4802" xr:uid="{00000000-0005-0000-0000-0000C5120000}"/>
    <cellStyle name="Nota 19 4 2" xfId="4803" xr:uid="{00000000-0005-0000-0000-0000C6120000}"/>
    <cellStyle name="Nota 19 5" xfId="4804" xr:uid="{00000000-0005-0000-0000-0000C7120000}"/>
    <cellStyle name="Nota 2" xfId="4805" xr:uid="{00000000-0005-0000-0000-0000C8120000}"/>
    <cellStyle name="Nota 2 2" xfId="4806" xr:uid="{00000000-0005-0000-0000-0000C9120000}"/>
    <cellStyle name="Nota 2 2 2" xfId="4807" xr:uid="{00000000-0005-0000-0000-0000CA120000}"/>
    <cellStyle name="Nota 2 2 2 2" xfId="4808" xr:uid="{00000000-0005-0000-0000-0000CB120000}"/>
    <cellStyle name="Nota 2 2 2 2 2" xfId="4809" xr:uid="{00000000-0005-0000-0000-0000CC120000}"/>
    <cellStyle name="Nota 2 2 2 3" xfId="4810" xr:uid="{00000000-0005-0000-0000-0000CD120000}"/>
    <cellStyle name="Nota 2 2 3" xfId="4811" xr:uid="{00000000-0005-0000-0000-0000CE120000}"/>
    <cellStyle name="Nota 2 2 3 2" xfId="4812" xr:uid="{00000000-0005-0000-0000-0000CF120000}"/>
    <cellStyle name="Nota 2 2 4" xfId="4813" xr:uid="{00000000-0005-0000-0000-0000D0120000}"/>
    <cellStyle name="Nota 2 3" xfId="4814" xr:uid="{00000000-0005-0000-0000-0000D1120000}"/>
    <cellStyle name="Nota 2 3 2" xfId="4815" xr:uid="{00000000-0005-0000-0000-0000D2120000}"/>
    <cellStyle name="Nota 2 3 2 2" xfId="4816" xr:uid="{00000000-0005-0000-0000-0000D3120000}"/>
    <cellStyle name="Nota 2 3 3" xfId="4817" xr:uid="{00000000-0005-0000-0000-0000D4120000}"/>
    <cellStyle name="Nota 2 4" xfId="4818" xr:uid="{00000000-0005-0000-0000-0000D5120000}"/>
    <cellStyle name="Nota 2 4 2" xfId="4819" xr:uid="{00000000-0005-0000-0000-0000D6120000}"/>
    <cellStyle name="Nota 2 4 2 2" xfId="4820" xr:uid="{00000000-0005-0000-0000-0000D7120000}"/>
    <cellStyle name="Nota 2 4 3" xfId="4821" xr:uid="{00000000-0005-0000-0000-0000D8120000}"/>
    <cellStyle name="Nota 2 5" xfId="4822" xr:uid="{00000000-0005-0000-0000-0000D9120000}"/>
    <cellStyle name="Nota 2 5 2" xfId="4823" xr:uid="{00000000-0005-0000-0000-0000DA120000}"/>
    <cellStyle name="Nota 2 6" xfId="4824" xr:uid="{00000000-0005-0000-0000-0000DB120000}"/>
    <cellStyle name="Nota 2 7" xfId="4825" xr:uid="{00000000-0005-0000-0000-0000DC120000}"/>
    <cellStyle name="Nota 20" xfId="4826" xr:uid="{00000000-0005-0000-0000-0000DD120000}"/>
    <cellStyle name="Nota 20 2" xfId="4827" xr:uid="{00000000-0005-0000-0000-0000DE120000}"/>
    <cellStyle name="Nota 20 2 2" xfId="4828" xr:uid="{00000000-0005-0000-0000-0000DF120000}"/>
    <cellStyle name="Nota 20 2 2 2" xfId="4829" xr:uid="{00000000-0005-0000-0000-0000E0120000}"/>
    <cellStyle name="Nota 20 2 3" xfId="4830" xr:uid="{00000000-0005-0000-0000-0000E1120000}"/>
    <cellStyle name="Nota 20 3" xfId="4831" xr:uid="{00000000-0005-0000-0000-0000E2120000}"/>
    <cellStyle name="Nota 20 3 2" xfId="4832" xr:uid="{00000000-0005-0000-0000-0000E3120000}"/>
    <cellStyle name="Nota 20 4" xfId="4833" xr:uid="{00000000-0005-0000-0000-0000E4120000}"/>
    <cellStyle name="Nota 20 4 2" xfId="4834" xr:uid="{00000000-0005-0000-0000-0000E5120000}"/>
    <cellStyle name="Nota 20 5" xfId="4835" xr:uid="{00000000-0005-0000-0000-0000E6120000}"/>
    <cellStyle name="Nota 21" xfId="4836" xr:uid="{00000000-0005-0000-0000-0000E7120000}"/>
    <cellStyle name="Nota 21 2" xfId="4837" xr:uid="{00000000-0005-0000-0000-0000E8120000}"/>
    <cellStyle name="Nota 21 2 2" xfId="4838" xr:uid="{00000000-0005-0000-0000-0000E9120000}"/>
    <cellStyle name="Nota 21 2 2 2" xfId="4839" xr:uid="{00000000-0005-0000-0000-0000EA120000}"/>
    <cellStyle name="Nota 21 2 3" xfId="4840" xr:uid="{00000000-0005-0000-0000-0000EB120000}"/>
    <cellStyle name="Nota 21 3" xfId="4841" xr:uid="{00000000-0005-0000-0000-0000EC120000}"/>
    <cellStyle name="Nota 21 3 2" xfId="4842" xr:uid="{00000000-0005-0000-0000-0000ED120000}"/>
    <cellStyle name="Nota 21 4" xfId="4843" xr:uid="{00000000-0005-0000-0000-0000EE120000}"/>
    <cellStyle name="Nota 22" xfId="4844" xr:uid="{00000000-0005-0000-0000-0000EF120000}"/>
    <cellStyle name="Nota 22 2" xfId="4845" xr:uid="{00000000-0005-0000-0000-0000F0120000}"/>
    <cellStyle name="Nota 22 2 2" xfId="4846" xr:uid="{00000000-0005-0000-0000-0000F1120000}"/>
    <cellStyle name="Nota 22 2 2 2" xfId="4847" xr:uid="{00000000-0005-0000-0000-0000F2120000}"/>
    <cellStyle name="Nota 22 2 3" xfId="4848" xr:uid="{00000000-0005-0000-0000-0000F3120000}"/>
    <cellStyle name="Nota 22 3" xfId="4849" xr:uid="{00000000-0005-0000-0000-0000F4120000}"/>
    <cellStyle name="Nota 22 3 2" xfId="4850" xr:uid="{00000000-0005-0000-0000-0000F5120000}"/>
    <cellStyle name="Nota 22 4" xfId="4851" xr:uid="{00000000-0005-0000-0000-0000F6120000}"/>
    <cellStyle name="Nota 23" xfId="4852" xr:uid="{00000000-0005-0000-0000-0000F7120000}"/>
    <cellStyle name="Nota 23 2" xfId="4853" xr:uid="{00000000-0005-0000-0000-0000F8120000}"/>
    <cellStyle name="Nota 23 2 2" xfId="4854" xr:uid="{00000000-0005-0000-0000-0000F9120000}"/>
    <cellStyle name="Nota 23 2 2 2" xfId="4855" xr:uid="{00000000-0005-0000-0000-0000FA120000}"/>
    <cellStyle name="Nota 23 2 3" xfId="4856" xr:uid="{00000000-0005-0000-0000-0000FB120000}"/>
    <cellStyle name="Nota 23 3" xfId="4857" xr:uid="{00000000-0005-0000-0000-0000FC120000}"/>
    <cellStyle name="Nota 23 3 2" xfId="4858" xr:uid="{00000000-0005-0000-0000-0000FD120000}"/>
    <cellStyle name="Nota 23 4" xfId="4859" xr:uid="{00000000-0005-0000-0000-0000FE120000}"/>
    <cellStyle name="Nota 24" xfId="4860" xr:uid="{00000000-0005-0000-0000-0000FF120000}"/>
    <cellStyle name="Nota 24 2" xfId="4861" xr:uid="{00000000-0005-0000-0000-000000130000}"/>
    <cellStyle name="Nota 24 2 2" xfId="4862" xr:uid="{00000000-0005-0000-0000-000001130000}"/>
    <cellStyle name="Nota 24 2 2 2" xfId="4863" xr:uid="{00000000-0005-0000-0000-000002130000}"/>
    <cellStyle name="Nota 24 2 3" xfId="4864" xr:uid="{00000000-0005-0000-0000-000003130000}"/>
    <cellStyle name="Nota 24 3" xfId="4865" xr:uid="{00000000-0005-0000-0000-000004130000}"/>
    <cellStyle name="Nota 24 3 2" xfId="4866" xr:uid="{00000000-0005-0000-0000-000005130000}"/>
    <cellStyle name="Nota 24 4" xfId="4867" xr:uid="{00000000-0005-0000-0000-000006130000}"/>
    <cellStyle name="Nota 25" xfId="4868" xr:uid="{00000000-0005-0000-0000-000007130000}"/>
    <cellStyle name="Nota 25 2" xfId="4869" xr:uid="{00000000-0005-0000-0000-000008130000}"/>
    <cellStyle name="Nota 25 2 2" xfId="4870" xr:uid="{00000000-0005-0000-0000-000009130000}"/>
    <cellStyle name="Nota 25 2 2 2" xfId="4871" xr:uid="{00000000-0005-0000-0000-00000A130000}"/>
    <cellStyle name="Nota 25 2 3" xfId="4872" xr:uid="{00000000-0005-0000-0000-00000B130000}"/>
    <cellStyle name="Nota 25 3" xfId="4873" xr:uid="{00000000-0005-0000-0000-00000C130000}"/>
    <cellStyle name="Nota 25 3 2" xfId="4874" xr:uid="{00000000-0005-0000-0000-00000D130000}"/>
    <cellStyle name="Nota 25 4" xfId="4875" xr:uid="{00000000-0005-0000-0000-00000E130000}"/>
    <cellStyle name="Nota 26" xfId="4876" xr:uid="{00000000-0005-0000-0000-00000F130000}"/>
    <cellStyle name="Nota 26 2" xfId="4877" xr:uid="{00000000-0005-0000-0000-000010130000}"/>
    <cellStyle name="Nota 26 2 2" xfId="4878" xr:uid="{00000000-0005-0000-0000-000011130000}"/>
    <cellStyle name="Nota 26 2 2 2" xfId="4879" xr:uid="{00000000-0005-0000-0000-000012130000}"/>
    <cellStyle name="Nota 26 2 3" xfId="4880" xr:uid="{00000000-0005-0000-0000-000013130000}"/>
    <cellStyle name="Nota 26 3" xfId="4881" xr:uid="{00000000-0005-0000-0000-000014130000}"/>
    <cellStyle name="Nota 26 3 2" xfId="4882" xr:uid="{00000000-0005-0000-0000-000015130000}"/>
    <cellStyle name="Nota 26 4" xfId="4883" xr:uid="{00000000-0005-0000-0000-000016130000}"/>
    <cellStyle name="Nota 27" xfId="4884" xr:uid="{00000000-0005-0000-0000-000017130000}"/>
    <cellStyle name="Nota 27 2" xfId="4885" xr:uid="{00000000-0005-0000-0000-000018130000}"/>
    <cellStyle name="Nota 27 2 2" xfId="4886" xr:uid="{00000000-0005-0000-0000-000019130000}"/>
    <cellStyle name="Nota 27 3" xfId="4887" xr:uid="{00000000-0005-0000-0000-00001A130000}"/>
    <cellStyle name="Nota 28" xfId="4888" xr:uid="{00000000-0005-0000-0000-00001B130000}"/>
    <cellStyle name="Nota 28 2" xfId="4889" xr:uid="{00000000-0005-0000-0000-00001C130000}"/>
    <cellStyle name="Nota 28 2 2" xfId="4890" xr:uid="{00000000-0005-0000-0000-00001D130000}"/>
    <cellStyle name="Nota 28 3" xfId="4891" xr:uid="{00000000-0005-0000-0000-00001E130000}"/>
    <cellStyle name="Nota 29" xfId="4892" xr:uid="{00000000-0005-0000-0000-00001F130000}"/>
    <cellStyle name="Nota 29 2" xfId="4893" xr:uid="{00000000-0005-0000-0000-000020130000}"/>
    <cellStyle name="Nota 29 2 2" xfId="4894" xr:uid="{00000000-0005-0000-0000-000021130000}"/>
    <cellStyle name="Nota 29 3" xfId="4895" xr:uid="{00000000-0005-0000-0000-000022130000}"/>
    <cellStyle name="Nota 3" xfId="4896" xr:uid="{00000000-0005-0000-0000-000023130000}"/>
    <cellStyle name="Nota 3 2" xfId="4897" xr:uid="{00000000-0005-0000-0000-000024130000}"/>
    <cellStyle name="Nota 3 2 2" xfId="4898" xr:uid="{00000000-0005-0000-0000-000025130000}"/>
    <cellStyle name="Nota 3 2 2 2" xfId="4899" xr:uid="{00000000-0005-0000-0000-000026130000}"/>
    <cellStyle name="Nota 3 2 3" xfId="4900" xr:uid="{00000000-0005-0000-0000-000027130000}"/>
    <cellStyle name="Nota 3 2 3 2" xfId="4901" xr:uid="{00000000-0005-0000-0000-000028130000}"/>
    <cellStyle name="Nota 3 2 4" xfId="4902" xr:uid="{00000000-0005-0000-0000-000029130000}"/>
    <cellStyle name="Nota 3 3" xfId="4903" xr:uid="{00000000-0005-0000-0000-00002A130000}"/>
    <cellStyle name="Nota 3 3 2" xfId="4904" xr:uid="{00000000-0005-0000-0000-00002B130000}"/>
    <cellStyle name="Nota 3 4" xfId="4905" xr:uid="{00000000-0005-0000-0000-00002C130000}"/>
    <cellStyle name="Nota 3 4 2" xfId="4906" xr:uid="{00000000-0005-0000-0000-00002D130000}"/>
    <cellStyle name="Nota 3 5" xfId="4907" xr:uid="{00000000-0005-0000-0000-00002E130000}"/>
    <cellStyle name="Nota 30" xfId="4908" xr:uid="{00000000-0005-0000-0000-00002F130000}"/>
    <cellStyle name="Nota 30 2" xfId="4909" xr:uid="{00000000-0005-0000-0000-000030130000}"/>
    <cellStyle name="Nota 30 2 2" xfId="4910" xr:uid="{00000000-0005-0000-0000-000031130000}"/>
    <cellStyle name="Nota 30 3" xfId="4911" xr:uid="{00000000-0005-0000-0000-000032130000}"/>
    <cellStyle name="Nota 31" xfId="4912" xr:uid="{00000000-0005-0000-0000-000033130000}"/>
    <cellStyle name="Nota 31 2" xfId="4913" xr:uid="{00000000-0005-0000-0000-000034130000}"/>
    <cellStyle name="Nota 31 2 2" xfId="4914" xr:uid="{00000000-0005-0000-0000-000035130000}"/>
    <cellStyle name="Nota 31 3" xfId="4915" xr:uid="{00000000-0005-0000-0000-000036130000}"/>
    <cellStyle name="Nota 32" xfId="4916" xr:uid="{00000000-0005-0000-0000-000037130000}"/>
    <cellStyle name="Nota 32 2" xfId="4917" xr:uid="{00000000-0005-0000-0000-000038130000}"/>
    <cellStyle name="Nota 4" xfId="4918" xr:uid="{00000000-0005-0000-0000-000039130000}"/>
    <cellStyle name="Nota 4 2" xfId="4919" xr:uid="{00000000-0005-0000-0000-00003A130000}"/>
    <cellStyle name="Nota 4 2 2" xfId="4920" xr:uid="{00000000-0005-0000-0000-00003B130000}"/>
    <cellStyle name="Nota 4 2 2 2" xfId="4921" xr:uid="{00000000-0005-0000-0000-00003C130000}"/>
    <cellStyle name="Nota 4 2 3" xfId="4922" xr:uid="{00000000-0005-0000-0000-00003D130000}"/>
    <cellStyle name="Nota 4 2 3 2" xfId="4923" xr:uid="{00000000-0005-0000-0000-00003E130000}"/>
    <cellStyle name="Nota 4 2 4" xfId="4924" xr:uid="{00000000-0005-0000-0000-00003F130000}"/>
    <cellStyle name="Nota 4 3" xfId="4925" xr:uid="{00000000-0005-0000-0000-000040130000}"/>
    <cellStyle name="Nota 4 3 2" xfId="4926" xr:uid="{00000000-0005-0000-0000-000041130000}"/>
    <cellStyle name="Nota 4 4" xfId="4927" xr:uid="{00000000-0005-0000-0000-000042130000}"/>
    <cellStyle name="Nota 4 4 2" xfId="4928" xr:uid="{00000000-0005-0000-0000-000043130000}"/>
    <cellStyle name="Nota 4 5" xfId="4929" xr:uid="{00000000-0005-0000-0000-000044130000}"/>
    <cellStyle name="Nota 4 5 2" xfId="4930" xr:uid="{00000000-0005-0000-0000-000045130000}"/>
    <cellStyle name="Nota 4 6" xfId="4931" xr:uid="{00000000-0005-0000-0000-000046130000}"/>
    <cellStyle name="Nota 5" xfId="4932" xr:uid="{00000000-0005-0000-0000-000047130000}"/>
    <cellStyle name="Nota 5 2" xfId="4933" xr:uid="{00000000-0005-0000-0000-000048130000}"/>
    <cellStyle name="Nota 5 2 2" xfId="4934" xr:uid="{00000000-0005-0000-0000-000049130000}"/>
    <cellStyle name="Nota 5 2 2 2" xfId="4935" xr:uid="{00000000-0005-0000-0000-00004A130000}"/>
    <cellStyle name="Nota 5 2 3" xfId="4936" xr:uid="{00000000-0005-0000-0000-00004B130000}"/>
    <cellStyle name="Nota 5 2 3 2" xfId="4937" xr:uid="{00000000-0005-0000-0000-00004C130000}"/>
    <cellStyle name="Nota 5 2 4" xfId="4938" xr:uid="{00000000-0005-0000-0000-00004D130000}"/>
    <cellStyle name="Nota 5 3" xfId="4939" xr:uid="{00000000-0005-0000-0000-00004E130000}"/>
    <cellStyle name="Nota 5 3 2" xfId="4940" xr:uid="{00000000-0005-0000-0000-00004F130000}"/>
    <cellStyle name="Nota 5 3 2 2" xfId="4941" xr:uid="{00000000-0005-0000-0000-000050130000}"/>
    <cellStyle name="Nota 5 3 3" xfId="4942" xr:uid="{00000000-0005-0000-0000-000051130000}"/>
    <cellStyle name="Nota 5 4" xfId="4943" xr:uid="{00000000-0005-0000-0000-000052130000}"/>
    <cellStyle name="Nota 5 4 2" xfId="4944" xr:uid="{00000000-0005-0000-0000-000053130000}"/>
    <cellStyle name="Nota 5 4 2 2" xfId="4945" xr:uid="{00000000-0005-0000-0000-000054130000}"/>
    <cellStyle name="Nota 5 4 3" xfId="4946" xr:uid="{00000000-0005-0000-0000-000055130000}"/>
    <cellStyle name="Nota 5 5" xfId="4947" xr:uid="{00000000-0005-0000-0000-000056130000}"/>
    <cellStyle name="Nota 5 5 2" xfId="4948" xr:uid="{00000000-0005-0000-0000-000057130000}"/>
    <cellStyle name="Nota 5 6" xfId="4949" xr:uid="{00000000-0005-0000-0000-000058130000}"/>
    <cellStyle name="Nota 6" xfId="4950" xr:uid="{00000000-0005-0000-0000-000059130000}"/>
    <cellStyle name="Nota 6 2" xfId="4951" xr:uid="{00000000-0005-0000-0000-00005A130000}"/>
    <cellStyle name="Nota 6 2 2" xfId="4952" xr:uid="{00000000-0005-0000-0000-00005B130000}"/>
    <cellStyle name="Nota 6 2 2 2" xfId="4953" xr:uid="{00000000-0005-0000-0000-00005C130000}"/>
    <cellStyle name="Nota 6 2 3" xfId="4954" xr:uid="{00000000-0005-0000-0000-00005D130000}"/>
    <cellStyle name="Nota 6 2 3 2" xfId="4955" xr:uid="{00000000-0005-0000-0000-00005E130000}"/>
    <cellStyle name="Nota 6 2 4" xfId="4956" xr:uid="{00000000-0005-0000-0000-00005F130000}"/>
    <cellStyle name="Nota 6 3" xfId="4957" xr:uid="{00000000-0005-0000-0000-000060130000}"/>
    <cellStyle name="Nota 6 3 2" xfId="4958" xr:uid="{00000000-0005-0000-0000-000061130000}"/>
    <cellStyle name="Nota 6 3 2 2" xfId="4959" xr:uid="{00000000-0005-0000-0000-000062130000}"/>
    <cellStyle name="Nota 6 3 3" xfId="4960" xr:uid="{00000000-0005-0000-0000-000063130000}"/>
    <cellStyle name="Nota 6 4" xfId="4961" xr:uid="{00000000-0005-0000-0000-000064130000}"/>
    <cellStyle name="Nota 6 4 2" xfId="4962" xr:uid="{00000000-0005-0000-0000-000065130000}"/>
    <cellStyle name="Nota 6 4 2 2" xfId="4963" xr:uid="{00000000-0005-0000-0000-000066130000}"/>
    <cellStyle name="Nota 6 4 3" xfId="4964" xr:uid="{00000000-0005-0000-0000-000067130000}"/>
    <cellStyle name="Nota 6 5" xfId="4965" xr:uid="{00000000-0005-0000-0000-000068130000}"/>
    <cellStyle name="Nota 6 5 2" xfId="4966" xr:uid="{00000000-0005-0000-0000-000069130000}"/>
    <cellStyle name="Nota 6 6" xfId="4967" xr:uid="{00000000-0005-0000-0000-00006A130000}"/>
    <cellStyle name="Nota 7" xfId="4968" xr:uid="{00000000-0005-0000-0000-00006B130000}"/>
    <cellStyle name="Nota 7 2" xfId="4969" xr:uid="{00000000-0005-0000-0000-00006C130000}"/>
    <cellStyle name="Nota 7 2 2" xfId="4970" xr:uid="{00000000-0005-0000-0000-00006D130000}"/>
    <cellStyle name="Nota 7 2 2 2" xfId="4971" xr:uid="{00000000-0005-0000-0000-00006E130000}"/>
    <cellStyle name="Nota 7 2 3" xfId="4972" xr:uid="{00000000-0005-0000-0000-00006F130000}"/>
    <cellStyle name="Nota 7 2 3 2" xfId="4973" xr:uid="{00000000-0005-0000-0000-000070130000}"/>
    <cellStyle name="Nota 7 2 4" xfId="4974" xr:uid="{00000000-0005-0000-0000-000071130000}"/>
    <cellStyle name="Nota 7 3" xfId="4975" xr:uid="{00000000-0005-0000-0000-000072130000}"/>
    <cellStyle name="Nota 7 3 2" xfId="4976" xr:uid="{00000000-0005-0000-0000-000073130000}"/>
    <cellStyle name="Nota 7 3 2 2" xfId="4977" xr:uid="{00000000-0005-0000-0000-000074130000}"/>
    <cellStyle name="Nota 7 3 3" xfId="4978" xr:uid="{00000000-0005-0000-0000-000075130000}"/>
    <cellStyle name="Nota 7 4" xfId="4979" xr:uid="{00000000-0005-0000-0000-000076130000}"/>
    <cellStyle name="Nota 7 4 2" xfId="4980" xr:uid="{00000000-0005-0000-0000-000077130000}"/>
    <cellStyle name="Nota 7 4 2 2" xfId="4981" xr:uid="{00000000-0005-0000-0000-000078130000}"/>
    <cellStyle name="Nota 7 4 3" xfId="4982" xr:uid="{00000000-0005-0000-0000-000079130000}"/>
    <cellStyle name="Nota 7 5" xfId="4983" xr:uid="{00000000-0005-0000-0000-00007A130000}"/>
    <cellStyle name="Nota 7 5 2" xfId="4984" xr:uid="{00000000-0005-0000-0000-00007B130000}"/>
    <cellStyle name="Nota 7 6" xfId="4985" xr:uid="{00000000-0005-0000-0000-00007C130000}"/>
    <cellStyle name="Nota 8" xfId="4986" xr:uid="{00000000-0005-0000-0000-00007D130000}"/>
    <cellStyle name="Nota 8 2" xfId="4987" xr:uid="{00000000-0005-0000-0000-00007E130000}"/>
    <cellStyle name="Nota 8 2 2" xfId="4988" xr:uid="{00000000-0005-0000-0000-00007F130000}"/>
    <cellStyle name="Nota 8 2 2 2" xfId="4989" xr:uid="{00000000-0005-0000-0000-000080130000}"/>
    <cellStyle name="Nota 8 2 3" xfId="4990" xr:uid="{00000000-0005-0000-0000-000081130000}"/>
    <cellStyle name="Nota 8 2 3 2" xfId="4991" xr:uid="{00000000-0005-0000-0000-000082130000}"/>
    <cellStyle name="Nota 8 2 4" xfId="4992" xr:uid="{00000000-0005-0000-0000-000083130000}"/>
    <cellStyle name="Nota 8 3" xfId="4993" xr:uid="{00000000-0005-0000-0000-000084130000}"/>
    <cellStyle name="Nota 8 3 2" xfId="4994" xr:uid="{00000000-0005-0000-0000-000085130000}"/>
    <cellStyle name="Nota 8 3 2 2" xfId="4995" xr:uid="{00000000-0005-0000-0000-000086130000}"/>
    <cellStyle name="Nota 8 3 3" xfId="4996" xr:uid="{00000000-0005-0000-0000-000087130000}"/>
    <cellStyle name="Nota 8 4" xfId="4997" xr:uid="{00000000-0005-0000-0000-000088130000}"/>
    <cellStyle name="Nota 8 4 2" xfId="4998" xr:uid="{00000000-0005-0000-0000-000089130000}"/>
    <cellStyle name="Nota 8 4 2 2" xfId="4999" xr:uid="{00000000-0005-0000-0000-00008A130000}"/>
    <cellStyle name="Nota 8 4 3" xfId="5000" xr:uid="{00000000-0005-0000-0000-00008B130000}"/>
    <cellStyle name="Nota 8 5" xfId="5001" xr:uid="{00000000-0005-0000-0000-00008C130000}"/>
    <cellStyle name="Nota 8 5 2" xfId="5002" xr:uid="{00000000-0005-0000-0000-00008D130000}"/>
    <cellStyle name="Nota 8 6" xfId="5003" xr:uid="{00000000-0005-0000-0000-00008E130000}"/>
    <cellStyle name="Nota 9" xfId="5004" xr:uid="{00000000-0005-0000-0000-00008F130000}"/>
    <cellStyle name="Nota 9 2" xfId="5005" xr:uid="{00000000-0005-0000-0000-000090130000}"/>
    <cellStyle name="Nota 9 2 2" xfId="5006" xr:uid="{00000000-0005-0000-0000-000091130000}"/>
    <cellStyle name="Nota 9 2 2 2" xfId="5007" xr:uid="{00000000-0005-0000-0000-000092130000}"/>
    <cellStyle name="Nota 9 2 3" xfId="5008" xr:uid="{00000000-0005-0000-0000-000093130000}"/>
    <cellStyle name="Nota 9 2 3 2" xfId="5009" xr:uid="{00000000-0005-0000-0000-000094130000}"/>
    <cellStyle name="Nota 9 2 4" xfId="5010" xr:uid="{00000000-0005-0000-0000-000095130000}"/>
    <cellStyle name="Nota 9 3" xfId="5011" xr:uid="{00000000-0005-0000-0000-000096130000}"/>
    <cellStyle name="Nota 9 3 2" xfId="5012" xr:uid="{00000000-0005-0000-0000-000097130000}"/>
    <cellStyle name="Nota 9 3 2 2" xfId="5013" xr:uid="{00000000-0005-0000-0000-000098130000}"/>
    <cellStyle name="Nota 9 3 3" xfId="5014" xr:uid="{00000000-0005-0000-0000-000099130000}"/>
    <cellStyle name="Nota 9 4" xfId="5015" xr:uid="{00000000-0005-0000-0000-00009A130000}"/>
    <cellStyle name="Nota 9 4 2" xfId="5016" xr:uid="{00000000-0005-0000-0000-00009B130000}"/>
    <cellStyle name="Nota 9 4 2 2" xfId="5017" xr:uid="{00000000-0005-0000-0000-00009C130000}"/>
    <cellStyle name="Nota 9 4 3" xfId="5018" xr:uid="{00000000-0005-0000-0000-00009D130000}"/>
    <cellStyle name="Nota 9 5" xfId="5019" xr:uid="{00000000-0005-0000-0000-00009E130000}"/>
    <cellStyle name="Nota 9 5 2" xfId="5020" xr:uid="{00000000-0005-0000-0000-00009F130000}"/>
    <cellStyle name="Nota 9 6" xfId="5021" xr:uid="{00000000-0005-0000-0000-0000A0130000}"/>
    <cellStyle name="Notas" xfId="5022" xr:uid="{00000000-0005-0000-0000-0000A1130000}"/>
    <cellStyle name="Note" xfId="5023" xr:uid="{00000000-0005-0000-0000-0000A2130000}"/>
    <cellStyle name="Note 2" xfId="5024" xr:uid="{00000000-0005-0000-0000-0000A3130000}"/>
    <cellStyle name="Output" xfId="5025" xr:uid="{00000000-0005-0000-0000-0000A4130000}"/>
    <cellStyle name="Output 2" xfId="5026" xr:uid="{00000000-0005-0000-0000-0000A5130000}"/>
    <cellStyle name="Output Line Items" xfId="5027" xr:uid="{00000000-0005-0000-0000-0000A6130000}"/>
    <cellStyle name="Output Line Items 2" xfId="5028" xr:uid="{00000000-0005-0000-0000-0000A7130000}"/>
    <cellStyle name="Percen - Style2" xfId="5029" xr:uid="{00000000-0005-0000-0000-0000A8130000}"/>
    <cellStyle name="Percent %" xfId="5030" xr:uid="{00000000-0005-0000-0000-0000A9130000}"/>
    <cellStyle name="Percent % Long Underline" xfId="5031" xr:uid="{00000000-0005-0000-0000-0000AA130000}"/>
    <cellStyle name="Percent (0)" xfId="5032" xr:uid="{00000000-0005-0000-0000-0000AB130000}"/>
    <cellStyle name="Percent (0) 2" xfId="5033" xr:uid="{00000000-0005-0000-0000-0000AC130000}"/>
    <cellStyle name="Percent [2]" xfId="5034" xr:uid="{00000000-0005-0000-0000-0000AD130000}"/>
    <cellStyle name="Percent 0.0%" xfId="5035" xr:uid="{00000000-0005-0000-0000-0000AE130000}"/>
    <cellStyle name="Percent 0.0% Long Underline" xfId="5036" xr:uid="{00000000-0005-0000-0000-0000AF130000}"/>
    <cellStyle name="Percent 0.00%" xfId="5037" xr:uid="{00000000-0005-0000-0000-0000B0130000}"/>
    <cellStyle name="Percent 0.00% Long Underline" xfId="5038" xr:uid="{00000000-0005-0000-0000-0000B1130000}"/>
    <cellStyle name="Percent 0.000%" xfId="5039" xr:uid="{00000000-0005-0000-0000-0000B2130000}"/>
    <cellStyle name="Percent 0.000% Long Underline" xfId="5040" xr:uid="{00000000-0005-0000-0000-0000B3130000}"/>
    <cellStyle name="Percent 2" xfId="5041" xr:uid="{00000000-0005-0000-0000-0000B4130000}"/>
    <cellStyle name="Percent 2 2" xfId="5042" xr:uid="{00000000-0005-0000-0000-0000B5130000}"/>
    <cellStyle name="Percent 2 2 2" xfId="5043" xr:uid="{00000000-0005-0000-0000-0000B6130000}"/>
    <cellStyle name="Percent 2 3" xfId="5044" xr:uid="{00000000-0005-0000-0000-0000B7130000}"/>
    <cellStyle name="Percent 3" xfId="5045" xr:uid="{00000000-0005-0000-0000-0000B8130000}"/>
    <cellStyle name="Popis" xfId="5046" xr:uid="{00000000-0005-0000-0000-0000B9130000}"/>
    <cellStyle name="Popis 2" xfId="5047" xr:uid="{00000000-0005-0000-0000-0000BA130000}"/>
    <cellStyle name="Porcentagem" xfId="5797" builtinId="5"/>
    <cellStyle name="Porcentagem 2" xfId="5048" xr:uid="{00000000-0005-0000-0000-0000BC130000}"/>
    <cellStyle name="Porcentagem 2 2" xfId="5049" xr:uid="{00000000-0005-0000-0000-0000BD130000}"/>
    <cellStyle name="Porcentagem 2 2 2" xfId="5050" xr:uid="{00000000-0005-0000-0000-0000BE130000}"/>
    <cellStyle name="Porcentagem 2 3" xfId="5051" xr:uid="{00000000-0005-0000-0000-0000BF130000}"/>
    <cellStyle name="Porcentagem 2 4" xfId="5052" xr:uid="{00000000-0005-0000-0000-0000C0130000}"/>
    <cellStyle name="Porcentagem 2 5" xfId="5053" xr:uid="{00000000-0005-0000-0000-0000C1130000}"/>
    <cellStyle name="Porcentagem 2 6" xfId="5054" xr:uid="{00000000-0005-0000-0000-0000C2130000}"/>
    <cellStyle name="Porcentagem 2 7" xfId="5055" xr:uid="{00000000-0005-0000-0000-0000C3130000}"/>
    <cellStyle name="Porcentagem 3" xfId="5056" xr:uid="{00000000-0005-0000-0000-0000C4130000}"/>
    <cellStyle name="Porcentagem 3 2" xfId="5057" xr:uid="{00000000-0005-0000-0000-0000C5130000}"/>
    <cellStyle name="Porcentagem 3 2 2" xfId="5058" xr:uid="{00000000-0005-0000-0000-0000C6130000}"/>
    <cellStyle name="Porcentagem 3 3" xfId="5059" xr:uid="{00000000-0005-0000-0000-0000C7130000}"/>
    <cellStyle name="Porcentagem 3 4" xfId="5060" xr:uid="{00000000-0005-0000-0000-0000C8130000}"/>
    <cellStyle name="Porcentagem 3 5" xfId="5061" xr:uid="{00000000-0005-0000-0000-0000C9130000}"/>
    <cellStyle name="Porcentagem 3 6" xfId="5062" xr:uid="{00000000-0005-0000-0000-0000CA130000}"/>
    <cellStyle name="Porcentagem 3 7" xfId="5063" xr:uid="{00000000-0005-0000-0000-0000CB130000}"/>
    <cellStyle name="Porcentagem 4" xfId="5064" xr:uid="{00000000-0005-0000-0000-0000CC130000}"/>
    <cellStyle name="Porcentagem 5" xfId="5065" xr:uid="{00000000-0005-0000-0000-0000CD130000}"/>
    <cellStyle name="Porcentagem 5 2" xfId="5066" xr:uid="{00000000-0005-0000-0000-0000CE130000}"/>
    <cellStyle name="Porcentagem 5 2 2" xfId="5067" xr:uid="{00000000-0005-0000-0000-0000CF130000}"/>
    <cellStyle name="Porcentagem 5 3" xfId="5068" xr:uid="{00000000-0005-0000-0000-0000D0130000}"/>
    <cellStyle name="Porcentagem 5 4" xfId="5069" xr:uid="{00000000-0005-0000-0000-0000D1130000}"/>
    <cellStyle name="Porcentagem 5 5" xfId="5070" xr:uid="{00000000-0005-0000-0000-0000D2130000}"/>
    <cellStyle name="Porcentagem 5 6" xfId="5071" xr:uid="{00000000-0005-0000-0000-0000D3130000}"/>
    <cellStyle name="Porcentagem 6" xfId="5072" xr:uid="{00000000-0005-0000-0000-0000D4130000}"/>
    <cellStyle name="Porcentagem 6 2" xfId="5073" xr:uid="{00000000-0005-0000-0000-0000D5130000}"/>
    <cellStyle name="Porcentagem 7" xfId="5074" xr:uid="{00000000-0005-0000-0000-0000D6130000}"/>
    <cellStyle name="Porcentual 2" xfId="5075" xr:uid="{00000000-0005-0000-0000-0000D7130000}"/>
    <cellStyle name="Produto" xfId="5076" xr:uid="{00000000-0005-0000-0000-0000D8130000}"/>
    <cellStyle name="PSChar" xfId="5077" xr:uid="{00000000-0005-0000-0000-0000D9130000}"/>
    <cellStyle name="PSDate" xfId="5078" xr:uid="{00000000-0005-0000-0000-0000DA130000}"/>
    <cellStyle name="PSDec" xfId="5079" xr:uid="{00000000-0005-0000-0000-0000DB130000}"/>
    <cellStyle name="PSHeading" xfId="5080" xr:uid="{00000000-0005-0000-0000-0000DC130000}"/>
    <cellStyle name="PSInt" xfId="5081" xr:uid="{00000000-0005-0000-0000-0000DD130000}"/>
    <cellStyle name="PSSpacer" xfId="5082" xr:uid="{00000000-0005-0000-0000-0000DE130000}"/>
    <cellStyle name="Red" xfId="5083" xr:uid="{00000000-0005-0000-0000-0000DF130000}"/>
    <cellStyle name="Saída 2" xfId="5084" xr:uid="{00000000-0005-0000-0000-0000E0130000}"/>
    <cellStyle name="Saída 2 2" xfId="5085" xr:uid="{00000000-0005-0000-0000-0000E1130000}"/>
    <cellStyle name="Saída 2 2 2" xfId="5086" xr:uid="{00000000-0005-0000-0000-0000E2130000}"/>
    <cellStyle name="Saída 2 3" xfId="5087" xr:uid="{00000000-0005-0000-0000-0000E3130000}"/>
    <cellStyle name="Saída 2 3 2" xfId="5088" xr:uid="{00000000-0005-0000-0000-0000E4130000}"/>
    <cellStyle name="Saída 2 4" xfId="5089" xr:uid="{00000000-0005-0000-0000-0000E5130000}"/>
    <cellStyle name="Saída 3" xfId="5090" xr:uid="{00000000-0005-0000-0000-0000E6130000}"/>
    <cellStyle name="Saída 3 2" xfId="5091" xr:uid="{00000000-0005-0000-0000-0000E7130000}"/>
    <cellStyle name="Saída 4" xfId="5092" xr:uid="{00000000-0005-0000-0000-0000E8130000}"/>
    <cellStyle name="Saída 4 2" xfId="5093" xr:uid="{00000000-0005-0000-0000-0000E9130000}"/>
    <cellStyle name="Saída 5" xfId="5094" xr:uid="{00000000-0005-0000-0000-0000EA130000}"/>
    <cellStyle name="Saída 5 2" xfId="5095" xr:uid="{00000000-0005-0000-0000-0000EB130000}"/>
    <cellStyle name="Saída 6" xfId="5096" xr:uid="{00000000-0005-0000-0000-0000EC130000}"/>
    <cellStyle name="Saída 6 2" xfId="5097" xr:uid="{00000000-0005-0000-0000-0000ED130000}"/>
    <cellStyle name="Saída 7" xfId="5098" xr:uid="{00000000-0005-0000-0000-0000EE130000}"/>
    <cellStyle name="Saída 7 2" xfId="5099" xr:uid="{00000000-0005-0000-0000-0000EF130000}"/>
    <cellStyle name="Saída 8" xfId="5100" xr:uid="{00000000-0005-0000-0000-0000F0130000}"/>
    <cellStyle name="Saída 9" xfId="5101" xr:uid="{00000000-0005-0000-0000-0000F1130000}"/>
    <cellStyle name="Salida" xfId="5102" xr:uid="{00000000-0005-0000-0000-0000F2130000}"/>
    <cellStyle name="SAPBEXchaText" xfId="5103" xr:uid="{00000000-0005-0000-0000-0000F3130000}"/>
    <cellStyle name="SAPBEXformats" xfId="5104" xr:uid="{00000000-0005-0000-0000-0000F4130000}"/>
    <cellStyle name="SAPBEXstdData" xfId="5105" xr:uid="{00000000-0005-0000-0000-0000F5130000}"/>
    <cellStyle name="SAPBEXstdItem" xfId="5106" xr:uid="{00000000-0005-0000-0000-0000F6130000}"/>
    <cellStyle name="SAPBEXtitle" xfId="5107" xr:uid="{00000000-0005-0000-0000-0000F7130000}"/>
    <cellStyle name="SAPError" xfId="5108" xr:uid="{00000000-0005-0000-0000-0000F8130000}"/>
    <cellStyle name="SAPError 2" xfId="5109" xr:uid="{00000000-0005-0000-0000-0000F9130000}"/>
    <cellStyle name="SAPError 3" xfId="5110" xr:uid="{00000000-0005-0000-0000-0000FA130000}"/>
    <cellStyle name="SAPKey" xfId="5111" xr:uid="{00000000-0005-0000-0000-0000FB130000}"/>
    <cellStyle name="SAPKey 2" xfId="5112" xr:uid="{00000000-0005-0000-0000-0000FC130000}"/>
    <cellStyle name="SAPKey 3" xfId="5113" xr:uid="{00000000-0005-0000-0000-0000FD130000}"/>
    <cellStyle name="SAPLocked" xfId="5114" xr:uid="{00000000-0005-0000-0000-0000FE130000}"/>
    <cellStyle name="SAPLocked 2" xfId="5115" xr:uid="{00000000-0005-0000-0000-0000FF130000}"/>
    <cellStyle name="SAPLocked 3" xfId="5116" xr:uid="{00000000-0005-0000-0000-000000140000}"/>
    <cellStyle name="SAPOutput" xfId="5117" xr:uid="{00000000-0005-0000-0000-000001140000}"/>
    <cellStyle name="SAPOutput 2" xfId="5118" xr:uid="{00000000-0005-0000-0000-000002140000}"/>
    <cellStyle name="SAPOutput 3" xfId="5119" xr:uid="{00000000-0005-0000-0000-000003140000}"/>
    <cellStyle name="SAPSpace" xfId="5120" xr:uid="{00000000-0005-0000-0000-000004140000}"/>
    <cellStyle name="SAPSpace 2" xfId="5121" xr:uid="{00000000-0005-0000-0000-000005140000}"/>
    <cellStyle name="SAPSpace 3" xfId="5122" xr:uid="{00000000-0005-0000-0000-000006140000}"/>
    <cellStyle name="SAPText" xfId="5123" xr:uid="{00000000-0005-0000-0000-000007140000}"/>
    <cellStyle name="SAPText 2" xfId="5124" xr:uid="{00000000-0005-0000-0000-000008140000}"/>
    <cellStyle name="SAPText 3" xfId="5125" xr:uid="{00000000-0005-0000-0000-000009140000}"/>
    <cellStyle name="SAPUnLocked" xfId="5126" xr:uid="{00000000-0005-0000-0000-00000A140000}"/>
    <cellStyle name="SAPUnLocked 2" xfId="5127" xr:uid="{00000000-0005-0000-0000-00000B140000}"/>
    <cellStyle name="SAPUnLocked 3" xfId="5128" xr:uid="{00000000-0005-0000-0000-00000C140000}"/>
    <cellStyle name="Sep. milhar [0]" xfId="5129" xr:uid="{00000000-0005-0000-0000-00000D140000}"/>
    <cellStyle name="Separador de milhares 10" xfId="5130" xr:uid="{00000000-0005-0000-0000-00000E140000}"/>
    <cellStyle name="Separador de milhares 10 2" xfId="5131" xr:uid="{00000000-0005-0000-0000-00000F140000}"/>
    <cellStyle name="Separador de milhares 10 2 2" xfId="5132" xr:uid="{00000000-0005-0000-0000-000010140000}"/>
    <cellStyle name="Separador de milhares 10 3" xfId="5133" xr:uid="{00000000-0005-0000-0000-000011140000}"/>
    <cellStyle name="Separador de milhares 10 4" xfId="5134" xr:uid="{00000000-0005-0000-0000-000012140000}"/>
    <cellStyle name="Separador de milhares 11" xfId="5135" xr:uid="{00000000-0005-0000-0000-000013140000}"/>
    <cellStyle name="Separador de milhares 11 2" xfId="5136" xr:uid="{00000000-0005-0000-0000-000014140000}"/>
    <cellStyle name="Separador de milhares 11 2 2" xfId="5137" xr:uid="{00000000-0005-0000-0000-000015140000}"/>
    <cellStyle name="Separador de milhares 11 3" xfId="5138" xr:uid="{00000000-0005-0000-0000-000016140000}"/>
    <cellStyle name="Separador de milhares 11 4" xfId="5139" xr:uid="{00000000-0005-0000-0000-000017140000}"/>
    <cellStyle name="Separador de milhares 11 5" xfId="5140" xr:uid="{00000000-0005-0000-0000-000018140000}"/>
    <cellStyle name="Separador de milhares 12" xfId="5141" xr:uid="{00000000-0005-0000-0000-000019140000}"/>
    <cellStyle name="Separador de milhares 12 2" xfId="5142" xr:uid="{00000000-0005-0000-0000-00001A140000}"/>
    <cellStyle name="Separador de milhares 12 2 2" xfId="5143" xr:uid="{00000000-0005-0000-0000-00001B140000}"/>
    <cellStyle name="Separador de milhares 12 3" xfId="5144" xr:uid="{00000000-0005-0000-0000-00001C140000}"/>
    <cellStyle name="Separador de milhares 12 4" xfId="5145" xr:uid="{00000000-0005-0000-0000-00001D140000}"/>
    <cellStyle name="Separador de milhares 12 5" xfId="5146" xr:uid="{00000000-0005-0000-0000-00001E140000}"/>
    <cellStyle name="Separador de milhares 13" xfId="5147" xr:uid="{00000000-0005-0000-0000-00001F140000}"/>
    <cellStyle name="Separador de milhares 13 2" xfId="5148" xr:uid="{00000000-0005-0000-0000-000020140000}"/>
    <cellStyle name="Separador de milhares 13 2 2" xfId="5149" xr:uid="{00000000-0005-0000-0000-000021140000}"/>
    <cellStyle name="Separador de milhares 13 3" xfId="5150" xr:uid="{00000000-0005-0000-0000-000022140000}"/>
    <cellStyle name="Separador de milhares 13 4" xfId="5151" xr:uid="{00000000-0005-0000-0000-000023140000}"/>
    <cellStyle name="Separador de milhares 14" xfId="5152" xr:uid="{00000000-0005-0000-0000-000024140000}"/>
    <cellStyle name="Separador de milhares 14 2" xfId="5153" xr:uid="{00000000-0005-0000-0000-000025140000}"/>
    <cellStyle name="Separador de milhares 14 2 2" xfId="5154" xr:uid="{00000000-0005-0000-0000-000026140000}"/>
    <cellStyle name="Separador de milhares 14 3" xfId="5155" xr:uid="{00000000-0005-0000-0000-000027140000}"/>
    <cellStyle name="Separador de milhares 14 4" xfId="5156" xr:uid="{00000000-0005-0000-0000-000028140000}"/>
    <cellStyle name="Separador de milhares 15" xfId="5157" xr:uid="{00000000-0005-0000-0000-000029140000}"/>
    <cellStyle name="Separador de milhares 15 2" xfId="5158" xr:uid="{00000000-0005-0000-0000-00002A140000}"/>
    <cellStyle name="Separador de milhares 15 2 2" xfId="5159" xr:uid="{00000000-0005-0000-0000-00002B140000}"/>
    <cellStyle name="Separador de milhares 15 3" xfId="5160" xr:uid="{00000000-0005-0000-0000-00002C140000}"/>
    <cellStyle name="Separador de milhares 15 4" xfId="5161" xr:uid="{00000000-0005-0000-0000-00002D140000}"/>
    <cellStyle name="Separador de milhares 16" xfId="5162" xr:uid="{00000000-0005-0000-0000-00002E140000}"/>
    <cellStyle name="Separador de milhares 16 2" xfId="5163" xr:uid="{00000000-0005-0000-0000-00002F140000}"/>
    <cellStyle name="Separador de milhares 16 2 2" xfId="5164" xr:uid="{00000000-0005-0000-0000-000030140000}"/>
    <cellStyle name="Separador de milhares 16 3" xfId="5165" xr:uid="{00000000-0005-0000-0000-000031140000}"/>
    <cellStyle name="Separador de milhares 16 4" xfId="5166" xr:uid="{00000000-0005-0000-0000-000032140000}"/>
    <cellStyle name="Separador de milhares 17" xfId="5167" xr:uid="{00000000-0005-0000-0000-000033140000}"/>
    <cellStyle name="Separador de milhares 17 2" xfId="5168" xr:uid="{00000000-0005-0000-0000-000034140000}"/>
    <cellStyle name="Separador de milhares 17 2 2" xfId="5169" xr:uid="{00000000-0005-0000-0000-000035140000}"/>
    <cellStyle name="Separador de milhares 17 3" xfId="5170" xr:uid="{00000000-0005-0000-0000-000036140000}"/>
    <cellStyle name="Separador de milhares 18" xfId="5171" xr:uid="{00000000-0005-0000-0000-000037140000}"/>
    <cellStyle name="Separador de milhares 18 2" xfId="5172" xr:uid="{00000000-0005-0000-0000-000038140000}"/>
    <cellStyle name="Separador de milhares 18 2 2" xfId="5173" xr:uid="{00000000-0005-0000-0000-000039140000}"/>
    <cellStyle name="Separador de milhares 18 3" xfId="5174" xr:uid="{00000000-0005-0000-0000-00003A140000}"/>
    <cellStyle name="Separador de milhares 19" xfId="5175" xr:uid="{00000000-0005-0000-0000-00003B140000}"/>
    <cellStyle name="Separador de milhares 19 2" xfId="5176" xr:uid="{00000000-0005-0000-0000-00003C140000}"/>
    <cellStyle name="Separador de milhares 19 2 2" xfId="5177" xr:uid="{00000000-0005-0000-0000-00003D140000}"/>
    <cellStyle name="Separador de milhares 19 3" xfId="5178" xr:uid="{00000000-0005-0000-0000-00003E140000}"/>
    <cellStyle name="Separador de milhares 2" xfId="5179" xr:uid="{00000000-0005-0000-0000-00003F140000}"/>
    <cellStyle name="Separador de milhares 2 2" xfId="5180" xr:uid="{00000000-0005-0000-0000-000040140000}"/>
    <cellStyle name="Separador de milhares 2 2 2" xfId="5181" xr:uid="{00000000-0005-0000-0000-000041140000}"/>
    <cellStyle name="Separador de milhares 2 2 3" xfId="5182" xr:uid="{00000000-0005-0000-0000-000042140000}"/>
    <cellStyle name="Separador de milhares 2 2 4" xfId="5183" xr:uid="{00000000-0005-0000-0000-000043140000}"/>
    <cellStyle name="Separador de milhares 2 2 5" xfId="5184" xr:uid="{00000000-0005-0000-0000-000044140000}"/>
    <cellStyle name="Separador de milhares 2 2 6" xfId="5185" xr:uid="{00000000-0005-0000-0000-000045140000}"/>
    <cellStyle name="Separador de milhares 2 3" xfId="5186" xr:uid="{00000000-0005-0000-0000-000046140000}"/>
    <cellStyle name="Separador de milhares 2 3 2" xfId="5187" xr:uid="{00000000-0005-0000-0000-000047140000}"/>
    <cellStyle name="Separador de milhares 2 3 3" xfId="5188" xr:uid="{00000000-0005-0000-0000-000048140000}"/>
    <cellStyle name="Separador de milhares 2 3 4" xfId="5189" xr:uid="{00000000-0005-0000-0000-000049140000}"/>
    <cellStyle name="Separador de milhares 2 4" xfId="5190" xr:uid="{00000000-0005-0000-0000-00004A140000}"/>
    <cellStyle name="Separador de milhares 2 4 2" xfId="5191" xr:uid="{00000000-0005-0000-0000-00004B140000}"/>
    <cellStyle name="Separador de milhares 2 4 3" xfId="5192" xr:uid="{00000000-0005-0000-0000-00004C140000}"/>
    <cellStyle name="Separador de milhares 2 5" xfId="5193" xr:uid="{00000000-0005-0000-0000-00004D140000}"/>
    <cellStyle name="Separador de milhares 2 5 2" xfId="5194" xr:uid="{00000000-0005-0000-0000-00004E140000}"/>
    <cellStyle name="Separador de milhares 2 5 2 2" xfId="5195" xr:uid="{00000000-0005-0000-0000-00004F140000}"/>
    <cellStyle name="Separador de milhares 2 5 3" xfId="5196" xr:uid="{00000000-0005-0000-0000-000050140000}"/>
    <cellStyle name="Separador de milhares 2 6" xfId="5197" xr:uid="{00000000-0005-0000-0000-000051140000}"/>
    <cellStyle name="Separador de milhares 2 6 2" xfId="5198" xr:uid="{00000000-0005-0000-0000-000052140000}"/>
    <cellStyle name="Separador de milhares 2 7" xfId="5199" xr:uid="{00000000-0005-0000-0000-000053140000}"/>
    <cellStyle name="Separador de milhares 2 8" xfId="5200" xr:uid="{00000000-0005-0000-0000-000054140000}"/>
    <cellStyle name="Separador de milhares 2 9" xfId="5201" xr:uid="{00000000-0005-0000-0000-000055140000}"/>
    <cellStyle name="Separador de milhares 20" xfId="5202" xr:uid="{00000000-0005-0000-0000-000056140000}"/>
    <cellStyle name="Separador de milhares 20 2" xfId="5203" xr:uid="{00000000-0005-0000-0000-000057140000}"/>
    <cellStyle name="Separador de milhares 20 2 2" xfId="5204" xr:uid="{00000000-0005-0000-0000-000058140000}"/>
    <cellStyle name="Separador de milhares 20 3" xfId="5205" xr:uid="{00000000-0005-0000-0000-000059140000}"/>
    <cellStyle name="Separador de milhares 21" xfId="5206" xr:uid="{00000000-0005-0000-0000-00005A140000}"/>
    <cellStyle name="Separador de milhares 21 2" xfId="5207" xr:uid="{00000000-0005-0000-0000-00005B140000}"/>
    <cellStyle name="Separador de milhares 21 2 2" xfId="5208" xr:uid="{00000000-0005-0000-0000-00005C140000}"/>
    <cellStyle name="Separador de milhares 21 3" xfId="5209" xr:uid="{00000000-0005-0000-0000-00005D140000}"/>
    <cellStyle name="Separador de milhares 22" xfId="5210" xr:uid="{00000000-0005-0000-0000-00005E140000}"/>
    <cellStyle name="Separador de milhares 22 2" xfId="5211" xr:uid="{00000000-0005-0000-0000-00005F140000}"/>
    <cellStyle name="Separador de milhares 22 2 2" xfId="5212" xr:uid="{00000000-0005-0000-0000-000060140000}"/>
    <cellStyle name="Separador de milhares 22 3" xfId="5213" xr:uid="{00000000-0005-0000-0000-000061140000}"/>
    <cellStyle name="Separador de milhares 23" xfId="5214" xr:uid="{00000000-0005-0000-0000-000062140000}"/>
    <cellStyle name="Separador de milhares 23 2" xfId="5215" xr:uid="{00000000-0005-0000-0000-000063140000}"/>
    <cellStyle name="Separador de milhares 23 2 2" xfId="5216" xr:uid="{00000000-0005-0000-0000-000064140000}"/>
    <cellStyle name="Separador de milhares 23 3" xfId="5217" xr:uid="{00000000-0005-0000-0000-000065140000}"/>
    <cellStyle name="Separador de milhares 24" xfId="5218" xr:uid="{00000000-0005-0000-0000-000066140000}"/>
    <cellStyle name="Separador de milhares 24 2" xfId="5219" xr:uid="{00000000-0005-0000-0000-000067140000}"/>
    <cellStyle name="Separador de milhares 24 2 2" xfId="5220" xr:uid="{00000000-0005-0000-0000-000068140000}"/>
    <cellStyle name="Separador de milhares 24 3" xfId="5221" xr:uid="{00000000-0005-0000-0000-000069140000}"/>
    <cellStyle name="Separador de milhares 25" xfId="5222" xr:uid="{00000000-0005-0000-0000-00006A140000}"/>
    <cellStyle name="Separador de milhares 25 2" xfId="5223" xr:uid="{00000000-0005-0000-0000-00006B140000}"/>
    <cellStyle name="Separador de milhares 26" xfId="5224" xr:uid="{00000000-0005-0000-0000-00006C140000}"/>
    <cellStyle name="Separador de milhares 26 2" xfId="5225" xr:uid="{00000000-0005-0000-0000-00006D140000}"/>
    <cellStyle name="Separador de milhares 27" xfId="5226" xr:uid="{00000000-0005-0000-0000-00006E140000}"/>
    <cellStyle name="Separador de milhares 27 2" xfId="5227" xr:uid="{00000000-0005-0000-0000-00006F140000}"/>
    <cellStyle name="Separador de milhares 28" xfId="5228" xr:uid="{00000000-0005-0000-0000-000070140000}"/>
    <cellStyle name="Separador de milhares 29" xfId="5229" xr:uid="{00000000-0005-0000-0000-000071140000}"/>
    <cellStyle name="Separador de milhares 3" xfId="5230" xr:uid="{00000000-0005-0000-0000-000072140000}"/>
    <cellStyle name="Separador de milhares 3 10" xfId="5231" xr:uid="{00000000-0005-0000-0000-000073140000}"/>
    <cellStyle name="Separador de milhares 3 10 2" xfId="5232" xr:uid="{00000000-0005-0000-0000-000074140000}"/>
    <cellStyle name="Separador de milhares 3 10 2 2" xfId="5233" xr:uid="{00000000-0005-0000-0000-000075140000}"/>
    <cellStyle name="Separador de milhares 3 10 2 2 2" xfId="5234" xr:uid="{00000000-0005-0000-0000-000076140000}"/>
    <cellStyle name="Separador de milhares 3 10 2 2 2 2" xfId="5235" xr:uid="{00000000-0005-0000-0000-000077140000}"/>
    <cellStyle name="Separador de milhares 3 10 2 2 2 2 2" xfId="5236" xr:uid="{00000000-0005-0000-0000-000078140000}"/>
    <cellStyle name="Separador de milhares 3 10 2 2 2 2 3" xfId="5237" xr:uid="{00000000-0005-0000-0000-000079140000}"/>
    <cellStyle name="Separador de milhares 3 10 2 2 2 2 4" xfId="5238" xr:uid="{00000000-0005-0000-0000-00007A140000}"/>
    <cellStyle name="Separador de milhares 3 10 2 2 2 3" xfId="5239" xr:uid="{00000000-0005-0000-0000-00007B140000}"/>
    <cellStyle name="Separador de milhares 3 10 2 2 2 4" xfId="5240" xr:uid="{00000000-0005-0000-0000-00007C140000}"/>
    <cellStyle name="Separador de milhares 3 10 2 2 2 5" xfId="5241" xr:uid="{00000000-0005-0000-0000-00007D140000}"/>
    <cellStyle name="Separador de milhares 3 10 2 2 2 6" xfId="5242" xr:uid="{00000000-0005-0000-0000-00007E140000}"/>
    <cellStyle name="Separador de milhares 3 10 2 2 3" xfId="5243" xr:uid="{00000000-0005-0000-0000-00007F140000}"/>
    <cellStyle name="Separador de milhares 3 10 2 2 3 2" xfId="5244" xr:uid="{00000000-0005-0000-0000-000080140000}"/>
    <cellStyle name="Separador de milhares 3 10 2 2 3 3" xfId="5245" xr:uid="{00000000-0005-0000-0000-000081140000}"/>
    <cellStyle name="Separador de milhares 3 10 2 2 3 4" xfId="5246" xr:uid="{00000000-0005-0000-0000-000082140000}"/>
    <cellStyle name="Separador de milhares 3 10 2 2 4" xfId="5247" xr:uid="{00000000-0005-0000-0000-000083140000}"/>
    <cellStyle name="Separador de milhares 3 10 2 2 5" xfId="5248" xr:uid="{00000000-0005-0000-0000-000084140000}"/>
    <cellStyle name="Separador de milhares 3 10 2 2 6" xfId="5249" xr:uid="{00000000-0005-0000-0000-000085140000}"/>
    <cellStyle name="Separador de milhares 3 10 2 3" xfId="5250" xr:uid="{00000000-0005-0000-0000-000086140000}"/>
    <cellStyle name="Separador de milhares 3 10 2 4" xfId="5251" xr:uid="{00000000-0005-0000-0000-000087140000}"/>
    <cellStyle name="Separador de milhares 3 10 2 5" xfId="5252" xr:uid="{00000000-0005-0000-0000-000088140000}"/>
    <cellStyle name="Separador de milhares 3 10 2 5 2" xfId="5253" xr:uid="{00000000-0005-0000-0000-000089140000}"/>
    <cellStyle name="Separador de milhares 3 10 2 5 3" xfId="5254" xr:uid="{00000000-0005-0000-0000-00008A140000}"/>
    <cellStyle name="Separador de milhares 3 10 2 5 4" xfId="5255" xr:uid="{00000000-0005-0000-0000-00008B140000}"/>
    <cellStyle name="Separador de milhares 3 10 2 6" xfId="5256" xr:uid="{00000000-0005-0000-0000-00008C140000}"/>
    <cellStyle name="Separador de milhares 3 10 2 7" xfId="5257" xr:uid="{00000000-0005-0000-0000-00008D140000}"/>
    <cellStyle name="Separador de milhares 3 10 2 8" xfId="5258" xr:uid="{00000000-0005-0000-0000-00008E140000}"/>
    <cellStyle name="Separador de milhares 3 10 2 9" xfId="5259" xr:uid="{00000000-0005-0000-0000-00008F140000}"/>
    <cellStyle name="Separador de milhares 3 10 3" xfId="5260" xr:uid="{00000000-0005-0000-0000-000090140000}"/>
    <cellStyle name="Separador de milhares 3 10 3 2" xfId="5261" xr:uid="{00000000-0005-0000-0000-000091140000}"/>
    <cellStyle name="Separador de milhares 3 10 3 2 2" xfId="5262" xr:uid="{00000000-0005-0000-0000-000092140000}"/>
    <cellStyle name="Separador de milhares 3 10 3 2 2 2" xfId="5263" xr:uid="{00000000-0005-0000-0000-000093140000}"/>
    <cellStyle name="Separador de milhares 3 10 3 2 2 3" xfId="5264" xr:uid="{00000000-0005-0000-0000-000094140000}"/>
    <cellStyle name="Separador de milhares 3 10 3 2 2 4" xfId="5265" xr:uid="{00000000-0005-0000-0000-000095140000}"/>
    <cellStyle name="Separador de milhares 3 10 3 2 3" xfId="5266" xr:uid="{00000000-0005-0000-0000-000096140000}"/>
    <cellStyle name="Separador de milhares 3 10 3 2 4" xfId="5267" xr:uid="{00000000-0005-0000-0000-000097140000}"/>
    <cellStyle name="Separador de milhares 3 10 3 2 5" xfId="5268" xr:uid="{00000000-0005-0000-0000-000098140000}"/>
    <cellStyle name="Separador de milhares 3 10 3 2 6" xfId="5269" xr:uid="{00000000-0005-0000-0000-000099140000}"/>
    <cellStyle name="Separador de milhares 3 10 3 3" xfId="5270" xr:uid="{00000000-0005-0000-0000-00009A140000}"/>
    <cellStyle name="Separador de milhares 3 10 3 3 2" xfId="5271" xr:uid="{00000000-0005-0000-0000-00009B140000}"/>
    <cellStyle name="Separador de milhares 3 10 3 3 3" xfId="5272" xr:uid="{00000000-0005-0000-0000-00009C140000}"/>
    <cellStyle name="Separador de milhares 3 10 3 3 4" xfId="5273" xr:uid="{00000000-0005-0000-0000-00009D140000}"/>
    <cellStyle name="Separador de milhares 3 10 3 4" xfId="5274" xr:uid="{00000000-0005-0000-0000-00009E140000}"/>
    <cellStyle name="Separador de milhares 3 10 3 5" xfId="5275" xr:uid="{00000000-0005-0000-0000-00009F140000}"/>
    <cellStyle name="Separador de milhares 3 10 3 6" xfId="5276" xr:uid="{00000000-0005-0000-0000-0000A0140000}"/>
    <cellStyle name="Separador de milhares 3 10 4" xfId="5277" xr:uid="{00000000-0005-0000-0000-0000A1140000}"/>
    <cellStyle name="Separador de milhares 3 10 5" xfId="5278" xr:uid="{00000000-0005-0000-0000-0000A2140000}"/>
    <cellStyle name="Separador de milhares 3 10 5 2" xfId="5279" xr:uid="{00000000-0005-0000-0000-0000A3140000}"/>
    <cellStyle name="Separador de milhares 3 10 5 3" xfId="5280" xr:uid="{00000000-0005-0000-0000-0000A4140000}"/>
    <cellStyle name="Separador de milhares 3 10 5 4" xfId="5281" xr:uid="{00000000-0005-0000-0000-0000A5140000}"/>
    <cellStyle name="Separador de milhares 3 10 6" xfId="5282" xr:uid="{00000000-0005-0000-0000-0000A6140000}"/>
    <cellStyle name="Separador de milhares 3 10 7" xfId="5283" xr:uid="{00000000-0005-0000-0000-0000A7140000}"/>
    <cellStyle name="Separador de milhares 3 10 8" xfId="5284" xr:uid="{00000000-0005-0000-0000-0000A8140000}"/>
    <cellStyle name="Separador de milhares 3 10 9" xfId="5285" xr:uid="{00000000-0005-0000-0000-0000A9140000}"/>
    <cellStyle name="Separador de milhares 3 11" xfId="5286" xr:uid="{00000000-0005-0000-0000-0000AA140000}"/>
    <cellStyle name="Separador de milhares 3 12" xfId="5287" xr:uid="{00000000-0005-0000-0000-0000AB140000}"/>
    <cellStyle name="Separador de milhares 3 13" xfId="5288" xr:uid="{00000000-0005-0000-0000-0000AC140000}"/>
    <cellStyle name="Separador de milhares 3 14" xfId="5289" xr:uid="{00000000-0005-0000-0000-0000AD140000}"/>
    <cellStyle name="Separador de milhares 3 15" xfId="5290" xr:uid="{00000000-0005-0000-0000-0000AE140000}"/>
    <cellStyle name="Separador de milhares 3 16" xfId="5291" xr:uid="{00000000-0005-0000-0000-0000AF140000}"/>
    <cellStyle name="Separador de milhares 3 17" xfId="5292" xr:uid="{00000000-0005-0000-0000-0000B0140000}"/>
    <cellStyle name="Separador de milhares 3 18" xfId="5293" xr:uid="{00000000-0005-0000-0000-0000B1140000}"/>
    <cellStyle name="Separador de milhares 3 19" xfId="5294" xr:uid="{00000000-0005-0000-0000-0000B2140000}"/>
    <cellStyle name="Separador de milhares 3 2" xfId="5295" xr:uid="{00000000-0005-0000-0000-0000B3140000}"/>
    <cellStyle name="Separador de milhares 3 2 2" xfId="5296" xr:uid="{00000000-0005-0000-0000-0000B4140000}"/>
    <cellStyle name="Separador de milhares 3 2 3" xfId="5297" xr:uid="{00000000-0005-0000-0000-0000B5140000}"/>
    <cellStyle name="Separador de milhares 3 2 4" xfId="5298" xr:uid="{00000000-0005-0000-0000-0000B6140000}"/>
    <cellStyle name="Separador de milhares 3 2 5" xfId="5299" xr:uid="{00000000-0005-0000-0000-0000B7140000}"/>
    <cellStyle name="Separador de milhares 3 2 6" xfId="5300" xr:uid="{00000000-0005-0000-0000-0000B8140000}"/>
    <cellStyle name="Separador de milhares 3 20" xfId="5301" xr:uid="{00000000-0005-0000-0000-0000B9140000}"/>
    <cellStyle name="Separador de milhares 3 21" xfId="5302" xr:uid="{00000000-0005-0000-0000-0000BA140000}"/>
    <cellStyle name="Separador de milhares 3 21 2" xfId="5303" xr:uid="{00000000-0005-0000-0000-0000BB140000}"/>
    <cellStyle name="Separador de milhares 3 21 2 2" xfId="5304" xr:uid="{00000000-0005-0000-0000-0000BC140000}"/>
    <cellStyle name="Separador de milhares 3 21 2 2 2" xfId="5305" xr:uid="{00000000-0005-0000-0000-0000BD140000}"/>
    <cellStyle name="Separador de milhares 3 21 2 2 3" xfId="5306" xr:uid="{00000000-0005-0000-0000-0000BE140000}"/>
    <cellStyle name="Separador de milhares 3 21 2 2 4" xfId="5307" xr:uid="{00000000-0005-0000-0000-0000BF140000}"/>
    <cellStyle name="Separador de milhares 3 21 2 3" xfId="5308" xr:uid="{00000000-0005-0000-0000-0000C0140000}"/>
    <cellStyle name="Separador de milhares 3 21 2 4" xfId="5309" xr:uid="{00000000-0005-0000-0000-0000C1140000}"/>
    <cellStyle name="Separador de milhares 3 21 2 5" xfId="5310" xr:uid="{00000000-0005-0000-0000-0000C2140000}"/>
    <cellStyle name="Separador de milhares 3 21 2 6" xfId="5311" xr:uid="{00000000-0005-0000-0000-0000C3140000}"/>
    <cellStyle name="Separador de milhares 3 21 3" xfId="5312" xr:uid="{00000000-0005-0000-0000-0000C4140000}"/>
    <cellStyle name="Separador de milhares 3 21 3 2" xfId="5313" xr:uid="{00000000-0005-0000-0000-0000C5140000}"/>
    <cellStyle name="Separador de milhares 3 21 3 3" xfId="5314" xr:uid="{00000000-0005-0000-0000-0000C6140000}"/>
    <cellStyle name="Separador de milhares 3 21 3 4" xfId="5315" xr:uid="{00000000-0005-0000-0000-0000C7140000}"/>
    <cellStyle name="Separador de milhares 3 21 4" xfId="5316" xr:uid="{00000000-0005-0000-0000-0000C8140000}"/>
    <cellStyle name="Separador de milhares 3 21 5" xfId="5317" xr:uid="{00000000-0005-0000-0000-0000C9140000}"/>
    <cellStyle name="Separador de milhares 3 21 6" xfId="5318" xr:uid="{00000000-0005-0000-0000-0000CA140000}"/>
    <cellStyle name="Separador de milhares 3 22" xfId="5319" xr:uid="{00000000-0005-0000-0000-0000CB140000}"/>
    <cellStyle name="Separador de milhares 3 23" xfId="5320" xr:uid="{00000000-0005-0000-0000-0000CC140000}"/>
    <cellStyle name="Separador de milhares 3 24" xfId="5321" xr:uid="{00000000-0005-0000-0000-0000CD140000}"/>
    <cellStyle name="Separador de milhares 3 24 2" xfId="5322" xr:uid="{00000000-0005-0000-0000-0000CE140000}"/>
    <cellStyle name="Separador de milhares 3 24 3" xfId="5323" xr:uid="{00000000-0005-0000-0000-0000CF140000}"/>
    <cellStyle name="Separador de milhares 3 24 4" xfId="5324" xr:uid="{00000000-0005-0000-0000-0000D0140000}"/>
    <cellStyle name="Separador de milhares 3 25" xfId="5325" xr:uid="{00000000-0005-0000-0000-0000D1140000}"/>
    <cellStyle name="Separador de milhares 3 26" xfId="5326" xr:uid="{00000000-0005-0000-0000-0000D2140000}"/>
    <cellStyle name="Separador de milhares 3 27" xfId="5327" xr:uid="{00000000-0005-0000-0000-0000D3140000}"/>
    <cellStyle name="Separador de milhares 3 28" xfId="5328" xr:uid="{00000000-0005-0000-0000-0000D4140000}"/>
    <cellStyle name="Separador de milhares 3 29" xfId="5329" xr:uid="{00000000-0005-0000-0000-0000D5140000}"/>
    <cellStyle name="Separador de milhares 3 3" xfId="5330" xr:uid="{00000000-0005-0000-0000-0000D6140000}"/>
    <cellStyle name="Separador de milhares 3 3 10" xfId="5331" xr:uid="{00000000-0005-0000-0000-0000D7140000}"/>
    <cellStyle name="Separador de milhares 3 3 11" xfId="5332" xr:uid="{00000000-0005-0000-0000-0000D8140000}"/>
    <cellStyle name="Separador de milhares 3 3 12" xfId="5333" xr:uid="{00000000-0005-0000-0000-0000D9140000}"/>
    <cellStyle name="Separador de milhares 3 3 13" xfId="5334" xr:uid="{00000000-0005-0000-0000-0000DA140000}"/>
    <cellStyle name="Separador de milhares 3 3 13 2" xfId="5335" xr:uid="{00000000-0005-0000-0000-0000DB140000}"/>
    <cellStyle name="Separador de milhares 3 3 13 2 2" xfId="5336" xr:uid="{00000000-0005-0000-0000-0000DC140000}"/>
    <cellStyle name="Separador de milhares 3 3 13 2 2 2" xfId="5337" xr:uid="{00000000-0005-0000-0000-0000DD140000}"/>
    <cellStyle name="Separador de milhares 3 3 13 2 2 3" xfId="5338" xr:uid="{00000000-0005-0000-0000-0000DE140000}"/>
    <cellStyle name="Separador de milhares 3 3 13 2 2 4" xfId="5339" xr:uid="{00000000-0005-0000-0000-0000DF140000}"/>
    <cellStyle name="Separador de milhares 3 3 13 2 3" xfId="5340" xr:uid="{00000000-0005-0000-0000-0000E0140000}"/>
    <cellStyle name="Separador de milhares 3 3 13 2 4" xfId="5341" xr:uid="{00000000-0005-0000-0000-0000E1140000}"/>
    <cellStyle name="Separador de milhares 3 3 13 2 5" xfId="5342" xr:uid="{00000000-0005-0000-0000-0000E2140000}"/>
    <cellStyle name="Separador de milhares 3 3 13 2 6" xfId="5343" xr:uid="{00000000-0005-0000-0000-0000E3140000}"/>
    <cellStyle name="Separador de milhares 3 3 13 3" xfId="5344" xr:uid="{00000000-0005-0000-0000-0000E4140000}"/>
    <cellStyle name="Separador de milhares 3 3 13 3 2" xfId="5345" xr:uid="{00000000-0005-0000-0000-0000E5140000}"/>
    <cellStyle name="Separador de milhares 3 3 13 3 3" xfId="5346" xr:uid="{00000000-0005-0000-0000-0000E6140000}"/>
    <cellStyle name="Separador de milhares 3 3 13 3 4" xfId="5347" xr:uid="{00000000-0005-0000-0000-0000E7140000}"/>
    <cellStyle name="Separador de milhares 3 3 13 4" xfId="5348" xr:uid="{00000000-0005-0000-0000-0000E8140000}"/>
    <cellStyle name="Separador de milhares 3 3 13 5" xfId="5349" xr:uid="{00000000-0005-0000-0000-0000E9140000}"/>
    <cellStyle name="Separador de milhares 3 3 13 6" xfId="5350" xr:uid="{00000000-0005-0000-0000-0000EA140000}"/>
    <cellStyle name="Separador de milhares 3 3 14" xfId="5351" xr:uid="{00000000-0005-0000-0000-0000EB140000}"/>
    <cellStyle name="Separador de milhares 3 3 15" xfId="5352" xr:uid="{00000000-0005-0000-0000-0000EC140000}"/>
    <cellStyle name="Separador de milhares 3 3 16" xfId="5353" xr:uid="{00000000-0005-0000-0000-0000ED140000}"/>
    <cellStyle name="Separador de milhares 3 3 16 2" xfId="5354" xr:uid="{00000000-0005-0000-0000-0000EE140000}"/>
    <cellStyle name="Separador de milhares 3 3 16 3" xfId="5355" xr:uid="{00000000-0005-0000-0000-0000EF140000}"/>
    <cellStyle name="Separador de milhares 3 3 16 4" xfId="5356" xr:uid="{00000000-0005-0000-0000-0000F0140000}"/>
    <cellStyle name="Separador de milhares 3 3 17" xfId="5357" xr:uid="{00000000-0005-0000-0000-0000F1140000}"/>
    <cellStyle name="Separador de milhares 3 3 18" xfId="5358" xr:uid="{00000000-0005-0000-0000-0000F2140000}"/>
    <cellStyle name="Separador de milhares 3 3 19" xfId="5359" xr:uid="{00000000-0005-0000-0000-0000F3140000}"/>
    <cellStyle name="Separador de milhares 3 3 2" xfId="5360" xr:uid="{00000000-0005-0000-0000-0000F4140000}"/>
    <cellStyle name="Separador de milhares 3 3 2 10" xfId="5361" xr:uid="{00000000-0005-0000-0000-0000F5140000}"/>
    <cellStyle name="Separador de milhares 3 3 2 11" xfId="5362" xr:uid="{00000000-0005-0000-0000-0000F6140000}"/>
    <cellStyle name="Separador de milhares 3 3 2 12" xfId="5363" xr:uid="{00000000-0005-0000-0000-0000F7140000}"/>
    <cellStyle name="Separador de milhares 3 3 2 13" xfId="5364" xr:uid="{00000000-0005-0000-0000-0000F8140000}"/>
    <cellStyle name="Separador de milhares 3 3 2 13 2" xfId="5365" xr:uid="{00000000-0005-0000-0000-0000F9140000}"/>
    <cellStyle name="Separador de milhares 3 3 2 13 2 2" xfId="5366" xr:uid="{00000000-0005-0000-0000-0000FA140000}"/>
    <cellStyle name="Separador de milhares 3 3 2 13 2 2 2" xfId="5367" xr:uid="{00000000-0005-0000-0000-0000FB140000}"/>
    <cellStyle name="Separador de milhares 3 3 2 13 2 2 3" xfId="5368" xr:uid="{00000000-0005-0000-0000-0000FC140000}"/>
    <cellStyle name="Separador de milhares 3 3 2 13 2 2 4" xfId="5369" xr:uid="{00000000-0005-0000-0000-0000FD140000}"/>
    <cellStyle name="Separador de milhares 3 3 2 13 2 3" xfId="5370" xr:uid="{00000000-0005-0000-0000-0000FE140000}"/>
    <cellStyle name="Separador de milhares 3 3 2 13 2 4" xfId="5371" xr:uid="{00000000-0005-0000-0000-0000FF140000}"/>
    <cellStyle name="Separador de milhares 3 3 2 13 2 5" xfId="5372" xr:uid="{00000000-0005-0000-0000-000000150000}"/>
    <cellStyle name="Separador de milhares 3 3 2 13 2 6" xfId="5373" xr:uid="{00000000-0005-0000-0000-000001150000}"/>
    <cellStyle name="Separador de milhares 3 3 2 13 3" xfId="5374" xr:uid="{00000000-0005-0000-0000-000002150000}"/>
    <cellStyle name="Separador de milhares 3 3 2 13 3 2" xfId="5375" xr:uid="{00000000-0005-0000-0000-000003150000}"/>
    <cellStyle name="Separador de milhares 3 3 2 13 3 3" xfId="5376" xr:uid="{00000000-0005-0000-0000-000004150000}"/>
    <cellStyle name="Separador de milhares 3 3 2 13 3 4" xfId="5377" xr:uid="{00000000-0005-0000-0000-000005150000}"/>
    <cellStyle name="Separador de milhares 3 3 2 13 4" xfId="5378" xr:uid="{00000000-0005-0000-0000-000006150000}"/>
    <cellStyle name="Separador de milhares 3 3 2 13 5" xfId="5379" xr:uid="{00000000-0005-0000-0000-000007150000}"/>
    <cellStyle name="Separador de milhares 3 3 2 13 6" xfId="5380" xr:uid="{00000000-0005-0000-0000-000008150000}"/>
    <cellStyle name="Separador de milhares 3 3 2 14" xfId="5381" xr:uid="{00000000-0005-0000-0000-000009150000}"/>
    <cellStyle name="Separador de milhares 3 3 2 15" xfId="5382" xr:uid="{00000000-0005-0000-0000-00000A150000}"/>
    <cellStyle name="Separador de milhares 3 3 2 16" xfId="5383" xr:uid="{00000000-0005-0000-0000-00000B150000}"/>
    <cellStyle name="Separador de milhares 3 3 2 16 2" xfId="5384" xr:uid="{00000000-0005-0000-0000-00000C150000}"/>
    <cellStyle name="Separador de milhares 3 3 2 16 3" xfId="5385" xr:uid="{00000000-0005-0000-0000-00000D150000}"/>
    <cellStyle name="Separador de milhares 3 3 2 16 4" xfId="5386" xr:uid="{00000000-0005-0000-0000-00000E150000}"/>
    <cellStyle name="Separador de milhares 3 3 2 17" xfId="5387" xr:uid="{00000000-0005-0000-0000-00000F150000}"/>
    <cellStyle name="Separador de milhares 3 3 2 18" xfId="5388" xr:uid="{00000000-0005-0000-0000-000010150000}"/>
    <cellStyle name="Separador de milhares 3 3 2 19" xfId="5389" xr:uid="{00000000-0005-0000-0000-000011150000}"/>
    <cellStyle name="Separador de milhares 3 3 2 2" xfId="5390" xr:uid="{00000000-0005-0000-0000-000012150000}"/>
    <cellStyle name="Separador de milhares 3 3 2 2 2" xfId="5391" xr:uid="{00000000-0005-0000-0000-000013150000}"/>
    <cellStyle name="Separador de milhares 3 3 2 2 2 2" xfId="5392" xr:uid="{00000000-0005-0000-0000-000014150000}"/>
    <cellStyle name="Separador de milhares 3 3 2 2 2 2 2" xfId="5393" xr:uid="{00000000-0005-0000-0000-000015150000}"/>
    <cellStyle name="Separador de milhares 3 3 2 2 2 2 2 2" xfId="5394" xr:uid="{00000000-0005-0000-0000-000016150000}"/>
    <cellStyle name="Separador de milhares 3 3 2 2 2 2 2 2 2" xfId="5395" xr:uid="{00000000-0005-0000-0000-000017150000}"/>
    <cellStyle name="Separador de milhares 3 3 2 2 2 2 2 2 3" xfId="5396" xr:uid="{00000000-0005-0000-0000-000018150000}"/>
    <cellStyle name="Separador de milhares 3 3 2 2 2 2 2 2 4" xfId="5397" xr:uid="{00000000-0005-0000-0000-000019150000}"/>
    <cellStyle name="Separador de milhares 3 3 2 2 2 2 2 3" xfId="5398" xr:uid="{00000000-0005-0000-0000-00001A150000}"/>
    <cellStyle name="Separador de milhares 3 3 2 2 2 2 2 4" xfId="5399" xr:uid="{00000000-0005-0000-0000-00001B150000}"/>
    <cellStyle name="Separador de milhares 3 3 2 2 2 2 2 5" xfId="5400" xr:uid="{00000000-0005-0000-0000-00001C150000}"/>
    <cellStyle name="Separador de milhares 3 3 2 2 2 2 2 6" xfId="5401" xr:uid="{00000000-0005-0000-0000-00001D150000}"/>
    <cellStyle name="Separador de milhares 3 3 2 2 2 2 3" xfId="5402" xr:uid="{00000000-0005-0000-0000-00001E150000}"/>
    <cellStyle name="Separador de milhares 3 3 2 2 2 2 3 2" xfId="5403" xr:uid="{00000000-0005-0000-0000-00001F150000}"/>
    <cellStyle name="Separador de milhares 3 3 2 2 2 2 3 3" xfId="5404" xr:uid="{00000000-0005-0000-0000-000020150000}"/>
    <cellStyle name="Separador de milhares 3 3 2 2 2 2 3 4" xfId="5405" xr:uid="{00000000-0005-0000-0000-000021150000}"/>
    <cellStyle name="Separador de milhares 3 3 2 2 2 2 4" xfId="5406" xr:uid="{00000000-0005-0000-0000-000022150000}"/>
    <cellStyle name="Separador de milhares 3 3 2 2 2 2 5" xfId="5407" xr:uid="{00000000-0005-0000-0000-000023150000}"/>
    <cellStyle name="Separador de milhares 3 3 2 2 2 2 6" xfId="5408" xr:uid="{00000000-0005-0000-0000-000024150000}"/>
    <cellStyle name="Separador de milhares 3 3 2 2 2 3" xfId="5409" xr:uid="{00000000-0005-0000-0000-000025150000}"/>
    <cellStyle name="Separador de milhares 3 3 2 2 2 4" xfId="5410" xr:uid="{00000000-0005-0000-0000-000026150000}"/>
    <cellStyle name="Separador de milhares 3 3 2 2 2 5" xfId="5411" xr:uid="{00000000-0005-0000-0000-000027150000}"/>
    <cellStyle name="Separador de milhares 3 3 2 2 2 5 2" xfId="5412" xr:uid="{00000000-0005-0000-0000-000028150000}"/>
    <cellStyle name="Separador de milhares 3 3 2 2 2 5 3" xfId="5413" xr:uid="{00000000-0005-0000-0000-000029150000}"/>
    <cellStyle name="Separador de milhares 3 3 2 2 2 5 4" xfId="5414" xr:uid="{00000000-0005-0000-0000-00002A150000}"/>
    <cellStyle name="Separador de milhares 3 3 2 2 2 6" xfId="5415" xr:uid="{00000000-0005-0000-0000-00002B150000}"/>
    <cellStyle name="Separador de milhares 3 3 2 2 2 7" xfId="5416" xr:uid="{00000000-0005-0000-0000-00002C150000}"/>
    <cellStyle name="Separador de milhares 3 3 2 2 2 8" xfId="5417" xr:uid="{00000000-0005-0000-0000-00002D150000}"/>
    <cellStyle name="Separador de milhares 3 3 2 2 2 9" xfId="5418" xr:uid="{00000000-0005-0000-0000-00002E150000}"/>
    <cellStyle name="Separador de milhares 3 3 2 2 3" xfId="5419" xr:uid="{00000000-0005-0000-0000-00002F150000}"/>
    <cellStyle name="Separador de milhares 3 3 2 2 3 2" xfId="5420" xr:uid="{00000000-0005-0000-0000-000030150000}"/>
    <cellStyle name="Separador de milhares 3 3 2 2 3 2 2" xfId="5421" xr:uid="{00000000-0005-0000-0000-000031150000}"/>
    <cellStyle name="Separador de milhares 3 3 2 2 3 2 2 2" xfId="5422" xr:uid="{00000000-0005-0000-0000-000032150000}"/>
    <cellStyle name="Separador de milhares 3 3 2 2 3 2 2 3" xfId="5423" xr:uid="{00000000-0005-0000-0000-000033150000}"/>
    <cellStyle name="Separador de milhares 3 3 2 2 3 2 2 4" xfId="5424" xr:uid="{00000000-0005-0000-0000-000034150000}"/>
    <cellStyle name="Separador de milhares 3 3 2 2 3 2 3" xfId="5425" xr:uid="{00000000-0005-0000-0000-000035150000}"/>
    <cellStyle name="Separador de milhares 3 3 2 2 3 2 4" xfId="5426" xr:uid="{00000000-0005-0000-0000-000036150000}"/>
    <cellStyle name="Separador de milhares 3 3 2 2 3 2 5" xfId="5427" xr:uid="{00000000-0005-0000-0000-000037150000}"/>
    <cellStyle name="Separador de milhares 3 3 2 2 3 2 6" xfId="5428" xr:uid="{00000000-0005-0000-0000-000038150000}"/>
    <cellStyle name="Separador de milhares 3 3 2 2 3 3" xfId="5429" xr:uid="{00000000-0005-0000-0000-000039150000}"/>
    <cellStyle name="Separador de milhares 3 3 2 2 3 3 2" xfId="5430" xr:uid="{00000000-0005-0000-0000-00003A150000}"/>
    <cellStyle name="Separador de milhares 3 3 2 2 3 3 3" xfId="5431" xr:uid="{00000000-0005-0000-0000-00003B150000}"/>
    <cellStyle name="Separador de milhares 3 3 2 2 3 3 4" xfId="5432" xr:uid="{00000000-0005-0000-0000-00003C150000}"/>
    <cellStyle name="Separador de milhares 3 3 2 2 3 4" xfId="5433" xr:uid="{00000000-0005-0000-0000-00003D150000}"/>
    <cellStyle name="Separador de milhares 3 3 2 2 3 5" xfId="5434" xr:uid="{00000000-0005-0000-0000-00003E150000}"/>
    <cellStyle name="Separador de milhares 3 3 2 2 3 6" xfId="5435" xr:uid="{00000000-0005-0000-0000-00003F150000}"/>
    <cellStyle name="Separador de milhares 3 3 2 2 4" xfId="5436" xr:uid="{00000000-0005-0000-0000-000040150000}"/>
    <cellStyle name="Separador de milhares 3 3 2 2 5" xfId="5437" xr:uid="{00000000-0005-0000-0000-000041150000}"/>
    <cellStyle name="Separador de milhares 3 3 2 2 5 2" xfId="5438" xr:uid="{00000000-0005-0000-0000-000042150000}"/>
    <cellStyle name="Separador de milhares 3 3 2 2 5 3" xfId="5439" xr:uid="{00000000-0005-0000-0000-000043150000}"/>
    <cellStyle name="Separador de milhares 3 3 2 2 5 4" xfId="5440" xr:uid="{00000000-0005-0000-0000-000044150000}"/>
    <cellStyle name="Separador de milhares 3 3 2 2 6" xfId="5441" xr:uid="{00000000-0005-0000-0000-000045150000}"/>
    <cellStyle name="Separador de milhares 3 3 2 2 7" xfId="5442" xr:uid="{00000000-0005-0000-0000-000046150000}"/>
    <cellStyle name="Separador de milhares 3 3 2 2 8" xfId="5443" xr:uid="{00000000-0005-0000-0000-000047150000}"/>
    <cellStyle name="Separador de milhares 3 3 2 2 9" xfId="5444" xr:uid="{00000000-0005-0000-0000-000048150000}"/>
    <cellStyle name="Separador de milhares 3 3 2 20" xfId="5445" xr:uid="{00000000-0005-0000-0000-000049150000}"/>
    <cellStyle name="Separador de milhares 3 3 2 3" xfId="5446" xr:uid="{00000000-0005-0000-0000-00004A150000}"/>
    <cellStyle name="Separador de milhares 3 3 2 4" xfId="5447" xr:uid="{00000000-0005-0000-0000-00004B150000}"/>
    <cellStyle name="Separador de milhares 3 3 2 5" xfId="5448" xr:uid="{00000000-0005-0000-0000-00004C150000}"/>
    <cellStyle name="Separador de milhares 3 3 2 6" xfId="5449" xr:uid="{00000000-0005-0000-0000-00004D150000}"/>
    <cellStyle name="Separador de milhares 3 3 2 7" xfId="5450" xr:uid="{00000000-0005-0000-0000-00004E150000}"/>
    <cellStyle name="Separador de milhares 3 3 2 8" xfId="5451" xr:uid="{00000000-0005-0000-0000-00004F150000}"/>
    <cellStyle name="Separador de milhares 3 3 2 9" xfId="5452" xr:uid="{00000000-0005-0000-0000-000050150000}"/>
    <cellStyle name="Separador de milhares 3 3 20" xfId="5453" xr:uid="{00000000-0005-0000-0000-000051150000}"/>
    <cellStyle name="Separador de milhares 3 3 21" xfId="5454" xr:uid="{00000000-0005-0000-0000-000052150000}"/>
    <cellStyle name="Separador de milhares 3 3 3" xfId="5455" xr:uid="{00000000-0005-0000-0000-000053150000}"/>
    <cellStyle name="Separador de milhares 3 3 3 2" xfId="5456" xr:uid="{00000000-0005-0000-0000-000054150000}"/>
    <cellStyle name="Separador de milhares 3 3 3 2 2" xfId="5457" xr:uid="{00000000-0005-0000-0000-000055150000}"/>
    <cellStyle name="Separador de milhares 3 3 3 2 2 2" xfId="5458" xr:uid="{00000000-0005-0000-0000-000056150000}"/>
    <cellStyle name="Separador de milhares 3 3 3 2 2 2 2" xfId="5459" xr:uid="{00000000-0005-0000-0000-000057150000}"/>
    <cellStyle name="Separador de milhares 3 3 3 2 2 2 2 2" xfId="5460" xr:uid="{00000000-0005-0000-0000-000058150000}"/>
    <cellStyle name="Separador de milhares 3 3 3 2 2 2 2 3" xfId="5461" xr:uid="{00000000-0005-0000-0000-000059150000}"/>
    <cellStyle name="Separador de milhares 3 3 3 2 2 2 2 4" xfId="5462" xr:uid="{00000000-0005-0000-0000-00005A150000}"/>
    <cellStyle name="Separador de milhares 3 3 3 2 2 2 3" xfId="5463" xr:uid="{00000000-0005-0000-0000-00005B150000}"/>
    <cellStyle name="Separador de milhares 3 3 3 2 2 2 4" xfId="5464" xr:uid="{00000000-0005-0000-0000-00005C150000}"/>
    <cellStyle name="Separador de milhares 3 3 3 2 2 2 5" xfId="5465" xr:uid="{00000000-0005-0000-0000-00005D150000}"/>
    <cellStyle name="Separador de milhares 3 3 3 2 2 2 6" xfId="5466" xr:uid="{00000000-0005-0000-0000-00005E150000}"/>
    <cellStyle name="Separador de milhares 3 3 3 2 2 3" xfId="5467" xr:uid="{00000000-0005-0000-0000-00005F150000}"/>
    <cellStyle name="Separador de milhares 3 3 3 2 2 3 2" xfId="5468" xr:uid="{00000000-0005-0000-0000-000060150000}"/>
    <cellStyle name="Separador de milhares 3 3 3 2 2 3 3" xfId="5469" xr:uid="{00000000-0005-0000-0000-000061150000}"/>
    <cellStyle name="Separador de milhares 3 3 3 2 2 3 4" xfId="5470" xr:uid="{00000000-0005-0000-0000-000062150000}"/>
    <cellStyle name="Separador de milhares 3 3 3 2 2 4" xfId="5471" xr:uid="{00000000-0005-0000-0000-000063150000}"/>
    <cellStyle name="Separador de milhares 3 3 3 2 2 5" xfId="5472" xr:uid="{00000000-0005-0000-0000-000064150000}"/>
    <cellStyle name="Separador de milhares 3 3 3 2 2 6" xfId="5473" xr:uid="{00000000-0005-0000-0000-000065150000}"/>
    <cellStyle name="Separador de milhares 3 3 3 2 3" xfId="5474" xr:uid="{00000000-0005-0000-0000-000066150000}"/>
    <cellStyle name="Separador de milhares 3 3 3 2 4" xfId="5475" xr:uid="{00000000-0005-0000-0000-000067150000}"/>
    <cellStyle name="Separador de milhares 3 3 3 2 5" xfId="5476" xr:uid="{00000000-0005-0000-0000-000068150000}"/>
    <cellStyle name="Separador de milhares 3 3 3 2 5 2" xfId="5477" xr:uid="{00000000-0005-0000-0000-000069150000}"/>
    <cellStyle name="Separador de milhares 3 3 3 2 5 3" xfId="5478" xr:uid="{00000000-0005-0000-0000-00006A150000}"/>
    <cellStyle name="Separador de milhares 3 3 3 2 5 4" xfId="5479" xr:uid="{00000000-0005-0000-0000-00006B150000}"/>
    <cellStyle name="Separador de milhares 3 3 3 2 6" xfId="5480" xr:uid="{00000000-0005-0000-0000-00006C150000}"/>
    <cellStyle name="Separador de milhares 3 3 3 2 7" xfId="5481" xr:uid="{00000000-0005-0000-0000-00006D150000}"/>
    <cellStyle name="Separador de milhares 3 3 3 2 8" xfId="5482" xr:uid="{00000000-0005-0000-0000-00006E150000}"/>
    <cellStyle name="Separador de milhares 3 3 3 2 9" xfId="5483" xr:uid="{00000000-0005-0000-0000-00006F150000}"/>
    <cellStyle name="Separador de milhares 3 3 3 3" xfId="5484" xr:uid="{00000000-0005-0000-0000-000070150000}"/>
    <cellStyle name="Separador de milhares 3 3 3 3 2" xfId="5485" xr:uid="{00000000-0005-0000-0000-000071150000}"/>
    <cellStyle name="Separador de milhares 3 3 3 3 2 2" xfId="5486" xr:uid="{00000000-0005-0000-0000-000072150000}"/>
    <cellStyle name="Separador de milhares 3 3 3 3 2 2 2" xfId="5487" xr:uid="{00000000-0005-0000-0000-000073150000}"/>
    <cellStyle name="Separador de milhares 3 3 3 3 2 2 3" xfId="5488" xr:uid="{00000000-0005-0000-0000-000074150000}"/>
    <cellStyle name="Separador de milhares 3 3 3 3 2 2 4" xfId="5489" xr:uid="{00000000-0005-0000-0000-000075150000}"/>
    <cellStyle name="Separador de milhares 3 3 3 3 2 3" xfId="5490" xr:uid="{00000000-0005-0000-0000-000076150000}"/>
    <cellStyle name="Separador de milhares 3 3 3 3 2 4" xfId="5491" xr:uid="{00000000-0005-0000-0000-000077150000}"/>
    <cellStyle name="Separador de milhares 3 3 3 3 2 5" xfId="5492" xr:uid="{00000000-0005-0000-0000-000078150000}"/>
    <cellStyle name="Separador de milhares 3 3 3 3 2 6" xfId="5493" xr:uid="{00000000-0005-0000-0000-000079150000}"/>
    <cellStyle name="Separador de milhares 3 3 3 3 3" xfId="5494" xr:uid="{00000000-0005-0000-0000-00007A150000}"/>
    <cellStyle name="Separador de milhares 3 3 3 3 3 2" xfId="5495" xr:uid="{00000000-0005-0000-0000-00007B150000}"/>
    <cellStyle name="Separador de milhares 3 3 3 3 3 3" xfId="5496" xr:uid="{00000000-0005-0000-0000-00007C150000}"/>
    <cellStyle name="Separador de milhares 3 3 3 3 3 4" xfId="5497" xr:uid="{00000000-0005-0000-0000-00007D150000}"/>
    <cellStyle name="Separador de milhares 3 3 3 3 4" xfId="5498" xr:uid="{00000000-0005-0000-0000-00007E150000}"/>
    <cellStyle name="Separador de milhares 3 3 3 3 5" xfId="5499" xr:uid="{00000000-0005-0000-0000-00007F150000}"/>
    <cellStyle name="Separador de milhares 3 3 3 3 6" xfId="5500" xr:uid="{00000000-0005-0000-0000-000080150000}"/>
    <cellStyle name="Separador de milhares 3 3 3 4" xfId="5501" xr:uid="{00000000-0005-0000-0000-000081150000}"/>
    <cellStyle name="Separador de milhares 3 3 3 5" xfId="5502" xr:uid="{00000000-0005-0000-0000-000082150000}"/>
    <cellStyle name="Separador de milhares 3 3 3 5 2" xfId="5503" xr:uid="{00000000-0005-0000-0000-000083150000}"/>
    <cellStyle name="Separador de milhares 3 3 3 5 3" xfId="5504" xr:uid="{00000000-0005-0000-0000-000084150000}"/>
    <cellStyle name="Separador de milhares 3 3 3 5 4" xfId="5505" xr:uid="{00000000-0005-0000-0000-000085150000}"/>
    <cellStyle name="Separador de milhares 3 3 3 6" xfId="5506" xr:uid="{00000000-0005-0000-0000-000086150000}"/>
    <cellStyle name="Separador de milhares 3 3 3 7" xfId="5507" xr:uid="{00000000-0005-0000-0000-000087150000}"/>
    <cellStyle name="Separador de milhares 3 3 3 8" xfId="5508" xr:uid="{00000000-0005-0000-0000-000088150000}"/>
    <cellStyle name="Separador de milhares 3 3 3 9" xfId="5509" xr:uid="{00000000-0005-0000-0000-000089150000}"/>
    <cellStyle name="Separador de milhares 3 3 4" xfId="5510" xr:uid="{00000000-0005-0000-0000-00008A150000}"/>
    <cellStyle name="Separador de milhares 3 3 5" xfId="5511" xr:uid="{00000000-0005-0000-0000-00008B150000}"/>
    <cellStyle name="Separador de milhares 3 3 6" xfId="5512" xr:uid="{00000000-0005-0000-0000-00008C150000}"/>
    <cellStyle name="Separador de milhares 3 3 7" xfId="5513" xr:uid="{00000000-0005-0000-0000-00008D150000}"/>
    <cellStyle name="Separador de milhares 3 3 8" xfId="5514" xr:uid="{00000000-0005-0000-0000-00008E150000}"/>
    <cellStyle name="Separador de milhares 3 3 9" xfId="5515" xr:uid="{00000000-0005-0000-0000-00008F150000}"/>
    <cellStyle name="Separador de milhares 3 4" xfId="5516" xr:uid="{00000000-0005-0000-0000-000090150000}"/>
    <cellStyle name="Separador de milhares 3 4 2" xfId="5517" xr:uid="{00000000-0005-0000-0000-000091150000}"/>
    <cellStyle name="Separador de milhares 3 4 3" xfId="5518" xr:uid="{00000000-0005-0000-0000-000092150000}"/>
    <cellStyle name="Separador de milhares 3 5" xfId="5519" xr:uid="{00000000-0005-0000-0000-000093150000}"/>
    <cellStyle name="Separador de milhares 3 5 2" xfId="5520" xr:uid="{00000000-0005-0000-0000-000094150000}"/>
    <cellStyle name="Separador de milhares 3 5 3" xfId="5521" xr:uid="{00000000-0005-0000-0000-000095150000}"/>
    <cellStyle name="Separador de milhares 3 6" xfId="5522" xr:uid="{00000000-0005-0000-0000-000096150000}"/>
    <cellStyle name="Separador de milhares 3 6 2" xfId="5523" xr:uid="{00000000-0005-0000-0000-000097150000}"/>
    <cellStyle name="Separador de milhares 3 6 3" xfId="5524" xr:uid="{00000000-0005-0000-0000-000098150000}"/>
    <cellStyle name="Separador de milhares 3 7" xfId="5525" xr:uid="{00000000-0005-0000-0000-000099150000}"/>
    <cellStyle name="Separador de milhares 3 8" xfId="5526" xr:uid="{00000000-0005-0000-0000-00009A150000}"/>
    <cellStyle name="Separador de milhares 3 9" xfId="5527" xr:uid="{00000000-0005-0000-0000-00009B150000}"/>
    <cellStyle name="Separador de milhares 30" xfId="5528" xr:uid="{00000000-0005-0000-0000-00009C150000}"/>
    <cellStyle name="Separador de milhares 4" xfId="5529" xr:uid="{00000000-0005-0000-0000-00009D150000}"/>
    <cellStyle name="Separador de milhares 4 2" xfId="5530" xr:uid="{00000000-0005-0000-0000-00009E150000}"/>
    <cellStyle name="Separador de milhares 4 2 2" xfId="5531" xr:uid="{00000000-0005-0000-0000-00009F150000}"/>
    <cellStyle name="Separador de milhares 4 2 3" xfId="5532" xr:uid="{00000000-0005-0000-0000-0000A0150000}"/>
    <cellStyle name="Separador de milhares 4 3" xfId="5533" xr:uid="{00000000-0005-0000-0000-0000A1150000}"/>
    <cellStyle name="Separador de milhares 4 4" xfId="5534" xr:uid="{00000000-0005-0000-0000-0000A2150000}"/>
    <cellStyle name="Separador de milhares 4 5" xfId="5535" xr:uid="{00000000-0005-0000-0000-0000A3150000}"/>
    <cellStyle name="Separador de milhares 5" xfId="5536" xr:uid="{00000000-0005-0000-0000-0000A4150000}"/>
    <cellStyle name="Separador de milhares 5 2" xfId="5537" xr:uid="{00000000-0005-0000-0000-0000A5150000}"/>
    <cellStyle name="Separador de milhares 5 2 2" xfId="5538" xr:uid="{00000000-0005-0000-0000-0000A6150000}"/>
    <cellStyle name="Separador de milhares 5 2 3" xfId="5539" xr:uid="{00000000-0005-0000-0000-0000A7150000}"/>
    <cellStyle name="Separador de milhares 5 3" xfId="5540" xr:uid="{00000000-0005-0000-0000-0000A8150000}"/>
    <cellStyle name="Separador de milhares 5 3 2" xfId="5541" xr:uid="{00000000-0005-0000-0000-0000A9150000}"/>
    <cellStyle name="Separador de milhares 5 4" xfId="5542" xr:uid="{00000000-0005-0000-0000-0000AA150000}"/>
    <cellStyle name="Separador de milhares 5 5" xfId="5543" xr:uid="{00000000-0005-0000-0000-0000AB150000}"/>
    <cellStyle name="Separador de milhares 5 6" xfId="5544" xr:uid="{00000000-0005-0000-0000-0000AC150000}"/>
    <cellStyle name="Separador de milhares 6" xfId="5545" xr:uid="{00000000-0005-0000-0000-0000AD150000}"/>
    <cellStyle name="Separador de milhares 6 2" xfId="5546" xr:uid="{00000000-0005-0000-0000-0000AE150000}"/>
    <cellStyle name="Separador de milhares 6 2 2" xfId="5547" xr:uid="{00000000-0005-0000-0000-0000AF150000}"/>
    <cellStyle name="Separador de milhares 6 3" xfId="5548" xr:uid="{00000000-0005-0000-0000-0000B0150000}"/>
    <cellStyle name="Separador de milhares 6 4" xfId="5549" xr:uid="{00000000-0005-0000-0000-0000B1150000}"/>
    <cellStyle name="Separador de milhares 6 5" xfId="5550" xr:uid="{00000000-0005-0000-0000-0000B2150000}"/>
    <cellStyle name="Separador de milhares 7" xfId="5551" xr:uid="{00000000-0005-0000-0000-0000B3150000}"/>
    <cellStyle name="Separador de milhares 7 2" xfId="5552" xr:uid="{00000000-0005-0000-0000-0000B4150000}"/>
    <cellStyle name="Separador de milhares 7 2 2" xfId="5553" xr:uid="{00000000-0005-0000-0000-0000B5150000}"/>
    <cellStyle name="Separador de milhares 7 3" xfId="5554" xr:uid="{00000000-0005-0000-0000-0000B6150000}"/>
    <cellStyle name="Separador de milhares 7 4" xfId="5555" xr:uid="{00000000-0005-0000-0000-0000B7150000}"/>
    <cellStyle name="Separador de milhares 7 5" xfId="5556" xr:uid="{00000000-0005-0000-0000-0000B8150000}"/>
    <cellStyle name="Separador de milhares 7 6" xfId="5557" xr:uid="{00000000-0005-0000-0000-0000B9150000}"/>
    <cellStyle name="Separador de milhares 8" xfId="5558" xr:uid="{00000000-0005-0000-0000-0000BA150000}"/>
    <cellStyle name="Separador de milhares 8 2" xfId="5559" xr:uid="{00000000-0005-0000-0000-0000BB150000}"/>
    <cellStyle name="Separador de milhares 8 2 2" xfId="5560" xr:uid="{00000000-0005-0000-0000-0000BC150000}"/>
    <cellStyle name="Separador de milhares 8 3" xfId="5561" xr:uid="{00000000-0005-0000-0000-0000BD150000}"/>
    <cellStyle name="Separador de milhares 8 3 2" xfId="5562" xr:uid="{00000000-0005-0000-0000-0000BE150000}"/>
    <cellStyle name="Separador de milhares 8 4" xfId="5563" xr:uid="{00000000-0005-0000-0000-0000BF150000}"/>
    <cellStyle name="Separador de milhares 8 4 2" xfId="5564" xr:uid="{00000000-0005-0000-0000-0000C0150000}"/>
    <cellStyle name="Separador de milhares 8 5" xfId="5565" xr:uid="{00000000-0005-0000-0000-0000C1150000}"/>
    <cellStyle name="Separador de milhares 8 6" xfId="5566" xr:uid="{00000000-0005-0000-0000-0000C2150000}"/>
    <cellStyle name="Separador de milhares 9" xfId="5567" xr:uid="{00000000-0005-0000-0000-0000C3150000}"/>
    <cellStyle name="Separador de milhares 9 2" xfId="5568" xr:uid="{00000000-0005-0000-0000-0000C4150000}"/>
    <cellStyle name="Separador de milhares 9 2 2" xfId="5569" xr:uid="{00000000-0005-0000-0000-0000C5150000}"/>
    <cellStyle name="Separador de milhares 9 3" xfId="5570" xr:uid="{00000000-0005-0000-0000-0000C6150000}"/>
    <cellStyle name="Separador de milhares 9 4" xfId="5571" xr:uid="{00000000-0005-0000-0000-0000C7150000}"/>
    <cellStyle name="Separador de milhares 9 5" xfId="5572" xr:uid="{00000000-0005-0000-0000-0000C8150000}"/>
    <cellStyle name="Separador de milhares 9 6" xfId="5573" xr:uid="{00000000-0005-0000-0000-0000C9150000}"/>
    <cellStyle name="Sledovaný hypertextový odkaz" xfId="5574" xr:uid="{00000000-0005-0000-0000-0000CA150000}"/>
    <cellStyle name="Sledovaný hypertextový odkaz 2" xfId="5575" xr:uid="{00000000-0005-0000-0000-0000CB150000}"/>
    <cellStyle name="Standard_Anpassen der Amortisation" xfId="5576" xr:uid="{00000000-0005-0000-0000-0000CC150000}"/>
    <cellStyle name="Style 1" xfId="5577" xr:uid="{00000000-0005-0000-0000-0000CD150000}"/>
    <cellStyle name="STYLE1" xfId="5578" xr:uid="{00000000-0005-0000-0000-0000CE150000}"/>
    <cellStyle name="STYLE1 - Style1" xfId="5579" xr:uid="{00000000-0005-0000-0000-0000CF150000}"/>
    <cellStyle name="STYLE1 - Style1 2" xfId="5580" xr:uid="{00000000-0005-0000-0000-0000D0150000}"/>
    <cellStyle name="STYLE1 - Style1 3" xfId="5581" xr:uid="{00000000-0005-0000-0000-0000D1150000}"/>
    <cellStyle name="style1 - Style1 4" xfId="5582" xr:uid="{00000000-0005-0000-0000-0000D2150000}"/>
    <cellStyle name="STYLE1 2" xfId="5583" xr:uid="{00000000-0005-0000-0000-0000D3150000}"/>
    <cellStyle name="STYLE1 3" xfId="5584" xr:uid="{00000000-0005-0000-0000-0000D4150000}"/>
    <cellStyle name="STYLE1 4" xfId="5585" xr:uid="{00000000-0005-0000-0000-0000D5150000}"/>
    <cellStyle name="STYLE2" xfId="5586" xr:uid="{00000000-0005-0000-0000-0000D6150000}"/>
    <cellStyle name="STYLE2 - Style2" xfId="5587" xr:uid="{00000000-0005-0000-0000-0000D7150000}"/>
    <cellStyle name="STYLE2 - Style2 2" xfId="5588" xr:uid="{00000000-0005-0000-0000-0000D8150000}"/>
    <cellStyle name="STYLE2 - Style2 3" xfId="5589" xr:uid="{00000000-0005-0000-0000-0000D9150000}"/>
    <cellStyle name="style2 - Style2 4" xfId="5590" xr:uid="{00000000-0005-0000-0000-0000DA150000}"/>
    <cellStyle name="STYLE2 2" xfId="5591" xr:uid="{00000000-0005-0000-0000-0000DB150000}"/>
    <cellStyle name="STYLE2 3" xfId="5592" xr:uid="{00000000-0005-0000-0000-0000DC150000}"/>
    <cellStyle name="STYLE2 4" xfId="5593" xr:uid="{00000000-0005-0000-0000-0000DD150000}"/>
    <cellStyle name="style3 - Style3" xfId="5594" xr:uid="{00000000-0005-0000-0000-0000DE150000}"/>
    <cellStyle name="style4 - Style4" xfId="5595" xr:uid="{00000000-0005-0000-0000-0000DF150000}"/>
    <cellStyle name="SubHead" xfId="5596" xr:uid="{00000000-0005-0000-0000-0000E0150000}"/>
    <cellStyle name="SubHeading" xfId="5597" xr:uid="{00000000-0005-0000-0000-0000E1150000}"/>
    <cellStyle name="SubHeading 2" xfId="5598" xr:uid="{00000000-0005-0000-0000-0000E2150000}"/>
    <cellStyle name="SubHeading 3" xfId="5599" xr:uid="{00000000-0005-0000-0000-0000E3150000}"/>
    <cellStyle name="Sub-Título" xfId="5600" xr:uid="{00000000-0005-0000-0000-0000E4150000}"/>
    <cellStyle name="Texto de advertencia" xfId="5601" xr:uid="{00000000-0005-0000-0000-0000E5150000}"/>
    <cellStyle name="Texto de Aviso 2" xfId="5602" xr:uid="{00000000-0005-0000-0000-0000E6150000}"/>
    <cellStyle name="Texto de Aviso 2 2" xfId="5603" xr:uid="{00000000-0005-0000-0000-0000E7150000}"/>
    <cellStyle name="Texto de Aviso 2 2 2" xfId="5604" xr:uid="{00000000-0005-0000-0000-0000E8150000}"/>
    <cellStyle name="Texto de Aviso 2 3" xfId="5605" xr:uid="{00000000-0005-0000-0000-0000E9150000}"/>
    <cellStyle name="Texto de Aviso 2 3 2" xfId="5606" xr:uid="{00000000-0005-0000-0000-0000EA150000}"/>
    <cellStyle name="Texto de Aviso 2 4" xfId="5607" xr:uid="{00000000-0005-0000-0000-0000EB150000}"/>
    <cellStyle name="Texto de Aviso 3" xfId="5608" xr:uid="{00000000-0005-0000-0000-0000EC150000}"/>
    <cellStyle name="Texto de Aviso 3 2" xfId="5609" xr:uid="{00000000-0005-0000-0000-0000ED150000}"/>
    <cellStyle name="Texto de Aviso 4" xfId="5610" xr:uid="{00000000-0005-0000-0000-0000EE150000}"/>
    <cellStyle name="Texto de Aviso 4 2" xfId="5611" xr:uid="{00000000-0005-0000-0000-0000EF150000}"/>
    <cellStyle name="Texto de Aviso 5" xfId="5612" xr:uid="{00000000-0005-0000-0000-0000F0150000}"/>
    <cellStyle name="Texto de Aviso 5 2" xfId="5613" xr:uid="{00000000-0005-0000-0000-0000F1150000}"/>
    <cellStyle name="Texto de Aviso 6" xfId="5614" xr:uid="{00000000-0005-0000-0000-0000F2150000}"/>
    <cellStyle name="Texto de Aviso 6 2" xfId="5615" xr:uid="{00000000-0005-0000-0000-0000F3150000}"/>
    <cellStyle name="Texto de Aviso 7" xfId="5616" xr:uid="{00000000-0005-0000-0000-0000F4150000}"/>
    <cellStyle name="Texto de Aviso 7 2" xfId="5617" xr:uid="{00000000-0005-0000-0000-0000F5150000}"/>
    <cellStyle name="Texto de Aviso 8" xfId="5618" xr:uid="{00000000-0005-0000-0000-0000F6150000}"/>
    <cellStyle name="Texto de Aviso 9" xfId="5619" xr:uid="{00000000-0005-0000-0000-0000F7150000}"/>
    <cellStyle name="Texto Explicativo 2" xfId="5620" xr:uid="{00000000-0005-0000-0000-0000F8150000}"/>
    <cellStyle name="Texto Explicativo 2 2" xfId="5621" xr:uid="{00000000-0005-0000-0000-0000F9150000}"/>
    <cellStyle name="Texto Explicativo 2 2 2" xfId="5622" xr:uid="{00000000-0005-0000-0000-0000FA150000}"/>
    <cellStyle name="Texto Explicativo 2 3" xfId="5623" xr:uid="{00000000-0005-0000-0000-0000FB150000}"/>
    <cellStyle name="Texto Explicativo 2 3 2" xfId="5624" xr:uid="{00000000-0005-0000-0000-0000FC150000}"/>
    <cellStyle name="Texto Explicativo 2 4" xfId="5625" xr:uid="{00000000-0005-0000-0000-0000FD150000}"/>
    <cellStyle name="Texto Explicativo 3" xfId="5626" xr:uid="{00000000-0005-0000-0000-0000FE150000}"/>
    <cellStyle name="Texto Explicativo 3 2" xfId="5627" xr:uid="{00000000-0005-0000-0000-0000FF150000}"/>
    <cellStyle name="Texto Explicativo 4" xfId="5628" xr:uid="{00000000-0005-0000-0000-000000160000}"/>
    <cellStyle name="Texto Explicativo 4 2" xfId="5629" xr:uid="{00000000-0005-0000-0000-000001160000}"/>
    <cellStyle name="Texto Explicativo 5" xfId="5630" xr:uid="{00000000-0005-0000-0000-000002160000}"/>
    <cellStyle name="Texto Explicativo 5 2" xfId="5631" xr:uid="{00000000-0005-0000-0000-000003160000}"/>
    <cellStyle name="Texto Explicativo 6" xfId="5632" xr:uid="{00000000-0005-0000-0000-000004160000}"/>
    <cellStyle name="Texto Explicativo 6 2" xfId="5633" xr:uid="{00000000-0005-0000-0000-000005160000}"/>
    <cellStyle name="Texto Explicativo 7" xfId="5634" xr:uid="{00000000-0005-0000-0000-000006160000}"/>
    <cellStyle name="Texto Explicativo 7 2" xfId="5635" xr:uid="{00000000-0005-0000-0000-000007160000}"/>
    <cellStyle name="Texto Explicativo 8" xfId="5636" xr:uid="{00000000-0005-0000-0000-000008160000}"/>
    <cellStyle name="Texto Explicativo 9" xfId="5637" xr:uid="{00000000-0005-0000-0000-000009160000}"/>
    <cellStyle name="Tickmark" xfId="5638" xr:uid="{00000000-0005-0000-0000-00000A160000}"/>
    <cellStyle name="Tickmark 2" xfId="5639" xr:uid="{00000000-0005-0000-0000-00000B160000}"/>
    <cellStyle name="Tickmark 3" xfId="5640" xr:uid="{00000000-0005-0000-0000-00000C160000}"/>
    <cellStyle name="Title" xfId="5641" xr:uid="{00000000-0005-0000-0000-00000D160000}"/>
    <cellStyle name="Title 2" xfId="5642" xr:uid="{00000000-0005-0000-0000-00000E160000}"/>
    <cellStyle name="Título 1 2" xfId="5643" xr:uid="{00000000-0005-0000-0000-00000F160000}"/>
    <cellStyle name="Título 1 2 2" xfId="5644" xr:uid="{00000000-0005-0000-0000-000010160000}"/>
    <cellStyle name="Título 1 2 2 2" xfId="5645" xr:uid="{00000000-0005-0000-0000-000011160000}"/>
    <cellStyle name="Título 1 2 3" xfId="5646" xr:uid="{00000000-0005-0000-0000-000012160000}"/>
    <cellStyle name="Título 1 2 3 2" xfId="5647" xr:uid="{00000000-0005-0000-0000-000013160000}"/>
    <cellStyle name="Título 1 2 4" xfId="5648" xr:uid="{00000000-0005-0000-0000-000014160000}"/>
    <cellStyle name="Título 1 3" xfId="5649" xr:uid="{00000000-0005-0000-0000-000015160000}"/>
    <cellStyle name="Título 1 3 2" xfId="5650" xr:uid="{00000000-0005-0000-0000-000016160000}"/>
    <cellStyle name="Título 1 4" xfId="5651" xr:uid="{00000000-0005-0000-0000-000017160000}"/>
    <cellStyle name="Título 1 4 2" xfId="5652" xr:uid="{00000000-0005-0000-0000-000018160000}"/>
    <cellStyle name="Título 1 5" xfId="5653" xr:uid="{00000000-0005-0000-0000-000019160000}"/>
    <cellStyle name="Título 1 5 2" xfId="5654" xr:uid="{00000000-0005-0000-0000-00001A160000}"/>
    <cellStyle name="Título 1 6" xfId="5655" xr:uid="{00000000-0005-0000-0000-00001B160000}"/>
    <cellStyle name="Título 1 6 2" xfId="5656" xr:uid="{00000000-0005-0000-0000-00001C160000}"/>
    <cellStyle name="Título 1 7" xfId="5657" xr:uid="{00000000-0005-0000-0000-00001D160000}"/>
    <cellStyle name="Título 1 7 2" xfId="5658" xr:uid="{00000000-0005-0000-0000-00001E160000}"/>
    <cellStyle name="Título 1 8" xfId="5659" xr:uid="{00000000-0005-0000-0000-00001F160000}"/>
    <cellStyle name="Título 1 9" xfId="5660" xr:uid="{00000000-0005-0000-0000-000020160000}"/>
    <cellStyle name="Título 10" xfId="5661" xr:uid="{00000000-0005-0000-0000-000021160000}"/>
    <cellStyle name="Título 10 2" xfId="5662" xr:uid="{00000000-0005-0000-0000-000022160000}"/>
    <cellStyle name="Título 11" xfId="5663" xr:uid="{00000000-0005-0000-0000-000023160000}"/>
    <cellStyle name="Título 2 2" xfId="5664" xr:uid="{00000000-0005-0000-0000-000024160000}"/>
    <cellStyle name="Título 2 2 2" xfId="5665" xr:uid="{00000000-0005-0000-0000-000025160000}"/>
    <cellStyle name="Título 2 2 2 2" xfId="5666" xr:uid="{00000000-0005-0000-0000-000026160000}"/>
    <cellStyle name="Título 2 2 3" xfId="5667" xr:uid="{00000000-0005-0000-0000-000027160000}"/>
    <cellStyle name="Título 2 2 3 2" xfId="5668" xr:uid="{00000000-0005-0000-0000-000028160000}"/>
    <cellStyle name="Título 2 2 4" xfId="5669" xr:uid="{00000000-0005-0000-0000-000029160000}"/>
    <cellStyle name="Título 2 3" xfId="5670" xr:uid="{00000000-0005-0000-0000-00002A160000}"/>
    <cellStyle name="Título 2 3 2" xfId="5671" xr:uid="{00000000-0005-0000-0000-00002B160000}"/>
    <cellStyle name="Título 2 4" xfId="5672" xr:uid="{00000000-0005-0000-0000-00002C160000}"/>
    <cellStyle name="Título 2 4 2" xfId="5673" xr:uid="{00000000-0005-0000-0000-00002D160000}"/>
    <cellStyle name="Título 2 5" xfId="5674" xr:uid="{00000000-0005-0000-0000-00002E160000}"/>
    <cellStyle name="Título 2 5 2" xfId="5675" xr:uid="{00000000-0005-0000-0000-00002F160000}"/>
    <cellStyle name="Título 2 6" xfId="5676" xr:uid="{00000000-0005-0000-0000-000030160000}"/>
    <cellStyle name="Título 2 6 2" xfId="5677" xr:uid="{00000000-0005-0000-0000-000031160000}"/>
    <cellStyle name="Título 2 7" xfId="5678" xr:uid="{00000000-0005-0000-0000-000032160000}"/>
    <cellStyle name="Título 2 7 2" xfId="5679" xr:uid="{00000000-0005-0000-0000-000033160000}"/>
    <cellStyle name="Título 2 8" xfId="5680" xr:uid="{00000000-0005-0000-0000-000034160000}"/>
    <cellStyle name="Título 2 9" xfId="5681" xr:uid="{00000000-0005-0000-0000-000035160000}"/>
    <cellStyle name="Título 3 2" xfId="5682" xr:uid="{00000000-0005-0000-0000-000036160000}"/>
    <cellStyle name="Título 3 2 2" xfId="5683" xr:uid="{00000000-0005-0000-0000-000037160000}"/>
    <cellStyle name="Título 3 2 2 2" xfId="5684" xr:uid="{00000000-0005-0000-0000-000038160000}"/>
    <cellStyle name="Título 3 2 3" xfId="5685" xr:uid="{00000000-0005-0000-0000-000039160000}"/>
    <cellStyle name="Título 3 2 3 2" xfId="5686" xr:uid="{00000000-0005-0000-0000-00003A160000}"/>
    <cellStyle name="Título 3 2 4" xfId="5687" xr:uid="{00000000-0005-0000-0000-00003B160000}"/>
    <cellStyle name="Título 3 3" xfId="5688" xr:uid="{00000000-0005-0000-0000-00003C160000}"/>
    <cellStyle name="Título 3 3 2" xfId="5689" xr:uid="{00000000-0005-0000-0000-00003D160000}"/>
    <cellStyle name="Título 3 4" xfId="5690" xr:uid="{00000000-0005-0000-0000-00003E160000}"/>
    <cellStyle name="Título 3 4 2" xfId="5691" xr:uid="{00000000-0005-0000-0000-00003F160000}"/>
    <cellStyle name="Título 3 5" xfId="5692" xr:uid="{00000000-0005-0000-0000-000040160000}"/>
    <cellStyle name="Título 3 5 2" xfId="5693" xr:uid="{00000000-0005-0000-0000-000041160000}"/>
    <cellStyle name="Título 3 6" xfId="5694" xr:uid="{00000000-0005-0000-0000-000042160000}"/>
    <cellStyle name="Título 3 6 2" xfId="5695" xr:uid="{00000000-0005-0000-0000-000043160000}"/>
    <cellStyle name="Título 3 7" xfId="5696" xr:uid="{00000000-0005-0000-0000-000044160000}"/>
    <cellStyle name="Título 3 7 2" xfId="5697" xr:uid="{00000000-0005-0000-0000-000045160000}"/>
    <cellStyle name="Título 3 8" xfId="5698" xr:uid="{00000000-0005-0000-0000-000046160000}"/>
    <cellStyle name="Título 3 9" xfId="5699" xr:uid="{00000000-0005-0000-0000-000047160000}"/>
    <cellStyle name="Título 4 2" xfId="5700" xr:uid="{00000000-0005-0000-0000-000048160000}"/>
    <cellStyle name="Título 4 2 2" xfId="5701" xr:uid="{00000000-0005-0000-0000-000049160000}"/>
    <cellStyle name="Título 4 2 2 2" xfId="5702" xr:uid="{00000000-0005-0000-0000-00004A160000}"/>
    <cellStyle name="Título 4 2 3" xfId="5703" xr:uid="{00000000-0005-0000-0000-00004B160000}"/>
    <cellStyle name="Título 4 2 3 2" xfId="5704" xr:uid="{00000000-0005-0000-0000-00004C160000}"/>
    <cellStyle name="Título 4 2 4" xfId="5705" xr:uid="{00000000-0005-0000-0000-00004D160000}"/>
    <cellStyle name="Título 4 3" xfId="5706" xr:uid="{00000000-0005-0000-0000-00004E160000}"/>
    <cellStyle name="Título 4 3 2" xfId="5707" xr:uid="{00000000-0005-0000-0000-00004F160000}"/>
    <cellStyle name="Título 4 4" xfId="5708" xr:uid="{00000000-0005-0000-0000-000050160000}"/>
    <cellStyle name="Título 4 4 2" xfId="5709" xr:uid="{00000000-0005-0000-0000-000051160000}"/>
    <cellStyle name="Título 4 5" xfId="5710" xr:uid="{00000000-0005-0000-0000-000052160000}"/>
    <cellStyle name="Título 4 5 2" xfId="5711" xr:uid="{00000000-0005-0000-0000-000053160000}"/>
    <cellStyle name="Título 4 6" xfId="5712" xr:uid="{00000000-0005-0000-0000-000054160000}"/>
    <cellStyle name="Título 4 6 2" xfId="5713" xr:uid="{00000000-0005-0000-0000-000055160000}"/>
    <cellStyle name="Título 4 7" xfId="5714" xr:uid="{00000000-0005-0000-0000-000056160000}"/>
    <cellStyle name="Título 4 7 2" xfId="5715" xr:uid="{00000000-0005-0000-0000-000057160000}"/>
    <cellStyle name="Título 4 8" xfId="5716" xr:uid="{00000000-0005-0000-0000-000058160000}"/>
    <cellStyle name="Título 4 9" xfId="5717" xr:uid="{00000000-0005-0000-0000-000059160000}"/>
    <cellStyle name="Título 5" xfId="5718" xr:uid="{00000000-0005-0000-0000-00005A160000}"/>
    <cellStyle name="Título 5 2" xfId="5719" xr:uid="{00000000-0005-0000-0000-00005B160000}"/>
    <cellStyle name="Título 5 2 2" xfId="5720" xr:uid="{00000000-0005-0000-0000-00005C160000}"/>
    <cellStyle name="Título 5 3" xfId="5721" xr:uid="{00000000-0005-0000-0000-00005D160000}"/>
    <cellStyle name="Título 6" xfId="5722" xr:uid="{00000000-0005-0000-0000-00005E160000}"/>
    <cellStyle name="Título 6 2" xfId="5723" xr:uid="{00000000-0005-0000-0000-00005F160000}"/>
    <cellStyle name="Título 7" xfId="5724" xr:uid="{00000000-0005-0000-0000-000060160000}"/>
    <cellStyle name="Título 7 2" xfId="5725" xr:uid="{00000000-0005-0000-0000-000061160000}"/>
    <cellStyle name="Título 8" xfId="5726" xr:uid="{00000000-0005-0000-0000-000062160000}"/>
    <cellStyle name="Título 8 2" xfId="5727" xr:uid="{00000000-0005-0000-0000-000063160000}"/>
    <cellStyle name="Título 9" xfId="5728" xr:uid="{00000000-0005-0000-0000-000064160000}"/>
    <cellStyle name="Título 9 2" xfId="5729" xr:uid="{00000000-0005-0000-0000-000065160000}"/>
    <cellStyle name="Títulos" xfId="5730" xr:uid="{00000000-0005-0000-0000-000066160000}"/>
    <cellStyle name="Total 2" xfId="5731" xr:uid="{00000000-0005-0000-0000-000067160000}"/>
    <cellStyle name="Total 2 2" xfId="5732" xr:uid="{00000000-0005-0000-0000-000068160000}"/>
    <cellStyle name="Total 2 2 2" xfId="5733" xr:uid="{00000000-0005-0000-0000-000069160000}"/>
    <cellStyle name="Total 2 3" xfId="5734" xr:uid="{00000000-0005-0000-0000-00006A160000}"/>
    <cellStyle name="Total 2 3 2" xfId="5735" xr:uid="{00000000-0005-0000-0000-00006B160000}"/>
    <cellStyle name="Total 2 4" xfId="5736" xr:uid="{00000000-0005-0000-0000-00006C160000}"/>
    <cellStyle name="Total 3" xfId="5737" xr:uid="{00000000-0005-0000-0000-00006D160000}"/>
    <cellStyle name="Total 3 2" xfId="5738" xr:uid="{00000000-0005-0000-0000-00006E160000}"/>
    <cellStyle name="Total 4" xfId="5739" xr:uid="{00000000-0005-0000-0000-00006F160000}"/>
    <cellStyle name="Total 4 2" xfId="5740" xr:uid="{00000000-0005-0000-0000-000070160000}"/>
    <cellStyle name="Total 5" xfId="5741" xr:uid="{00000000-0005-0000-0000-000071160000}"/>
    <cellStyle name="Total 5 2" xfId="5742" xr:uid="{00000000-0005-0000-0000-000072160000}"/>
    <cellStyle name="Total 6" xfId="5743" xr:uid="{00000000-0005-0000-0000-000073160000}"/>
    <cellStyle name="Total 6 2" xfId="5744" xr:uid="{00000000-0005-0000-0000-000074160000}"/>
    <cellStyle name="Total 7" xfId="5745" xr:uid="{00000000-0005-0000-0000-000075160000}"/>
    <cellStyle name="Total 7 2" xfId="5746" xr:uid="{00000000-0005-0000-0000-000076160000}"/>
    <cellStyle name="Total 8" xfId="5747" xr:uid="{00000000-0005-0000-0000-000077160000}"/>
    <cellStyle name="Total 9" xfId="5748" xr:uid="{00000000-0005-0000-0000-000078160000}"/>
    <cellStyle name="ú" xfId="5749" xr:uid="{00000000-0005-0000-0000-000079160000}"/>
    <cellStyle name="ú 2" xfId="5750" xr:uid="{00000000-0005-0000-0000-00007A160000}"/>
    <cellStyle name="Unprotect" xfId="5751" xr:uid="{00000000-0005-0000-0000-00007B160000}"/>
    <cellStyle name="Vírgula" xfId="5798" builtinId="3"/>
    <cellStyle name="Vírgula 10" xfId="1" xr:uid="{00000000-0005-0000-0000-00007D160000}"/>
    <cellStyle name="Vírgula 11" xfId="5752" xr:uid="{00000000-0005-0000-0000-00007E160000}"/>
    <cellStyle name="Vírgula 2" xfId="5753" xr:uid="{00000000-0005-0000-0000-00007F160000}"/>
    <cellStyle name="Vírgula 2 2" xfId="5754" xr:uid="{00000000-0005-0000-0000-000080160000}"/>
    <cellStyle name="Vírgula 3" xfId="5755" xr:uid="{00000000-0005-0000-0000-000081160000}"/>
    <cellStyle name="Vírgula 3 2" xfId="5756" xr:uid="{00000000-0005-0000-0000-000082160000}"/>
    <cellStyle name="Vírgula 3 2 2" xfId="5757" xr:uid="{00000000-0005-0000-0000-000083160000}"/>
    <cellStyle name="Vírgula 3 3" xfId="5758" xr:uid="{00000000-0005-0000-0000-000084160000}"/>
    <cellStyle name="Vírgula 3 3 2" xfId="5759" xr:uid="{00000000-0005-0000-0000-000085160000}"/>
    <cellStyle name="Vírgula 4" xfId="5760" xr:uid="{00000000-0005-0000-0000-000086160000}"/>
    <cellStyle name="Vírgula 4 2" xfId="5761" xr:uid="{00000000-0005-0000-0000-000087160000}"/>
    <cellStyle name="Vírgula 5" xfId="5762" xr:uid="{00000000-0005-0000-0000-000088160000}"/>
    <cellStyle name="Vírgula 5 2" xfId="5763" xr:uid="{00000000-0005-0000-0000-000089160000}"/>
    <cellStyle name="Vírgula 6" xfId="5764" xr:uid="{00000000-0005-0000-0000-00008A160000}"/>
    <cellStyle name="Vírgula 7" xfId="5765" xr:uid="{00000000-0005-0000-0000-00008B160000}"/>
    <cellStyle name="Vírgula 8" xfId="5766" xr:uid="{00000000-0005-0000-0000-00008C160000}"/>
    <cellStyle name="Vírgula 9" xfId="5767" xr:uid="{00000000-0005-0000-0000-00008D160000}"/>
    <cellStyle name="Währung [0]_Compiling Utility Macros" xfId="5768" xr:uid="{00000000-0005-0000-0000-00008E160000}"/>
    <cellStyle name="Währung_Compiling Utility Macros" xfId="5769" xr:uid="{00000000-0005-0000-0000-00008F160000}"/>
    <cellStyle name="Walutowy [0]_laroux" xfId="5770" xr:uid="{00000000-0005-0000-0000-000090160000}"/>
    <cellStyle name="Walutowy_laroux" xfId="5771" xr:uid="{00000000-0005-0000-0000-000091160000}"/>
    <cellStyle name="Warning Text" xfId="5772" xr:uid="{00000000-0005-0000-0000-000092160000}"/>
    <cellStyle name="Warning Text 2" xfId="5773" xr:uid="{00000000-0005-0000-0000-000093160000}"/>
    <cellStyle name="XComma" xfId="5774" xr:uid="{00000000-0005-0000-0000-000094160000}"/>
    <cellStyle name="XComma 0.0" xfId="5775" xr:uid="{00000000-0005-0000-0000-000095160000}"/>
    <cellStyle name="XComma 0.00" xfId="5776" xr:uid="{00000000-0005-0000-0000-000096160000}"/>
    <cellStyle name="XComma 0.000" xfId="5777" xr:uid="{00000000-0005-0000-0000-000097160000}"/>
    <cellStyle name="XCurrency" xfId="5778" xr:uid="{00000000-0005-0000-0000-000098160000}"/>
    <cellStyle name="XCurrency 0.0" xfId="5779" xr:uid="{00000000-0005-0000-0000-000099160000}"/>
    <cellStyle name="XCurrency 0.00" xfId="5780" xr:uid="{00000000-0005-0000-0000-00009A160000}"/>
    <cellStyle name="XCurrency 0.000" xfId="5781" xr:uid="{00000000-0005-0000-0000-00009B160000}"/>
    <cellStyle name="千位分隔[0]_BOOK1" xfId="5782" xr:uid="{00000000-0005-0000-0000-00009C160000}"/>
    <cellStyle name="千位分隔_BOOK1" xfId="5783" xr:uid="{00000000-0005-0000-0000-00009D160000}"/>
    <cellStyle name="常规_BOOK1" xfId="5784" xr:uid="{00000000-0005-0000-0000-00009E160000}"/>
    <cellStyle name="归盒啦_95" xfId="5785" xr:uid="{00000000-0005-0000-0000-00009F160000}"/>
    <cellStyle name="烹拳 [0]_4瞒俊辑 柯 5瞒" xfId="5786" xr:uid="{00000000-0005-0000-0000-0000A0160000}"/>
    <cellStyle name="烹拳_4瞒俊辑 柯 5瞒" xfId="5787" xr:uid="{00000000-0005-0000-0000-0000A1160000}"/>
    <cellStyle name="货币[0]_BOOK1" xfId="5788" xr:uid="{00000000-0005-0000-0000-0000A2160000}"/>
    <cellStyle name="货币_BOOK1" xfId="5789" xr:uid="{00000000-0005-0000-0000-0000A3160000}"/>
    <cellStyle name="钎霖_3八脚没" xfId="5790" xr:uid="{00000000-0005-0000-0000-0000A4160000}"/>
    <cellStyle name="霓付 [0]_4瞒俊辑 柯 5瞒" xfId="5791" xr:uid="{00000000-0005-0000-0000-0000A5160000}"/>
    <cellStyle name="霓付_4瞒俊辑 柯 5瞒" xfId="5792" xr:uid="{00000000-0005-0000-0000-0000A616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314325</xdr:colOff>
      <xdr:row>0</xdr:row>
      <xdr:rowOff>85725</xdr:rowOff>
    </xdr:from>
    <xdr:to>
      <xdr:col>11</xdr:col>
      <xdr:colOff>381000</xdr:colOff>
      <xdr:row>6</xdr:row>
      <xdr:rowOff>0</xdr:rowOff>
    </xdr:to>
    <xdr:pic>
      <xdr:nvPicPr>
        <xdr:cNvPr id="4" name="Imagem 3">
          <a:extLst>
            <a:ext uri="{FF2B5EF4-FFF2-40B4-BE49-F238E27FC236}">
              <a16:creationId xmlns:a16="http://schemas.microsoft.com/office/drawing/2014/main" id="{94F0F7CD-9BD0-63EA-6B6F-0FA94FDCA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85725"/>
          <a:ext cx="250507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66675</xdr:rowOff>
    </xdr:from>
    <xdr:to>
      <xdr:col>0</xdr:col>
      <xdr:colOff>1381125</xdr:colOff>
      <xdr:row>3</xdr:row>
      <xdr:rowOff>0</xdr:rowOff>
    </xdr:to>
    <xdr:sp macro="" textlink="">
      <xdr:nvSpPr>
        <xdr:cNvPr id="3" name="Freeform 37">
          <a:extLst>
            <a:ext uri="{FF2B5EF4-FFF2-40B4-BE49-F238E27FC236}">
              <a16:creationId xmlns:a16="http://schemas.microsoft.com/office/drawing/2014/main" id="{00000000-0008-0000-0100-000003000000}"/>
            </a:ext>
          </a:extLst>
        </xdr:cNvPr>
        <xdr:cNvSpPr>
          <a:spLocks noEditPoints="1"/>
        </xdr:cNvSpPr>
      </xdr:nvSpPr>
      <xdr:spPr bwMode="auto">
        <a:xfrm>
          <a:off x="57150" y="66675"/>
          <a:ext cx="1323975" cy="523875"/>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66675</xdr:rowOff>
    </xdr:from>
    <xdr:to>
      <xdr:col>0</xdr:col>
      <xdr:colOff>1371600</xdr:colOff>
      <xdr:row>4</xdr:row>
      <xdr:rowOff>0</xdr:rowOff>
    </xdr:to>
    <xdr:sp macro="" textlink="">
      <xdr:nvSpPr>
        <xdr:cNvPr id="2" name="Freeform 37">
          <a:extLst>
            <a:ext uri="{FF2B5EF4-FFF2-40B4-BE49-F238E27FC236}">
              <a16:creationId xmlns:a16="http://schemas.microsoft.com/office/drawing/2014/main" id="{00000000-0008-0000-0200-000002000000}"/>
            </a:ext>
          </a:extLst>
        </xdr:cNvPr>
        <xdr:cNvSpPr>
          <a:spLocks noEditPoints="1"/>
        </xdr:cNvSpPr>
      </xdr:nvSpPr>
      <xdr:spPr bwMode="auto">
        <a:xfrm>
          <a:off x="47625" y="66675"/>
          <a:ext cx="1323975" cy="542925"/>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28575</xdr:rowOff>
    </xdr:from>
    <xdr:to>
      <xdr:col>0</xdr:col>
      <xdr:colOff>1371600</xdr:colOff>
      <xdr:row>3</xdr:row>
      <xdr:rowOff>18917</xdr:rowOff>
    </xdr:to>
    <xdr:sp macro="" textlink="">
      <xdr:nvSpPr>
        <xdr:cNvPr id="2" name="Freeform 37">
          <a:extLst>
            <a:ext uri="{FF2B5EF4-FFF2-40B4-BE49-F238E27FC236}">
              <a16:creationId xmlns:a16="http://schemas.microsoft.com/office/drawing/2014/main" id="{00000000-0008-0000-0300-000002000000}"/>
            </a:ext>
          </a:extLst>
        </xdr:cNvPr>
        <xdr:cNvSpPr>
          <a:spLocks noEditPoints="1"/>
        </xdr:cNvSpPr>
      </xdr:nvSpPr>
      <xdr:spPr bwMode="auto">
        <a:xfrm>
          <a:off x="47625" y="28575"/>
          <a:ext cx="1323975" cy="46659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twoCellAnchor>
    <xdr:from>
      <xdr:col>0</xdr:col>
      <xdr:colOff>47625</xdr:colOff>
      <xdr:row>0</xdr:row>
      <xdr:rowOff>0</xdr:rowOff>
    </xdr:from>
    <xdr:to>
      <xdr:col>0</xdr:col>
      <xdr:colOff>1371600</xdr:colOff>
      <xdr:row>3</xdr:row>
      <xdr:rowOff>18917</xdr:rowOff>
    </xdr:to>
    <xdr:sp macro="" textlink="">
      <xdr:nvSpPr>
        <xdr:cNvPr id="3" name="Freeform 37">
          <a:extLst>
            <a:ext uri="{FF2B5EF4-FFF2-40B4-BE49-F238E27FC236}">
              <a16:creationId xmlns:a16="http://schemas.microsoft.com/office/drawing/2014/main" id="{552B9F10-4248-481A-9FFE-0209BA872A20}"/>
            </a:ext>
          </a:extLst>
        </xdr:cNvPr>
        <xdr:cNvSpPr>
          <a:spLocks noEditPoints="1"/>
        </xdr:cNvSpPr>
      </xdr:nvSpPr>
      <xdr:spPr bwMode="auto">
        <a:xfrm>
          <a:off x="47625" y="0"/>
          <a:ext cx="1323975" cy="52374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9526</xdr:rowOff>
    </xdr:from>
    <xdr:to>
      <xdr:col>0</xdr:col>
      <xdr:colOff>1343025</xdr:colOff>
      <xdr:row>3</xdr:row>
      <xdr:rowOff>9393</xdr:rowOff>
    </xdr:to>
    <xdr:sp macro="" textlink="">
      <xdr:nvSpPr>
        <xdr:cNvPr id="4" name="Freeform 37">
          <a:extLst>
            <a:ext uri="{FF2B5EF4-FFF2-40B4-BE49-F238E27FC236}">
              <a16:creationId xmlns:a16="http://schemas.microsoft.com/office/drawing/2014/main" id="{00000000-0008-0000-0400-000004000000}"/>
            </a:ext>
          </a:extLst>
        </xdr:cNvPr>
        <xdr:cNvSpPr>
          <a:spLocks noEditPoints="1"/>
        </xdr:cNvSpPr>
      </xdr:nvSpPr>
      <xdr:spPr bwMode="auto">
        <a:xfrm>
          <a:off x="19050" y="9526"/>
          <a:ext cx="1323975" cy="504692"/>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1323975</xdr:colOff>
      <xdr:row>2</xdr:row>
      <xdr:rowOff>171318</xdr:rowOff>
    </xdr:to>
    <xdr:sp macro="" textlink="">
      <xdr:nvSpPr>
        <xdr:cNvPr id="2" name="Freeform 37">
          <a:extLst>
            <a:ext uri="{FF2B5EF4-FFF2-40B4-BE49-F238E27FC236}">
              <a16:creationId xmlns:a16="http://schemas.microsoft.com/office/drawing/2014/main" id="{00000000-0008-0000-0500-000002000000}"/>
            </a:ext>
          </a:extLst>
        </xdr:cNvPr>
        <xdr:cNvSpPr>
          <a:spLocks noEditPoints="1"/>
        </xdr:cNvSpPr>
      </xdr:nvSpPr>
      <xdr:spPr bwMode="auto">
        <a:xfrm>
          <a:off x="0" y="0"/>
          <a:ext cx="1323975" cy="466593"/>
        </a:xfrm>
        <a:custGeom>
          <a:avLst/>
          <a:gdLst>
            <a:gd name="T0" fmla="*/ 551 w 777"/>
            <a:gd name="T1" fmla="*/ 3 h 358"/>
            <a:gd name="T2" fmla="*/ 594 w 777"/>
            <a:gd name="T3" fmla="*/ 243 h 358"/>
            <a:gd name="T4" fmla="*/ 319 w 777"/>
            <a:gd name="T5" fmla="*/ 299 h 358"/>
            <a:gd name="T6" fmla="*/ 354 w 777"/>
            <a:gd name="T7" fmla="*/ 333 h 358"/>
            <a:gd name="T8" fmla="*/ 389 w 777"/>
            <a:gd name="T9" fmla="*/ 299 h 358"/>
            <a:gd name="T10" fmla="*/ 354 w 777"/>
            <a:gd name="T11" fmla="*/ 264 h 358"/>
            <a:gd name="T12" fmla="*/ 319 w 777"/>
            <a:gd name="T13" fmla="*/ 299 h 358"/>
            <a:gd name="T14" fmla="*/ 238 w 777"/>
            <a:gd name="T15" fmla="*/ 68 h 358"/>
            <a:gd name="T16" fmla="*/ 345 w 777"/>
            <a:gd name="T17" fmla="*/ 53 h 358"/>
            <a:gd name="T18" fmla="*/ 463 w 777"/>
            <a:gd name="T19" fmla="*/ 53 h 358"/>
            <a:gd name="T20" fmla="*/ 17 w 777"/>
            <a:gd name="T21" fmla="*/ 267 h 358"/>
            <a:gd name="T22" fmla="*/ 27 w 777"/>
            <a:gd name="T23" fmla="*/ 279 h 358"/>
            <a:gd name="T24" fmla="*/ 49 w 777"/>
            <a:gd name="T25" fmla="*/ 279 h 358"/>
            <a:gd name="T26" fmla="*/ 518 w 777"/>
            <a:gd name="T27" fmla="*/ 314 h 358"/>
            <a:gd name="T28" fmla="*/ 499 w 777"/>
            <a:gd name="T29" fmla="*/ 301 h 358"/>
            <a:gd name="T30" fmla="*/ 534 w 777"/>
            <a:gd name="T31" fmla="*/ 332 h 358"/>
            <a:gd name="T32" fmla="*/ 538 w 777"/>
            <a:gd name="T33" fmla="*/ 318 h 358"/>
            <a:gd name="T34" fmla="*/ 600 w 777"/>
            <a:gd name="T35" fmla="*/ 332 h 358"/>
            <a:gd name="T36" fmla="*/ 604 w 777"/>
            <a:gd name="T37" fmla="*/ 272 h 358"/>
            <a:gd name="T38" fmla="*/ 561 w 777"/>
            <a:gd name="T39" fmla="*/ 332 h 358"/>
            <a:gd name="T40" fmla="*/ 315 w 777"/>
            <a:gd name="T41" fmla="*/ 265 h 358"/>
            <a:gd name="T42" fmla="*/ 278 w 777"/>
            <a:gd name="T43" fmla="*/ 297 h 358"/>
            <a:gd name="T44" fmla="*/ 315 w 777"/>
            <a:gd name="T45" fmla="*/ 309 h 358"/>
            <a:gd name="T46" fmla="*/ 315 w 777"/>
            <a:gd name="T47" fmla="*/ 278 h 358"/>
            <a:gd name="T48" fmla="*/ 145 w 777"/>
            <a:gd name="T49" fmla="*/ 295 h 358"/>
            <a:gd name="T50" fmla="*/ 159 w 777"/>
            <a:gd name="T51" fmla="*/ 299 h 358"/>
            <a:gd name="T52" fmla="*/ 184 w 777"/>
            <a:gd name="T53" fmla="*/ 279 h 358"/>
            <a:gd name="T54" fmla="*/ 187 w 777"/>
            <a:gd name="T55" fmla="*/ 265 h 358"/>
            <a:gd name="T56" fmla="*/ 152 w 777"/>
            <a:gd name="T57" fmla="*/ 277 h 358"/>
            <a:gd name="T58" fmla="*/ 118 w 777"/>
            <a:gd name="T59" fmla="*/ 265 h 358"/>
            <a:gd name="T60" fmla="*/ 120 w 777"/>
            <a:gd name="T61" fmla="*/ 332 h 358"/>
            <a:gd name="T62" fmla="*/ 407 w 777"/>
            <a:gd name="T63" fmla="*/ 268 h 358"/>
            <a:gd name="T64" fmla="*/ 407 w 777"/>
            <a:gd name="T65" fmla="*/ 332 h 358"/>
            <a:gd name="T66" fmla="*/ 435 w 777"/>
            <a:gd name="T67" fmla="*/ 284 h 358"/>
            <a:gd name="T68" fmla="*/ 369 w 777"/>
            <a:gd name="T69" fmla="*/ 284 h 358"/>
            <a:gd name="T70" fmla="*/ 339 w 777"/>
            <a:gd name="T71" fmla="*/ 313 h 358"/>
            <a:gd name="T72" fmla="*/ 492 w 777"/>
            <a:gd name="T73" fmla="*/ 278 h 358"/>
            <a:gd name="T74" fmla="*/ 456 w 777"/>
            <a:gd name="T75" fmla="*/ 290 h 358"/>
            <a:gd name="T76" fmla="*/ 455 w 777"/>
            <a:gd name="T77" fmla="*/ 329 h 358"/>
            <a:gd name="T78" fmla="*/ 469 w 777"/>
            <a:gd name="T79" fmla="*/ 329 h 358"/>
            <a:gd name="T80" fmla="*/ 492 w 777"/>
            <a:gd name="T81" fmla="*/ 295 h 358"/>
            <a:gd name="T82" fmla="*/ 81 w 777"/>
            <a:gd name="T83" fmla="*/ 282 h 358"/>
            <a:gd name="T84" fmla="*/ 81 w 777"/>
            <a:gd name="T85" fmla="*/ 282 h 358"/>
            <a:gd name="T86" fmla="*/ 207 w 777"/>
            <a:gd name="T87" fmla="*/ 332 h 358"/>
            <a:gd name="T88" fmla="*/ 221 w 777"/>
            <a:gd name="T89" fmla="*/ 306 h 358"/>
            <a:gd name="T90" fmla="*/ 221 w 777"/>
            <a:gd name="T91" fmla="*/ 279 h 358"/>
            <a:gd name="T92" fmla="*/ 95 w 777"/>
            <a:gd name="T93" fmla="*/ 278 h 358"/>
            <a:gd name="T94" fmla="*/ 777 w 777"/>
            <a:gd name="T95" fmla="*/ 0 h 358"/>
            <a:gd name="T96" fmla="*/ 661 w 777"/>
            <a:gd name="T97" fmla="*/ 117 h 358"/>
            <a:gd name="T98" fmla="*/ 630 w 777"/>
            <a:gd name="T99" fmla="*/ 288 h 358"/>
            <a:gd name="T100" fmla="*/ 704 w 777"/>
            <a:gd name="T101" fmla="*/ 164 h 358"/>
            <a:gd name="T102" fmla="*/ 704 w 777"/>
            <a:gd name="T103" fmla="*/ 110 h 358"/>
            <a:gd name="T104" fmla="*/ 551 w 777"/>
            <a:gd name="T105" fmla="*/ 78 h 358"/>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777"/>
            <a:gd name="T160" fmla="*/ 0 h 358"/>
            <a:gd name="T161" fmla="*/ 777 w 777"/>
            <a:gd name="T162" fmla="*/ 358 h 358"/>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777" h="358">
              <a:moveTo>
                <a:pt x="641" y="142"/>
              </a:moveTo>
              <a:lnTo>
                <a:pt x="594" y="142"/>
              </a:lnTo>
              <a:lnTo>
                <a:pt x="594" y="3"/>
              </a:lnTo>
              <a:lnTo>
                <a:pt x="551" y="3"/>
              </a:lnTo>
              <a:lnTo>
                <a:pt x="406" y="192"/>
              </a:lnTo>
              <a:lnTo>
                <a:pt x="551" y="192"/>
              </a:lnTo>
              <a:lnTo>
                <a:pt x="551" y="243"/>
              </a:lnTo>
              <a:lnTo>
                <a:pt x="594" y="243"/>
              </a:lnTo>
              <a:lnTo>
                <a:pt x="594" y="192"/>
              </a:lnTo>
              <a:lnTo>
                <a:pt x="641" y="192"/>
              </a:lnTo>
              <a:lnTo>
                <a:pt x="641" y="142"/>
              </a:lnTo>
              <a:moveTo>
                <a:pt x="319" y="299"/>
              </a:moveTo>
              <a:cubicBezTo>
                <a:pt x="319" y="303"/>
                <a:pt x="320" y="308"/>
                <a:pt x="322" y="312"/>
              </a:cubicBezTo>
              <a:cubicBezTo>
                <a:pt x="324" y="316"/>
                <a:pt x="326" y="320"/>
                <a:pt x="329" y="323"/>
              </a:cubicBezTo>
              <a:cubicBezTo>
                <a:pt x="333" y="326"/>
                <a:pt x="336" y="329"/>
                <a:pt x="340" y="331"/>
              </a:cubicBezTo>
              <a:cubicBezTo>
                <a:pt x="345" y="332"/>
                <a:pt x="349" y="333"/>
                <a:pt x="354" y="333"/>
              </a:cubicBezTo>
              <a:cubicBezTo>
                <a:pt x="359" y="333"/>
                <a:pt x="363" y="332"/>
                <a:pt x="367" y="331"/>
              </a:cubicBezTo>
              <a:cubicBezTo>
                <a:pt x="372" y="329"/>
                <a:pt x="375" y="326"/>
                <a:pt x="379" y="323"/>
              </a:cubicBezTo>
              <a:cubicBezTo>
                <a:pt x="382" y="320"/>
                <a:pt x="384" y="316"/>
                <a:pt x="386" y="312"/>
              </a:cubicBezTo>
              <a:cubicBezTo>
                <a:pt x="388" y="308"/>
                <a:pt x="389" y="303"/>
                <a:pt x="389" y="299"/>
              </a:cubicBezTo>
              <a:cubicBezTo>
                <a:pt x="389" y="294"/>
                <a:pt x="388" y="290"/>
                <a:pt x="386" y="285"/>
              </a:cubicBezTo>
              <a:cubicBezTo>
                <a:pt x="384" y="281"/>
                <a:pt x="382" y="277"/>
                <a:pt x="379" y="274"/>
              </a:cubicBezTo>
              <a:cubicBezTo>
                <a:pt x="375" y="271"/>
                <a:pt x="372" y="269"/>
                <a:pt x="367" y="267"/>
              </a:cubicBezTo>
              <a:cubicBezTo>
                <a:pt x="363" y="265"/>
                <a:pt x="359" y="264"/>
                <a:pt x="354" y="264"/>
              </a:cubicBezTo>
              <a:cubicBezTo>
                <a:pt x="349" y="264"/>
                <a:pt x="345" y="265"/>
                <a:pt x="340" y="267"/>
              </a:cubicBezTo>
              <a:cubicBezTo>
                <a:pt x="336" y="269"/>
                <a:pt x="333" y="271"/>
                <a:pt x="329" y="274"/>
              </a:cubicBezTo>
              <a:cubicBezTo>
                <a:pt x="326" y="277"/>
                <a:pt x="324" y="281"/>
                <a:pt x="322" y="285"/>
              </a:cubicBezTo>
              <a:cubicBezTo>
                <a:pt x="320" y="290"/>
                <a:pt x="319" y="294"/>
                <a:pt x="319" y="299"/>
              </a:cubicBezTo>
              <a:moveTo>
                <a:pt x="463" y="3"/>
              </a:moveTo>
              <a:lnTo>
                <a:pt x="322" y="3"/>
              </a:lnTo>
              <a:cubicBezTo>
                <a:pt x="319" y="3"/>
                <a:pt x="305" y="3"/>
                <a:pt x="289" y="10"/>
              </a:cubicBezTo>
              <a:cubicBezTo>
                <a:pt x="266" y="21"/>
                <a:pt x="248" y="41"/>
                <a:pt x="238" y="68"/>
              </a:cubicBezTo>
              <a:lnTo>
                <a:pt x="278" y="87"/>
              </a:lnTo>
              <a:cubicBezTo>
                <a:pt x="290" y="54"/>
                <a:pt x="318" y="53"/>
                <a:pt x="322" y="53"/>
              </a:cubicBezTo>
              <a:lnTo>
                <a:pt x="345" y="53"/>
              </a:lnTo>
              <a:lnTo>
                <a:pt x="345" y="243"/>
              </a:lnTo>
              <a:lnTo>
                <a:pt x="388" y="243"/>
              </a:lnTo>
              <a:lnTo>
                <a:pt x="388" y="53"/>
              </a:lnTo>
              <a:lnTo>
                <a:pt x="463" y="53"/>
              </a:lnTo>
              <a:lnTo>
                <a:pt x="463" y="3"/>
              </a:lnTo>
              <a:moveTo>
                <a:pt x="73" y="265"/>
              </a:moveTo>
              <a:lnTo>
                <a:pt x="28" y="265"/>
              </a:lnTo>
              <a:cubicBezTo>
                <a:pt x="27" y="265"/>
                <a:pt x="22" y="265"/>
                <a:pt x="17" y="267"/>
              </a:cubicBezTo>
              <a:cubicBezTo>
                <a:pt x="9" y="270"/>
                <a:pt x="3" y="276"/>
                <a:pt x="0" y="283"/>
              </a:cubicBezTo>
              <a:lnTo>
                <a:pt x="13" y="289"/>
              </a:lnTo>
              <a:cubicBezTo>
                <a:pt x="17" y="280"/>
                <a:pt x="26" y="279"/>
                <a:pt x="27" y="279"/>
              </a:cubicBezTo>
              <a:lnTo>
                <a:pt x="35" y="279"/>
              </a:lnTo>
              <a:lnTo>
                <a:pt x="35" y="332"/>
              </a:lnTo>
              <a:lnTo>
                <a:pt x="49" y="332"/>
              </a:lnTo>
              <a:lnTo>
                <a:pt x="49" y="279"/>
              </a:lnTo>
              <a:lnTo>
                <a:pt x="73" y="279"/>
              </a:lnTo>
              <a:lnTo>
                <a:pt x="73" y="265"/>
              </a:lnTo>
              <a:moveTo>
                <a:pt x="538" y="318"/>
              </a:moveTo>
              <a:cubicBezTo>
                <a:pt x="532" y="319"/>
                <a:pt x="523" y="319"/>
                <a:pt x="518" y="314"/>
              </a:cubicBezTo>
              <a:cubicBezTo>
                <a:pt x="514" y="312"/>
                <a:pt x="513" y="308"/>
                <a:pt x="513" y="301"/>
              </a:cubicBezTo>
              <a:cubicBezTo>
                <a:pt x="513" y="301"/>
                <a:pt x="513" y="271"/>
                <a:pt x="513" y="265"/>
              </a:cubicBezTo>
              <a:lnTo>
                <a:pt x="499" y="265"/>
              </a:lnTo>
              <a:lnTo>
                <a:pt x="499" y="301"/>
              </a:lnTo>
              <a:cubicBezTo>
                <a:pt x="499" y="307"/>
                <a:pt x="500" y="312"/>
                <a:pt x="502" y="316"/>
              </a:cubicBezTo>
              <a:cubicBezTo>
                <a:pt x="503" y="319"/>
                <a:pt x="506" y="323"/>
                <a:pt x="509" y="325"/>
              </a:cubicBezTo>
              <a:cubicBezTo>
                <a:pt x="513" y="328"/>
                <a:pt x="517" y="330"/>
                <a:pt x="522" y="331"/>
              </a:cubicBezTo>
              <a:cubicBezTo>
                <a:pt x="525" y="332"/>
                <a:pt x="529" y="332"/>
                <a:pt x="534" y="332"/>
              </a:cubicBezTo>
              <a:cubicBezTo>
                <a:pt x="534" y="332"/>
                <a:pt x="552" y="332"/>
                <a:pt x="552" y="332"/>
              </a:cubicBezTo>
              <a:lnTo>
                <a:pt x="552" y="265"/>
              </a:lnTo>
              <a:lnTo>
                <a:pt x="538" y="265"/>
              </a:lnTo>
              <a:lnTo>
                <a:pt x="538" y="318"/>
              </a:lnTo>
              <a:moveTo>
                <a:pt x="575" y="279"/>
              </a:moveTo>
              <a:cubicBezTo>
                <a:pt x="581" y="279"/>
                <a:pt x="590" y="279"/>
                <a:pt x="595" y="283"/>
              </a:cubicBezTo>
              <a:cubicBezTo>
                <a:pt x="598" y="286"/>
                <a:pt x="600" y="290"/>
                <a:pt x="600" y="296"/>
              </a:cubicBezTo>
              <a:cubicBezTo>
                <a:pt x="600" y="296"/>
                <a:pt x="600" y="326"/>
                <a:pt x="600" y="332"/>
              </a:cubicBezTo>
              <a:lnTo>
                <a:pt x="614" y="332"/>
              </a:lnTo>
              <a:lnTo>
                <a:pt x="614" y="296"/>
              </a:lnTo>
              <a:cubicBezTo>
                <a:pt x="614" y="291"/>
                <a:pt x="613" y="286"/>
                <a:pt x="611" y="282"/>
              </a:cubicBezTo>
              <a:cubicBezTo>
                <a:pt x="609" y="278"/>
                <a:pt x="607" y="275"/>
                <a:pt x="604" y="272"/>
              </a:cubicBezTo>
              <a:cubicBezTo>
                <a:pt x="600" y="270"/>
                <a:pt x="596" y="268"/>
                <a:pt x="591" y="267"/>
              </a:cubicBezTo>
              <a:cubicBezTo>
                <a:pt x="588" y="266"/>
                <a:pt x="584" y="265"/>
                <a:pt x="579" y="265"/>
              </a:cubicBezTo>
              <a:cubicBezTo>
                <a:pt x="579" y="265"/>
                <a:pt x="561" y="265"/>
                <a:pt x="561" y="265"/>
              </a:cubicBezTo>
              <a:lnTo>
                <a:pt x="561" y="332"/>
              </a:lnTo>
              <a:lnTo>
                <a:pt x="575" y="332"/>
              </a:lnTo>
              <a:lnTo>
                <a:pt x="575" y="279"/>
              </a:lnTo>
              <a:moveTo>
                <a:pt x="315" y="278"/>
              </a:moveTo>
              <a:lnTo>
                <a:pt x="315" y="265"/>
              </a:lnTo>
              <a:cubicBezTo>
                <a:pt x="309" y="265"/>
                <a:pt x="303" y="266"/>
                <a:pt x="298" y="267"/>
              </a:cubicBezTo>
              <a:cubicBezTo>
                <a:pt x="293" y="269"/>
                <a:pt x="290" y="272"/>
                <a:pt x="286" y="275"/>
              </a:cubicBezTo>
              <a:cubicBezTo>
                <a:pt x="283" y="279"/>
                <a:pt x="280" y="284"/>
                <a:pt x="279" y="290"/>
              </a:cubicBezTo>
              <a:cubicBezTo>
                <a:pt x="278" y="293"/>
                <a:pt x="278" y="296"/>
                <a:pt x="278" y="297"/>
              </a:cubicBezTo>
              <a:lnTo>
                <a:pt x="278" y="332"/>
              </a:lnTo>
              <a:lnTo>
                <a:pt x="292" y="332"/>
              </a:lnTo>
              <a:lnTo>
                <a:pt x="292" y="309"/>
              </a:lnTo>
              <a:lnTo>
                <a:pt x="315" y="309"/>
              </a:lnTo>
              <a:lnTo>
                <a:pt x="315" y="295"/>
              </a:lnTo>
              <a:lnTo>
                <a:pt x="292" y="295"/>
              </a:lnTo>
              <a:cubicBezTo>
                <a:pt x="292" y="293"/>
                <a:pt x="293" y="288"/>
                <a:pt x="297" y="285"/>
              </a:cubicBezTo>
              <a:cubicBezTo>
                <a:pt x="300" y="281"/>
                <a:pt x="307" y="278"/>
                <a:pt x="315" y="278"/>
              </a:cubicBezTo>
              <a:moveTo>
                <a:pt x="120" y="279"/>
              </a:moveTo>
              <a:cubicBezTo>
                <a:pt x="127" y="279"/>
                <a:pt x="136" y="281"/>
                <a:pt x="141" y="286"/>
              </a:cubicBezTo>
              <a:cubicBezTo>
                <a:pt x="144" y="288"/>
                <a:pt x="145" y="291"/>
                <a:pt x="145" y="295"/>
              </a:cubicBezTo>
              <a:cubicBezTo>
                <a:pt x="145" y="295"/>
                <a:pt x="145" y="295"/>
                <a:pt x="145" y="295"/>
              </a:cubicBezTo>
              <a:cubicBezTo>
                <a:pt x="145" y="295"/>
                <a:pt x="145" y="296"/>
                <a:pt x="145" y="299"/>
              </a:cubicBezTo>
              <a:cubicBezTo>
                <a:pt x="145" y="306"/>
                <a:pt x="145" y="321"/>
                <a:pt x="145" y="332"/>
              </a:cubicBezTo>
              <a:lnTo>
                <a:pt x="159" y="332"/>
              </a:lnTo>
              <a:lnTo>
                <a:pt x="159" y="299"/>
              </a:lnTo>
              <a:lnTo>
                <a:pt x="159" y="295"/>
              </a:lnTo>
              <a:cubicBezTo>
                <a:pt x="159" y="295"/>
                <a:pt x="159" y="295"/>
                <a:pt x="159" y="295"/>
              </a:cubicBezTo>
              <a:cubicBezTo>
                <a:pt x="159" y="291"/>
                <a:pt x="161" y="288"/>
                <a:pt x="163" y="286"/>
              </a:cubicBezTo>
              <a:cubicBezTo>
                <a:pt x="168" y="281"/>
                <a:pt x="176" y="280"/>
                <a:pt x="184" y="279"/>
              </a:cubicBezTo>
              <a:lnTo>
                <a:pt x="184" y="332"/>
              </a:lnTo>
              <a:lnTo>
                <a:pt x="198" y="332"/>
              </a:lnTo>
              <a:lnTo>
                <a:pt x="198" y="265"/>
              </a:lnTo>
              <a:lnTo>
                <a:pt x="187" y="265"/>
              </a:lnTo>
              <a:cubicBezTo>
                <a:pt x="185" y="265"/>
                <a:pt x="182" y="265"/>
                <a:pt x="178" y="266"/>
              </a:cubicBezTo>
              <a:cubicBezTo>
                <a:pt x="174" y="266"/>
                <a:pt x="170" y="267"/>
                <a:pt x="166" y="268"/>
              </a:cubicBezTo>
              <a:cubicBezTo>
                <a:pt x="161" y="270"/>
                <a:pt x="157" y="272"/>
                <a:pt x="154" y="275"/>
              </a:cubicBezTo>
              <a:cubicBezTo>
                <a:pt x="153" y="276"/>
                <a:pt x="153" y="276"/>
                <a:pt x="152" y="277"/>
              </a:cubicBezTo>
              <a:cubicBezTo>
                <a:pt x="152" y="276"/>
                <a:pt x="151" y="276"/>
                <a:pt x="151" y="275"/>
              </a:cubicBezTo>
              <a:cubicBezTo>
                <a:pt x="148" y="272"/>
                <a:pt x="143" y="270"/>
                <a:pt x="139" y="268"/>
              </a:cubicBezTo>
              <a:cubicBezTo>
                <a:pt x="135" y="267"/>
                <a:pt x="131" y="266"/>
                <a:pt x="126" y="266"/>
              </a:cubicBezTo>
              <a:cubicBezTo>
                <a:pt x="124" y="265"/>
                <a:pt x="121" y="265"/>
                <a:pt x="118" y="265"/>
              </a:cubicBezTo>
              <a:lnTo>
                <a:pt x="106" y="265"/>
              </a:lnTo>
              <a:lnTo>
                <a:pt x="106" y="332"/>
              </a:lnTo>
              <a:lnTo>
                <a:pt x="120" y="332"/>
              </a:lnTo>
              <a:lnTo>
                <a:pt x="120" y="279"/>
              </a:lnTo>
              <a:moveTo>
                <a:pt x="438" y="268"/>
              </a:moveTo>
              <a:cubicBezTo>
                <a:pt x="435" y="266"/>
                <a:pt x="432" y="265"/>
                <a:pt x="429" y="264"/>
              </a:cubicBezTo>
              <a:cubicBezTo>
                <a:pt x="421" y="263"/>
                <a:pt x="414" y="265"/>
                <a:pt x="407" y="268"/>
              </a:cubicBezTo>
              <a:lnTo>
                <a:pt x="407" y="265"/>
              </a:lnTo>
              <a:lnTo>
                <a:pt x="393" y="265"/>
              </a:lnTo>
              <a:lnTo>
                <a:pt x="393" y="332"/>
              </a:lnTo>
              <a:lnTo>
                <a:pt x="407" y="332"/>
              </a:lnTo>
              <a:lnTo>
                <a:pt x="407" y="284"/>
              </a:lnTo>
              <a:cubicBezTo>
                <a:pt x="409" y="283"/>
                <a:pt x="411" y="282"/>
                <a:pt x="414" y="281"/>
              </a:cubicBezTo>
              <a:cubicBezTo>
                <a:pt x="418" y="279"/>
                <a:pt x="423" y="278"/>
                <a:pt x="426" y="278"/>
              </a:cubicBezTo>
              <a:cubicBezTo>
                <a:pt x="430" y="279"/>
                <a:pt x="432" y="280"/>
                <a:pt x="435" y="284"/>
              </a:cubicBezTo>
              <a:lnTo>
                <a:pt x="446" y="275"/>
              </a:lnTo>
              <a:cubicBezTo>
                <a:pt x="444" y="272"/>
                <a:pt x="441" y="270"/>
                <a:pt x="438" y="268"/>
              </a:cubicBezTo>
              <a:moveTo>
                <a:pt x="354" y="278"/>
              </a:moveTo>
              <a:cubicBezTo>
                <a:pt x="359" y="278"/>
                <a:pt x="365" y="280"/>
                <a:pt x="369" y="284"/>
              </a:cubicBezTo>
              <a:cubicBezTo>
                <a:pt x="373" y="288"/>
                <a:pt x="375" y="293"/>
                <a:pt x="375" y="299"/>
              </a:cubicBezTo>
              <a:cubicBezTo>
                <a:pt x="375" y="304"/>
                <a:pt x="373" y="309"/>
                <a:pt x="369" y="313"/>
              </a:cubicBezTo>
              <a:cubicBezTo>
                <a:pt x="365" y="317"/>
                <a:pt x="359" y="319"/>
                <a:pt x="354" y="319"/>
              </a:cubicBezTo>
              <a:cubicBezTo>
                <a:pt x="348" y="319"/>
                <a:pt x="343" y="317"/>
                <a:pt x="339" y="313"/>
              </a:cubicBezTo>
              <a:cubicBezTo>
                <a:pt x="335" y="309"/>
                <a:pt x="333" y="304"/>
                <a:pt x="333" y="299"/>
              </a:cubicBezTo>
              <a:cubicBezTo>
                <a:pt x="333" y="293"/>
                <a:pt x="335" y="288"/>
                <a:pt x="339" y="284"/>
              </a:cubicBezTo>
              <a:cubicBezTo>
                <a:pt x="343" y="280"/>
                <a:pt x="348" y="278"/>
                <a:pt x="354" y="278"/>
              </a:cubicBezTo>
              <a:moveTo>
                <a:pt x="492" y="278"/>
              </a:moveTo>
              <a:lnTo>
                <a:pt x="492" y="265"/>
              </a:lnTo>
              <a:cubicBezTo>
                <a:pt x="486" y="265"/>
                <a:pt x="480" y="266"/>
                <a:pt x="475" y="267"/>
              </a:cubicBezTo>
              <a:cubicBezTo>
                <a:pt x="470" y="269"/>
                <a:pt x="466" y="272"/>
                <a:pt x="463" y="275"/>
              </a:cubicBezTo>
              <a:cubicBezTo>
                <a:pt x="460" y="279"/>
                <a:pt x="457" y="284"/>
                <a:pt x="456" y="290"/>
              </a:cubicBezTo>
              <a:cubicBezTo>
                <a:pt x="455" y="293"/>
                <a:pt x="455" y="296"/>
                <a:pt x="455" y="297"/>
              </a:cubicBezTo>
              <a:lnTo>
                <a:pt x="455" y="323"/>
              </a:lnTo>
              <a:lnTo>
                <a:pt x="455" y="329"/>
              </a:lnTo>
              <a:cubicBezTo>
                <a:pt x="455" y="330"/>
                <a:pt x="455" y="340"/>
                <a:pt x="445" y="345"/>
              </a:cubicBezTo>
              <a:lnTo>
                <a:pt x="451" y="358"/>
              </a:lnTo>
              <a:cubicBezTo>
                <a:pt x="458" y="354"/>
                <a:pt x="464" y="348"/>
                <a:pt x="467" y="340"/>
              </a:cubicBezTo>
              <a:cubicBezTo>
                <a:pt x="469" y="334"/>
                <a:pt x="469" y="330"/>
                <a:pt x="469" y="329"/>
              </a:cubicBezTo>
              <a:lnTo>
                <a:pt x="469" y="310"/>
              </a:lnTo>
              <a:lnTo>
                <a:pt x="469" y="309"/>
              </a:lnTo>
              <a:lnTo>
                <a:pt x="492" y="309"/>
              </a:lnTo>
              <a:lnTo>
                <a:pt x="492" y="295"/>
              </a:lnTo>
              <a:lnTo>
                <a:pt x="469" y="295"/>
              </a:lnTo>
              <a:cubicBezTo>
                <a:pt x="469" y="293"/>
                <a:pt x="470" y="288"/>
                <a:pt x="474" y="285"/>
              </a:cubicBezTo>
              <a:cubicBezTo>
                <a:pt x="478" y="281"/>
                <a:pt x="484" y="278"/>
                <a:pt x="492" y="278"/>
              </a:cubicBezTo>
              <a:moveTo>
                <a:pt x="81" y="282"/>
              </a:moveTo>
              <a:lnTo>
                <a:pt x="81" y="332"/>
              </a:lnTo>
              <a:lnTo>
                <a:pt x="95" y="332"/>
              </a:lnTo>
              <a:lnTo>
                <a:pt x="95" y="282"/>
              </a:lnTo>
              <a:lnTo>
                <a:pt x="81" y="282"/>
              </a:lnTo>
              <a:moveTo>
                <a:pt x="252" y="279"/>
              </a:moveTo>
              <a:lnTo>
                <a:pt x="252" y="265"/>
              </a:lnTo>
              <a:lnTo>
                <a:pt x="207" y="265"/>
              </a:lnTo>
              <a:lnTo>
                <a:pt x="207" y="332"/>
              </a:lnTo>
              <a:lnTo>
                <a:pt x="252" y="332"/>
              </a:lnTo>
              <a:lnTo>
                <a:pt x="252" y="319"/>
              </a:lnTo>
              <a:lnTo>
                <a:pt x="221" y="319"/>
              </a:lnTo>
              <a:lnTo>
                <a:pt x="221" y="306"/>
              </a:lnTo>
              <a:lnTo>
                <a:pt x="252" y="306"/>
              </a:lnTo>
              <a:lnTo>
                <a:pt x="252" y="292"/>
              </a:lnTo>
              <a:lnTo>
                <a:pt x="221" y="292"/>
              </a:lnTo>
              <a:lnTo>
                <a:pt x="221" y="279"/>
              </a:lnTo>
              <a:lnTo>
                <a:pt x="252" y="279"/>
              </a:lnTo>
              <a:moveTo>
                <a:pt x="81" y="265"/>
              </a:moveTo>
              <a:lnTo>
                <a:pt x="81" y="278"/>
              </a:lnTo>
              <a:lnTo>
                <a:pt x="95" y="278"/>
              </a:lnTo>
              <a:lnTo>
                <a:pt x="95" y="265"/>
              </a:lnTo>
              <a:lnTo>
                <a:pt x="81" y="265"/>
              </a:lnTo>
              <a:moveTo>
                <a:pt x="777" y="50"/>
              </a:moveTo>
              <a:lnTo>
                <a:pt x="777" y="0"/>
              </a:lnTo>
              <a:cubicBezTo>
                <a:pt x="757" y="0"/>
                <a:pt x="738" y="4"/>
                <a:pt x="723" y="11"/>
              </a:cubicBezTo>
              <a:cubicBezTo>
                <a:pt x="709" y="17"/>
                <a:pt x="697" y="26"/>
                <a:pt x="687" y="38"/>
              </a:cubicBezTo>
              <a:cubicBezTo>
                <a:pt x="676" y="52"/>
                <a:pt x="667" y="70"/>
                <a:pt x="663" y="91"/>
              </a:cubicBezTo>
              <a:cubicBezTo>
                <a:pt x="661" y="104"/>
                <a:pt x="661" y="113"/>
                <a:pt x="661" y="117"/>
              </a:cubicBezTo>
              <a:lnTo>
                <a:pt x="661" y="210"/>
              </a:lnTo>
              <a:lnTo>
                <a:pt x="661" y="231"/>
              </a:lnTo>
              <a:cubicBezTo>
                <a:pt x="661" y="233"/>
                <a:pt x="661" y="271"/>
                <a:pt x="630" y="288"/>
              </a:cubicBezTo>
              <a:lnTo>
                <a:pt x="648" y="333"/>
              </a:lnTo>
              <a:cubicBezTo>
                <a:pt x="672" y="320"/>
                <a:pt x="689" y="298"/>
                <a:pt x="698" y="269"/>
              </a:cubicBezTo>
              <a:cubicBezTo>
                <a:pt x="704" y="250"/>
                <a:pt x="704" y="234"/>
                <a:pt x="704" y="230"/>
              </a:cubicBezTo>
              <a:lnTo>
                <a:pt x="704" y="164"/>
              </a:lnTo>
              <a:lnTo>
                <a:pt x="704" y="160"/>
              </a:lnTo>
              <a:lnTo>
                <a:pt x="777" y="160"/>
              </a:lnTo>
              <a:lnTo>
                <a:pt x="777" y="110"/>
              </a:lnTo>
              <a:lnTo>
                <a:pt x="704" y="110"/>
              </a:lnTo>
              <a:cubicBezTo>
                <a:pt x="705" y="102"/>
                <a:pt x="708" y="85"/>
                <a:pt x="719" y="72"/>
              </a:cubicBezTo>
              <a:cubicBezTo>
                <a:pt x="731" y="57"/>
                <a:pt x="750" y="50"/>
                <a:pt x="777" y="50"/>
              </a:cubicBezTo>
              <a:moveTo>
                <a:pt x="501" y="142"/>
              </a:moveTo>
              <a:lnTo>
                <a:pt x="551" y="78"/>
              </a:lnTo>
              <a:lnTo>
                <a:pt x="551" y="142"/>
              </a:lnTo>
              <a:lnTo>
                <a:pt x="501" y="142"/>
              </a:lnTo>
            </a:path>
          </a:pathLst>
        </a:custGeom>
        <a:solidFill>
          <a:srgbClr val="2E9A9A"/>
        </a:solidFill>
        <a:ln w="9525">
          <a:noFill/>
          <a:round/>
          <a:headEnd/>
          <a:tailEnd/>
        </a:ln>
      </xdr:spPr>
      <xdr:txBody>
        <a:bodyPr wrap="square"/>
        <a:lstStyle>
          <a:defPPr>
            <a:defRPr lang="en-US"/>
          </a:defPPr>
          <a:lvl1pPr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1pPr>
          <a:lvl2pPr marL="4572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2pPr>
          <a:lvl3pPr marL="9144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3pPr>
          <a:lvl4pPr marL="13716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4pPr>
          <a:lvl5pPr marL="1828800" algn="l" rtl="0" eaLnBrk="0" fontAlgn="base" hangingPunct="0">
            <a:spcBef>
              <a:spcPct val="50000"/>
            </a:spcBef>
            <a:spcAft>
              <a:spcPct val="0"/>
            </a:spcAft>
            <a:buClr>
              <a:schemeClr val="accent2"/>
            </a:buClr>
            <a:buFont typeface="Symbol" pitchFamily="18" charset="2"/>
            <a:defRPr sz="1300" b="1" i="1" kern="1200">
              <a:solidFill>
                <a:schemeClr val="bg1"/>
              </a:solidFill>
              <a:latin typeface="Arial" charset="0"/>
              <a:ea typeface="+mn-ea"/>
              <a:cs typeface="Arial" charset="0"/>
            </a:defRPr>
          </a:lvl5pPr>
          <a:lvl6pPr marL="2286000" algn="l" defTabSz="914400" rtl="0" eaLnBrk="1" latinLnBrk="0" hangingPunct="1">
            <a:defRPr sz="1300" b="1" i="1" kern="1200">
              <a:solidFill>
                <a:schemeClr val="bg1"/>
              </a:solidFill>
              <a:latin typeface="Arial" charset="0"/>
              <a:ea typeface="+mn-ea"/>
              <a:cs typeface="Arial" charset="0"/>
            </a:defRPr>
          </a:lvl6pPr>
          <a:lvl7pPr marL="2743200" algn="l" defTabSz="914400" rtl="0" eaLnBrk="1" latinLnBrk="0" hangingPunct="1">
            <a:defRPr sz="1300" b="1" i="1" kern="1200">
              <a:solidFill>
                <a:schemeClr val="bg1"/>
              </a:solidFill>
              <a:latin typeface="Arial" charset="0"/>
              <a:ea typeface="+mn-ea"/>
              <a:cs typeface="Arial" charset="0"/>
            </a:defRPr>
          </a:lvl7pPr>
          <a:lvl8pPr marL="3200400" algn="l" defTabSz="914400" rtl="0" eaLnBrk="1" latinLnBrk="0" hangingPunct="1">
            <a:defRPr sz="1300" b="1" i="1" kern="1200">
              <a:solidFill>
                <a:schemeClr val="bg1"/>
              </a:solidFill>
              <a:latin typeface="Arial" charset="0"/>
              <a:ea typeface="+mn-ea"/>
              <a:cs typeface="Arial" charset="0"/>
            </a:defRPr>
          </a:lvl8pPr>
          <a:lvl9pPr marL="3657600" algn="l" defTabSz="914400" rtl="0" eaLnBrk="1" latinLnBrk="0" hangingPunct="1">
            <a:defRPr sz="1300" b="1" i="1" kern="1200">
              <a:solidFill>
                <a:schemeClr val="bg1"/>
              </a:solidFill>
              <a:latin typeface="Arial" charset="0"/>
              <a:ea typeface="+mn-ea"/>
              <a:cs typeface="Arial" charset="0"/>
            </a:defRPr>
          </a:lvl9pPr>
        </a:lstStyle>
        <a:p>
          <a:endParaRPr lang="en-US"/>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i@t4f.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workbookViewId="0">
      <selection activeCell="B11" sqref="B11:R17"/>
    </sheetView>
  </sheetViews>
  <sheetFormatPr defaultColWidth="0" defaultRowHeight="14.25" zeroHeight="1"/>
  <cols>
    <col min="1" max="20" width="9.140625" style="9" customWidth="1"/>
    <col min="21" max="16384" width="9.140625" style="9" hidden="1"/>
  </cols>
  <sheetData>
    <row r="1" spans="1:18">
      <c r="A1" s="9" t="s">
        <v>166</v>
      </c>
    </row>
    <row r="2" spans="1:18"/>
    <row r="3" spans="1:18"/>
    <row r="4" spans="1:18"/>
    <row r="5" spans="1:18"/>
    <row r="6" spans="1:18"/>
    <row r="7" spans="1:18" ht="23.25">
      <c r="B7" s="168" t="s">
        <v>196</v>
      </c>
      <c r="C7" s="168"/>
      <c r="D7" s="168"/>
      <c r="E7" s="168"/>
      <c r="F7" s="168"/>
      <c r="G7" s="168"/>
      <c r="H7" s="168"/>
      <c r="I7" s="168"/>
      <c r="J7" s="168"/>
      <c r="K7" s="168"/>
      <c r="L7" s="168"/>
      <c r="M7" s="168"/>
      <c r="N7" s="168"/>
      <c r="O7" s="168"/>
      <c r="P7" s="168"/>
      <c r="Q7" s="168"/>
      <c r="R7" s="168"/>
    </row>
    <row r="8" spans="1:18">
      <c r="B8" s="169" t="s">
        <v>203</v>
      </c>
      <c r="C8" s="169"/>
      <c r="D8" s="169"/>
      <c r="E8" s="169"/>
      <c r="F8" s="169"/>
      <c r="G8" s="169"/>
      <c r="H8" s="169"/>
      <c r="I8" s="169"/>
      <c r="J8" s="169"/>
      <c r="K8" s="169"/>
      <c r="L8" s="169"/>
      <c r="M8" s="169"/>
      <c r="N8" s="169"/>
      <c r="O8" s="169"/>
      <c r="P8" s="169"/>
      <c r="Q8" s="169"/>
      <c r="R8" s="169"/>
    </row>
    <row r="9" spans="1:18"/>
    <row r="10" spans="1:18">
      <c r="B10" s="12" t="s">
        <v>110</v>
      </c>
    </row>
    <row r="11" spans="1:18" ht="14.25" customHeight="1">
      <c r="B11" s="170" t="s">
        <v>200</v>
      </c>
      <c r="C11" s="170"/>
      <c r="D11" s="170"/>
      <c r="E11" s="170"/>
      <c r="F11" s="170"/>
      <c r="G11" s="170"/>
      <c r="H11" s="170"/>
      <c r="I11" s="170"/>
      <c r="J11" s="170"/>
      <c r="K11" s="170"/>
      <c r="L11" s="170"/>
      <c r="M11" s="170"/>
      <c r="N11" s="170"/>
      <c r="O11" s="170"/>
      <c r="P11" s="170"/>
      <c r="Q11" s="170"/>
      <c r="R11" s="170"/>
    </row>
    <row r="12" spans="1:18">
      <c r="B12" s="170"/>
      <c r="C12" s="170"/>
      <c r="D12" s="170"/>
      <c r="E12" s="170"/>
      <c r="F12" s="170"/>
      <c r="G12" s="170"/>
      <c r="H12" s="170"/>
      <c r="I12" s="170"/>
      <c r="J12" s="170"/>
      <c r="K12" s="170"/>
      <c r="L12" s="170"/>
      <c r="M12" s="170"/>
      <c r="N12" s="170"/>
      <c r="O12" s="170"/>
      <c r="P12" s="170"/>
      <c r="Q12" s="170"/>
      <c r="R12" s="170"/>
    </row>
    <row r="13" spans="1:18">
      <c r="B13" s="170"/>
      <c r="C13" s="170"/>
      <c r="D13" s="170"/>
      <c r="E13" s="170"/>
      <c r="F13" s="170"/>
      <c r="G13" s="170"/>
      <c r="H13" s="170"/>
      <c r="I13" s="170"/>
      <c r="J13" s="170"/>
      <c r="K13" s="170"/>
      <c r="L13" s="170"/>
      <c r="M13" s="170"/>
      <c r="N13" s="170"/>
      <c r="O13" s="170"/>
      <c r="P13" s="170"/>
      <c r="Q13" s="170"/>
      <c r="R13" s="170"/>
    </row>
    <row r="14" spans="1:18">
      <c r="B14" s="170"/>
      <c r="C14" s="170"/>
      <c r="D14" s="170"/>
      <c r="E14" s="170"/>
      <c r="F14" s="170"/>
      <c r="G14" s="170"/>
      <c r="H14" s="170"/>
      <c r="I14" s="170"/>
      <c r="J14" s="170"/>
      <c r="K14" s="170"/>
      <c r="L14" s="170"/>
      <c r="M14" s="170"/>
      <c r="N14" s="170"/>
      <c r="O14" s="170"/>
      <c r="P14" s="170"/>
      <c r="Q14" s="170"/>
      <c r="R14" s="170"/>
    </row>
    <row r="15" spans="1:18">
      <c r="B15" s="170"/>
      <c r="C15" s="170"/>
      <c r="D15" s="170"/>
      <c r="E15" s="170"/>
      <c r="F15" s="170"/>
      <c r="G15" s="170"/>
      <c r="H15" s="170"/>
      <c r="I15" s="170"/>
      <c r="J15" s="170"/>
      <c r="K15" s="170"/>
      <c r="L15" s="170"/>
      <c r="M15" s="170"/>
      <c r="N15" s="170"/>
      <c r="O15" s="170"/>
      <c r="P15" s="170"/>
      <c r="Q15" s="170"/>
      <c r="R15" s="170"/>
    </row>
    <row r="16" spans="1:18">
      <c r="B16" s="170"/>
      <c r="C16" s="170"/>
      <c r="D16" s="170"/>
      <c r="E16" s="170"/>
      <c r="F16" s="170"/>
      <c r="G16" s="170"/>
      <c r="H16" s="170"/>
      <c r="I16" s="170"/>
      <c r="J16" s="170"/>
      <c r="K16" s="170"/>
      <c r="L16" s="170"/>
      <c r="M16" s="170"/>
      <c r="N16" s="170"/>
      <c r="O16" s="170"/>
      <c r="P16" s="170"/>
      <c r="Q16" s="170"/>
      <c r="R16" s="170"/>
    </row>
    <row r="17" spans="2:18">
      <c r="B17" s="170"/>
      <c r="C17" s="170"/>
      <c r="D17" s="170"/>
      <c r="E17" s="170"/>
      <c r="F17" s="170"/>
      <c r="G17" s="170"/>
      <c r="H17" s="170"/>
      <c r="I17" s="170"/>
      <c r="J17" s="170"/>
      <c r="K17" s="170"/>
      <c r="L17" s="170"/>
      <c r="M17" s="170"/>
      <c r="N17" s="170"/>
      <c r="O17" s="170"/>
      <c r="P17" s="170"/>
      <c r="Q17" s="170"/>
      <c r="R17" s="170"/>
    </row>
    <row r="18" spans="2:18">
      <c r="B18" s="11"/>
      <c r="C18" s="11"/>
      <c r="D18" s="11"/>
      <c r="E18" s="11"/>
      <c r="F18" s="11"/>
      <c r="G18" s="11"/>
      <c r="H18" s="11"/>
      <c r="I18" s="11"/>
      <c r="J18" s="11"/>
      <c r="K18" s="11"/>
      <c r="L18" s="11"/>
      <c r="M18" s="11"/>
      <c r="N18" s="11"/>
      <c r="O18" s="11"/>
      <c r="P18" s="11"/>
      <c r="Q18" s="11"/>
      <c r="R18" s="11"/>
    </row>
    <row r="19" spans="2:18" s="10" customFormat="1" ht="12.75">
      <c r="B19" s="10" t="s">
        <v>111</v>
      </c>
    </row>
    <row r="20" spans="2:18" s="10" customFormat="1" ht="12.75">
      <c r="B20" s="27" t="s">
        <v>112</v>
      </c>
    </row>
    <row r="21" spans="2:18" s="10" customFormat="1" ht="12.75">
      <c r="B21" s="8" t="s">
        <v>113</v>
      </c>
    </row>
    <row r="22" spans="2:18" s="10" customFormat="1" ht="12.75">
      <c r="B22" s="8" t="s">
        <v>188</v>
      </c>
    </row>
    <row r="23" spans="2:18" s="10" customFormat="1" ht="12.75">
      <c r="B23" s="8"/>
    </row>
    <row r="24" spans="2:18" s="10" customFormat="1" ht="12.75"/>
    <row r="25" spans="2:18"/>
  </sheetData>
  <mergeCells count="3">
    <mergeCell ref="B7:R7"/>
    <mergeCell ref="B8:R8"/>
    <mergeCell ref="B11:R17"/>
  </mergeCells>
  <hyperlinks>
    <hyperlink ref="B20" r:id="rId1" xr:uid="{00000000-0004-0000-0000-000000000000}"/>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J31"/>
  <sheetViews>
    <sheetView tabSelected="1" zoomScaleNormal="100" workbookViewId="0">
      <pane xSplit="1" ySplit="5" topLeftCell="AW6" activePane="bottomRight" state="frozen"/>
      <selection activeCell="E1" sqref="E1:E1048576"/>
      <selection pane="topRight" activeCell="E1" sqref="E1:E1048576"/>
      <selection pane="bottomLeft" activeCell="E1" sqref="E1:E1048576"/>
      <selection pane="bottomRight" activeCell="BJ23" sqref="BJ23"/>
    </sheetView>
  </sheetViews>
  <sheetFormatPr defaultColWidth="9.140625" defaultRowHeight="15"/>
  <cols>
    <col min="1" max="1" width="50.28515625" style="1" customWidth="1"/>
    <col min="2" max="25" width="9.28515625" style="1" customWidth="1"/>
    <col min="26" max="29" width="9.28515625" style="20" customWidth="1"/>
    <col min="30" max="57" width="9.28515625" style="1" customWidth="1"/>
    <col min="58" max="16384" width="9.140625" style="1"/>
  </cols>
  <sheetData>
    <row r="2" spans="1:62" ht="15.75" thickBot="1"/>
    <row r="3" spans="1:62" ht="15.75" customHeight="1">
      <c r="B3" s="171" t="s">
        <v>115</v>
      </c>
      <c r="C3" s="172"/>
      <c r="D3" s="172"/>
      <c r="E3" s="172"/>
      <c r="F3" s="172"/>
      <c r="G3" s="172"/>
      <c r="H3" s="172"/>
      <c r="I3" s="172"/>
      <c r="J3" s="172"/>
      <c r="K3" s="172"/>
      <c r="L3" s="172"/>
      <c r="M3" s="173"/>
    </row>
    <row r="4" spans="1:62" ht="15" customHeight="1">
      <c r="A4" s="24" t="s">
        <v>20</v>
      </c>
      <c r="B4" s="174" t="s">
        <v>175</v>
      </c>
      <c r="C4" s="175"/>
      <c r="D4" s="175"/>
      <c r="E4" s="175"/>
      <c r="F4" s="175"/>
      <c r="G4" s="175"/>
      <c r="H4" s="175"/>
      <c r="I4" s="175"/>
      <c r="J4" s="175"/>
      <c r="K4" s="175"/>
      <c r="L4" s="175"/>
      <c r="M4" s="176"/>
      <c r="N4" s="7"/>
      <c r="O4" s="7"/>
      <c r="P4" s="7"/>
      <c r="Q4" s="7"/>
      <c r="R4" s="7"/>
      <c r="S4" s="7"/>
      <c r="T4" s="7"/>
      <c r="U4" s="7"/>
      <c r="V4" s="7"/>
      <c r="W4" s="7"/>
      <c r="X4" s="7"/>
      <c r="Y4" s="7"/>
    </row>
    <row r="5" spans="1:62" s="14" customFormat="1" ht="12.75" customHeight="1">
      <c r="A5" s="44" t="s">
        <v>117</v>
      </c>
      <c r="B5" s="81">
        <v>2010</v>
      </c>
      <c r="C5" s="80">
        <v>2011</v>
      </c>
      <c r="D5" s="80">
        <v>2012</v>
      </c>
      <c r="E5" s="80">
        <v>2013</v>
      </c>
      <c r="F5" s="80">
        <v>2014</v>
      </c>
      <c r="G5" s="80">
        <v>2015</v>
      </c>
      <c r="H5" s="80">
        <v>2016</v>
      </c>
      <c r="I5" s="80">
        <v>2017</v>
      </c>
      <c r="J5" s="80">
        <v>2018</v>
      </c>
      <c r="K5" s="80">
        <v>2019</v>
      </c>
      <c r="L5" s="80">
        <v>2020</v>
      </c>
      <c r="M5" s="103">
        <v>2021</v>
      </c>
      <c r="N5" s="47" t="s">
        <v>81</v>
      </c>
      <c r="O5" s="25" t="s">
        <v>82</v>
      </c>
      <c r="P5" s="25" t="s">
        <v>83</v>
      </c>
      <c r="Q5" s="25" t="s">
        <v>84</v>
      </c>
      <c r="R5" s="25" t="s">
        <v>85</v>
      </c>
      <c r="S5" s="25" t="s">
        <v>86</v>
      </c>
      <c r="T5" s="26" t="s">
        <v>87</v>
      </c>
      <c r="U5" s="26" t="s">
        <v>88</v>
      </c>
      <c r="V5" s="26" t="s">
        <v>89</v>
      </c>
      <c r="W5" s="26" t="s">
        <v>90</v>
      </c>
      <c r="X5" s="26" t="s">
        <v>91</v>
      </c>
      <c r="Y5" s="26" t="s">
        <v>92</v>
      </c>
      <c r="Z5" s="26" t="s">
        <v>127</v>
      </c>
      <c r="AA5" s="26" t="s">
        <v>129</v>
      </c>
      <c r="AB5" s="26" t="s">
        <v>135</v>
      </c>
      <c r="AC5" s="26" t="s">
        <v>136</v>
      </c>
      <c r="AD5" s="26" t="s">
        <v>142</v>
      </c>
      <c r="AE5" s="26" t="s">
        <v>143</v>
      </c>
      <c r="AF5" s="26" t="s">
        <v>144</v>
      </c>
      <c r="AG5" s="26" t="s">
        <v>145</v>
      </c>
      <c r="AH5" s="26" t="s">
        <v>147</v>
      </c>
      <c r="AI5" s="26" t="s">
        <v>148</v>
      </c>
      <c r="AJ5" s="26" t="s">
        <v>149</v>
      </c>
      <c r="AK5" s="26" t="s">
        <v>150</v>
      </c>
      <c r="AL5" s="26" t="s">
        <v>151</v>
      </c>
      <c r="AM5" s="26" t="s">
        <v>153</v>
      </c>
      <c r="AN5" s="26" t="s">
        <v>154</v>
      </c>
      <c r="AO5" s="26" t="s">
        <v>155</v>
      </c>
      <c r="AP5" s="26" t="s">
        <v>156</v>
      </c>
      <c r="AQ5" s="26" t="s">
        <v>157</v>
      </c>
      <c r="AR5" s="123" t="s">
        <v>158</v>
      </c>
      <c r="AS5" s="123" t="s">
        <v>159</v>
      </c>
      <c r="AT5" s="123" t="s">
        <v>163</v>
      </c>
      <c r="AU5" s="123" t="s">
        <v>164</v>
      </c>
      <c r="AV5" s="123" t="s">
        <v>165</v>
      </c>
      <c r="AW5" s="123" t="s">
        <v>167</v>
      </c>
      <c r="AX5" s="123" t="s">
        <v>168</v>
      </c>
      <c r="AY5" s="123" t="s">
        <v>172</v>
      </c>
      <c r="AZ5" s="123" t="s">
        <v>174</v>
      </c>
      <c r="BA5" s="123" t="s">
        <v>177</v>
      </c>
      <c r="BB5" s="123" t="s">
        <v>178</v>
      </c>
      <c r="BC5" s="123" t="s">
        <v>183</v>
      </c>
      <c r="BD5" s="123" t="s">
        <v>184</v>
      </c>
      <c r="BE5" s="123" t="s">
        <v>189</v>
      </c>
      <c r="BF5" s="123" t="s">
        <v>194</v>
      </c>
      <c r="BG5" s="123" t="s">
        <v>195</v>
      </c>
      <c r="BH5" s="123" t="s">
        <v>197</v>
      </c>
      <c r="BI5" s="123" t="s">
        <v>198</v>
      </c>
      <c r="BJ5" s="123" t="s">
        <v>202</v>
      </c>
    </row>
    <row r="6" spans="1:62" s="19" customFormat="1" ht="12.75">
      <c r="A6" s="45" t="s">
        <v>6</v>
      </c>
      <c r="B6" s="151">
        <f t="shared" ref="B6:B16" si="0">SUM(N6:Q6)</f>
        <v>569.17941911097193</v>
      </c>
      <c r="C6" s="152">
        <f t="shared" ref="C6:C16" si="1">SUM(R6:U6)</f>
        <v>609.82500047508722</v>
      </c>
      <c r="D6" s="152">
        <f t="shared" ref="D6:H6" si="2">SUM(D7,D12,D11)</f>
        <v>694.23621115022388</v>
      </c>
      <c r="E6" s="152">
        <f t="shared" si="2"/>
        <v>551.32356909931241</v>
      </c>
      <c r="F6" s="152">
        <f t="shared" si="2"/>
        <v>552.93989096193536</v>
      </c>
      <c r="G6" s="152">
        <f t="shared" si="2"/>
        <v>550.97900000000004</v>
      </c>
      <c r="H6" s="152">
        <f t="shared" si="2"/>
        <v>792.45399999999995</v>
      </c>
      <c r="I6" s="152">
        <f>SUM(I7,I12,I11)</f>
        <v>652.89499999999998</v>
      </c>
      <c r="J6" s="152">
        <f>SUM(J7,J12,J11)</f>
        <v>598.38300000000004</v>
      </c>
      <c r="K6" s="152">
        <f>SUM(K7,K12,K11)</f>
        <v>393.69400000000002</v>
      </c>
      <c r="L6" s="152">
        <f>SUM(L7,L12,L11)</f>
        <v>39.993683810000007</v>
      </c>
      <c r="M6" s="85">
        <f>SUM(M7,M12,M11)</f>
        <v>31.315000000169999</v>
      </c>
      <c r="N6" s="48">
        <f>SUM(N7,N11,N12)</f>
        <v>161.53604839058914</v>
      </c>
      <c r="O6" s="18">
        <f t="shared" ref="O6:Q6" si="3">SUM(O7,O11,O12)</f>
        <v>134.54697919216062</v>
      </c>
      <c r="P6" s="18">
        <f t="shared" si="3"/>
        <v>94.107250806146098</v>
      </c>
      <c r="Q6" s="18">
        <f t="shared" si="3"/>
        <v>178.98914072207603</v>
      </c>
      <c r="R6" s="18">
        <f>SUM(R7,R11,R12)</f>
        <v>82.070183243037576</v>
      </c>
      <c r="S6" s="18">
        <f>SUM(S7,S11,S12)</f>
        <v>184.31116735224902</v>
      </c>
      <c r="T6" s="18">
        <f>SUM(T7,T11,T12)</f>
        <v>111.51330949771088</v>
      </c>
      <c r="U6" s="18">
        <f>SUM(U7,U11,U12)</f>
        <v>231.93034038208978</v>
      </c>
      <c r="V6" s="18">
        <f>SUM(V7,V12,V11)</f>
        <v>106.33449379686907</v>
      </c>
      <c r="W6" s="18">
        <f t="shared" ref="W6:AA6" si="4">SUM(W7,W12,W11)</f>
        <v>190.73120735421091</v>
      </c>
      <c r="X6" s="18">
        <f t="shared" si="4"/>
        <v>137.67061262880003</v>
      </c>
      <c r="Y6" s="18">
        <f t="shared" si="4"/>
        <v>259.49989737034394</v>
      </c>
      <c r="Z6" s="18">
        <f t="shared" si="4"/>
        <v>59.067923454966476</v>
      </c>
      <c r="AA6" s="18">
        <f t="shared" si="4"/>
        <v>142.79775339080538</v>
      </c>
      <c r="AB6" s="18">
        <f t="shared" ref="AB6" si="5">SUM(AB7,AB12,AB11)</f>
        <v>126.99332315422816</v>
      </c>
      <c r="AC6" s="18">
        <f t="shared" ref="AC6:AD6" si="6">SUM(AC7,AC12,AC11)</f>
        <v>222.46456909931231</v>
      </c>
      <c r="AD6" s="18">
        <f t="shared" si="6"/>
        <v>108.04057934747951</v>
      </c>
      <c r="AE6" s="18">
        <f t="shared" ref="AE6" si="7">SUM(AE7,AE12,AE11)</f>
        <v>221.27840675226344</v>
      </c>
      <c r="AF6" s="18">
        <f t="shared" ref="AF6:AK6" si="8">SUM(AF7,AF12,AF11)</f>
        <v>125.55908477160237</v>
      </c>
      <c r="AG6" s="18">
        <f t="shared" si="8"/>
        <v>98.061820090590061</v>
      </c>
      <c r="AH6" s="18">
        <f t="shared" si="8"/>
        <v>131.88193507197053</v>
      </c>
      <c r="AI6" s="18">
        <f t="shared" si="8"/>
        <v>103.65754775958678</v>
      </c>
      <c r="AJ6" s="18">
        <f t="shared" si="8"/>
        <v>86.026460338442632</v>
      </c>
      <c r="AK6" s="18">
        <f t="shared" si="8"/>
        <v>229.41305683000004</v>
      </c>
      <c r="AL6" s="18">
        <f t="shared" ref="AL6:AM6" si="9">SUM(AL7,AL12,AL11)</f>
        <v>333.988</v>
      </c>
      <c r="AM6" s="18">
        <f t="shared" si="9"/>
        <v>223.53499999999997</v>
      </c>
      <c r="AN6" s="18">
        <f t="shared" ref="AN6:AO6" si="10">SUM(AN7,AN12,AN11)</f>
        <v>100.48699999999999</v>
      </c>
      <c r="AO6" s="18">
        <f t="shared" si="10"/>
        <v>134.44400000000002</v>
      </c>
      <c r="AP6" s="18">
        <f t="shared" ref="AP6" si="11">SUM(AP7,AP12,AP11)</f>
        <v>137.517</v>
      </c>
      <c r="AQ6" s="18">
        <f t="shared" ref="AQ6:AV6" si="12">SUM(AQ7,AQ12,AQ11)</f>
        <v>170.90800000000002</v>
      </c>
      <c r="AR6" s="18">
        <f t="shared" si="12"/>
        <v>133.26599999999999</v>
      </c>
      <c r="AS6" s="18">
        <f t="shared" si="12"/>
        <v>211.20400000000001</v>
      </c>
      <c r="AT6" s="18">
        <f t="shared" si="12"/>
        <v>194.34700000000001</v>
      </c>
      <c r="AU6" s="18">
        <f t="shared" si="12"/>
        <v>71.698000000000008</v>
      </c>
      <c r="AV6" s="18">
        <f t="shared" si="12"/>
        <v>108.629</v>
      </c>
      <c r="AW6" s="18">
        <f t="shared" ref="AW6" si="13">SUM(AW7,AW12,AW11)</f>
        <v>223.70900000000003</v>
      </c>
      <c r="AX6" s="18">
        <f t="shared" ref="AX6:BB6" si="14">SUM(AX7,AX12,AX11)</f>
        <v>120.604</v>
      </c>
      <c r="AY6" s="18">
        <f t="shared" si="14"/>
        <v>132.41500000000002</v>
      </c>
      <c r="AZ6" s="18">
        <f t="shared" si="14"/>
        <v>54.611999999999966</v>
      </c>
      <c r="BA6" s="18">
        <f t="shared" si="14"/>
        <v>86.063000000000017</v>
      </c>
      <c r="BB6" s="18">
        <f t="shared" si="14"/>
        <v>32.493000000000002</v>
      </c>
      <c r="BC6" s="18">
        <f t="shared" ref="BC6:BD6" si="15">SUM(BC7,BC12,BC11)</f>
        <v>2.6469999999999998</v>
      </c>
      <c r="BD6" s="18">
        <f t="shared" si="15"/>
        <v>2.7356838100000038</v>
      </c>
      <c r="BE6" s="18">
        <f t="shared" ref="BE6:BF6" si="16">SUM(BE7,BE12,BE11)</f>
        <v>2.1179999999999999</v>
      </c>
      <c r="BF6" s="18">
        <f t="shared" si="16"/>
        <v>2.6900000000000004</v>
      </c>
      <c r="BG6" s="18">
        <f t="shared" ref="BG6:BH6" si="17">SUM(BG7,BG12,BG11)</f>
        <v>1.571</v>
      </c>
      <c r="BH6" s="18">
        <f t="shared" si="17"/>
        <v>5.5819999999999999</v>
      </c>
      <c r="BI6" s="18">
        <f>SUM(BI7,BI12,BI11)</f>
        <v>21.471360239997566</v>
      </c>
      <c r="BJ6" s="18">
        <f>SUM(BJ7,BJ12,BJ11)</f>
        <v>178.13299999999992</v>
      </c>
    </row>
    <row r="7" spans="1:62" s="14" customFormat="1" ht="12.75">
      <c r="A7" s="50" t="s">
        <v>3</v>
      </c>
      <c r="B7" s="83">
        <f t="shared" si="0"/>
        <v>354.97250941450784</v>
      </c>
      <c r="C7" s="13">
        <f t="shared" si="1"/>
        <v>370.28587575069207</v>
      </c>
      <c r="D7" s="13">
        <f t="shared" ref="D7:H7" si="18">SUM(D8,D9,D10)</f>
        <v>423.22042944592584</v>
      </c>
      <c r="E7" s="13">
        <f t="shared" si="18"/>
        <v>305.95993229244135</v>
      </c>
      <c r="F7" s="13">
        <f t="shared" si="18"/>
        <v>353.50880582396059</v>
      </c>
      <c r="G7" s="13">
        <f t="shared" si="18"/>
        <v>293.00600000000003</v>
      </c>
      <c r="H7" s="13">
        <f t="shared" si="18"/>
        <v>563.88</v>
      </c>
      <c r="I7" s="13">
        <f>SUM(I8,I9,I10)</f>
        <v>406.55700000000002</v>
      </c>
      <c r="J7" s="13">
        <f>SUM(J8,J9,J10)</f>
        <v>410.65000000000003</v>
      </c>
      <c r="K7" s="13">
        <f>SUM(K8,K9,K10)</f>
        <v>219.685</v>
      </c>
      <c r="L7" s="13">
        <f>SUM(L8,L9,L10)</f>
        <v>7.4686838100000035</v>
      </c>
      <c r="M7" s="82">
        <f>SUM(M8,M9,M10)</f>
        <v>2.4817584600024327</v>
      </c>
      <c r="N7" s="49">
        <f>SUM(N8:N10)</f>
        <v>115.02058768475951</v>
      </c>
      <c r="O7" s="13">
        <f t="shared" ref="O7:Q7" si="19">SUM(O8:O10)</f>
        <v>84.389755157555371</v>
      </c>
      <c r="P7" s="13">
        <f t="shared" si="19"/>
        <v>57.519473814772006</v>
      </c>
      <c r="Q7" s="13">
        <f t="shared" si="19"/>
        <v>98.042692757420909</v>
      </c>
      <c r="R7" s="13">
        <f>SUM(R8:R10)</f>
        <v>53.513627398943427</v>
      </c>
      <c r="S7" s="13">
        <f>SUM(S8:S10)</f>
        <v>120.53032911229562</v>
      </c>
      <c r="T7" s="13">
        <f>SUM(T8:T10)</f>
        <v>50.400681321243297</v>
      </c>
      <c r="U7" s="13">
        <f>SUM(U8:U10)</f>
        <v>145.84123791820969</v>
      </c>
      <c r="V7" s="13">
        <f>SUM(V8,V9,V10)</f>
        <v>62.91301055034581</v>
      </c>
      <c r="W7" s="13">
        <f t="shared" ref="W7:Y7" si="20">SUM(W8,W9,W10)</f>
        <v>104.72751466073409</v>
      </c>
      <c r="X7" s="13">
        <f t="shared" si="20"/>
        <v>74.470076208800023</v>
      </c>
      <c r="Y7" s="13">
        <f t="shared" si="20"/>
        <v>181.1098280260459</v>
      </c>
      <c r="Z7" s="13">
        <f t="shared" ref="Z7:AA7" si="21">SUM(Z8,Z9,Z10)</f>
        <v>26.138246575734424</v>
      </c>
      <c r="AA7" s="13">
        <f t="shared" si="21"/>
        <v>74.974563261258851</v>
      </c>
      <c r="AB7" s="13">
        <f t="shared" ref="AB7" si="22">SUM(AB8,AB9,AB10)</f>
        <v>72.565190163006733</v>
      </c>
      <c r="AC7" s="13">
        <f t="shared" ref="AC7:AD7" si="23">SUM(AC8,AC9,AC10)</f>
        <v>132.28193229244127</v>
      </c>
      <c r="AD7" s="13">
        <f t="shared" si="23"/>
        <v>67.222966551631387</v>
      </c>
      <c r="AE7" s="13">
        <f t="shared" ref="AE7" si="24">SUM(AE8,AE9,AE10)</f>
        <v>167.72724081695077</v>
      </c>
      <c r="AF7" s="13">
        <f t="shared" ref="AF7:AK7" si="25">SUM(AF8,AF9,AF10)</f>
        <v>74.386555271234002</v>
      </c>
      <c r="AG7" s="13">
        <f t="shared" si="25"/>
        <v>44.172043184144449</v>
      </c>
      <c r="AH7" s="13">
        <f t="shared" si="25"/>
        <v>78.142439374258416</v>
      </c>
      <c r="AI7" s="13">
        <f t="shared" si="25"/>
        <v>60.498991457011094</v>
      </c>
      <c r="AJ7" s="13">
        <f t="shared" si="25"/>
        <v>28.347512338730454</v>
      </c>
      <c r="AK7" s="13">
        <f t="shared" si="25"/>
        <v>126.01705683000004</v>
      </c>
      <c r="AL7" s="13">
        <f t="shared" ref="AL7:AM7" si="26">SUM(AL8,AL9,AL10)</f>
        <v>260.947</v>
      </c>
      <c r="AM7" s="13">
        <f t="shared" si="26"/>
        <v>171.70899999999997</v>
      </c>
      <c r="AN7" s="13">
        <f t="shared" ref="AN7:AO7" si="27">SUM(AN8,AN9,AN10)</f>
        <v>55.590999999999987</v>
      </c>
      <c r="AO7" s="13">
        <f t="shared" si="27"/>
        <v>75.632999999999981</v>
      </c>
      <c r="AP7" s="13">
        <f t="shared" ref="AP7:AQ7" si="28">SUM(AP8,AP9,AP10)</f>
        <v>82.258999999999986</v>
      </c>
      <c r="AQ7" s="13">
        <f t="shared" si="28"/>
        <v>105.342</v>
      </c>
      <c r="AR7" s="13">
        <f t="shared" ref="AR7:AS7" si="29">SUM(AR8,AR9,AR10)</f>
        <v>77.38</v>
      </c>
      <c r="AS7" s="13">
        <f t="shared" si="29"/>
        <v>141.57599999999999</v>
      </c>
      <c r="AT7" s="13">
        <f t="shared" ref="AT7:AU7" si="30">SUM(AT8,AT9,AT10)</f>
        <v>130.702</v>
      </c>
      <c r="AU7" s="13">
        <f t="shared" si="30"/>
        <v>41.734999999999999</v>
      </c>
      <c r="AV7" s="13">
        <f t="shared" ref="AV7:AW7" si="31">SUM(AV8,AV9,AV10)</f>
        <v>71.039000000000001</v>
      </c>
      <c r="AW7" s="13">
        <f t="shared" si="31"/>
        <v>167.17400000000004</v>
      </c>
      <c r="AX7" s="13">
        <f t="shared" ref="AX7:BB7" si="32">SUM(AX8,AX9,AX10)</f>
        <v>86.263000000000005</v>
      </c>
      <c r="AY7" s="13">
        <f t="shared" si="32"/>
        <v>82.045000000000016</v>
      </c>
      <c r="AZ7" s="13">
        <f t="shared" si="32"/>
        <v>18.030999999999977</v>
      </c>
      <c r="BA7" s="13">
        <f t="shared" si="32"/>
        <v>33.346000000000018</v>
      </c>
      <c r="BB7" s="13">
        <f t="shared" si="32"/>
        <v>6.5050000000000008</v>
      </c>
      <c r="BC7" s="13">
        <f t="shared" ref="BC7:BD7" si="33">SUM(BC8,BC9,BC10)</f>
        <v>-1.9999999999999575E-3</v>
      </c>
      <c r="BD7" s="13">
        <f t="shared" si="33"/>
        <v>0.96568381000000414</v>
      </c>
      <c r="BE7" s="13">
        <f t="shared" ref="BE7:BF7" si="34">SUM(BE8,BE9,BE10)</f>
        <v>0</v>
      </c>
      <c r="BF7" s="13">
        <f t="shared" si="34"/>
        <v>0.33600000000000002</v>
      </c>
      <c r="BG7" s="13">
        <f t="shared" ref="BG7:BH7" si="35">SUM(BG8,BG9,BG10)</f>
        <v>0.16200000000000001</v>
      </c>
      <c r="BH7" s="13">
        <f t="shared" si="35"/>
        <v>1.22</v>
      </c>
      <c r="BI7" s="13">
        <f t="shared" ref="BI7:BJ7" si="36">SUM(BI8,BI9,BI10)</f>
        <v>0.76356250000000003</v>
      </c>
      <c r="BJ7" s="13">
        <f t="shared" si="36"/>
        <v>111.93299999999994</v>
      </c>
    </row>
    <row r="8" spans="1:62" s="23" customFormat="1" ht="12.75">
      <c r="A8" s="51" t="s">
        <v>7</v>
      </c>
      <c r="B8" s="117">
        <f t="shared" si="0"/>
        <v>219.16589507351966</v>
      </c>
      <c r="C8" s="22">
        <f t="shared" si="1"/>
        <v>260.8214506746703</v>
      </c>
      <c r="D8" s="22">
        <f t="shared" ref="D8:D14" si="37">SUM(V8:Y8)</f>
        <v>245.04240373695461</v>
      </c>
      <c r="E8" s="22">
        <f t="shared" ref="E8:E14" si="38">SUM(Z8:AC8)</f>
        <v>146.88282975560605</v>
      </c>
      <c r="F8" s="22">
        <f t="shared" ref="F8:F14" si="39">SUM(AD8:AG8)</f>
        <v>203.50238338456614</v>
      </c>
      <c r="G8" s="22">
        <f t="shared" ref="G8:G14" si="40">SUM(AH8:AK8)</f>
        <v>252.01930937999998</v>
      </c>
      <c r="H8" s="22">
        <f t="shared" ref="H8:H14" si="41">SUM(AL8:AO8)</f>
        <v>522.21493242999975</v>
      </c>
      <c r="I8" s="22">
        <f>SUM(AP8:AS8)</f>
        <v>355.09954549000008</v>
      </c>
      <c r="J8" s="22">
        <f t="shared" ref="J8:J14" si="42">SUM(AT8:AW8)</f>
        <v>369.46225999000001</v>
      </c>
      <c r="K8" s="22">
        <f t="shared" ref="K8:K14" si="43">SUM(AX8:BA8)</f>
        <v>176.80413829999989</v>
      </c>
      <c r="L8" s="22">
        <f>SUM(BB8:BE8)</f>
        <v>5.79629452</v>
      </c>
      <c r="M8" s="147">
        <v>2.4807584600024328</v>
      </c>
      <c r="N8" s="53">
        <v>76.815150696982798</v>
      </c>
      <c r="O8" s="22">
        <v>42.09954757951094</v>
      </c>
      <c r="P8" s="22">
        <v>12.465948279645149</v>
      </c>
      <c r="Q8" s="22">
        <v>87.785248517380765</v>
      </c>
      <c r="R8" s="22">
        <v>45.840536690740372</v>
      </c>
      <c r="S8" s="22">
        <v>96.958205470498697</v>
      </c>
      <c r="T8" s="22">
        <v>25.847727001243182</v>
      </c>
      <c r="U8" s="22">
        <v>92.17498151218804</v>
      </c>
      <c r="V8" s="22">
        <v>33.655266848103295</v>
      </c>
      <c r="W8" s="22">
        <v>52.224596676206062</v>
      </c>
      <c r="X8" s="22">
        <v>21.227325219303893</v>
      </c>
      <c r="Y8" s="22">
        <v>137.93521499334136</v>
      </c>
      <c r="Z8" s="22">
        <v>11.115854724634392</v>
      </c>
      <c r="AA8" s="22">
        <v>9.2692854333850487</v>
      </c>
      <c r="AB8" s="22">
        <v>25.139314765989209</v>
      </c>
      <c r="AC8" s="22">
        <v>101.35837483159739</v>
      </c>
      <c r="AD8" s="22">
        <v>39.497435771631366</v>
      </c>
      <c r="AE8" s="22">
        <v>120.7044092965387</v>
      </c>
      <c r="AF8" s="22">
        <f>21080.0128816193/1000</f>
        <v>21.0800128816193</v>
      </c>
      <c r="AG8" s="22">
        <f>22220.5254347768/1000</f>
        <v>22.2205254347768</v>
      </c>
      <c r="AH8" s="22">
        <f>74121.6637042584/1000</f>
        <v>74.12166370425841</v>
      </c>
      <c r="AI8" s="22">
        <v>38.135186087011107</v>
      </c>
      <c r="AJ8" s="22">
        <v>20.364400518730413</v>
      </c>
      <c r="AK8" s="22">
        <v>119.39805907000006</v>
      </c>
      <c r="AL8" s="22">
        <v>256.96071521000005</v>
      </c>
      <c r="AM8" s="22">
        <v>154.37868366999999</v>
      </c>
      <c r="AN8" s="22">
        <v>45.004148550000011</v>
      </c>
      <c r="AO8" s="22">
        <v>65.871384999999719</v>
      </c>
      <c r="AP8" s="22">
        <v>75.678558229999993</v>
      </c>
      <c r="AQ8" s="22">
        <v>82.233963790000004</v>
      </c>
      <c r="AR8" s="22">
        <v>67.127566750000028</v>
      </c>
      <c r="AS8" s="22">
        <v>130.05945672000004</v>
      </c>
      <c r="AT8" s="22">
        <v>126.75018269</v>
      </c>
      <c r="AU8" s="22">
        <v>39.58590070999999</v>
      </c>
      <c r="AV8" s="22">
        <v>53.780410160000017</v>
      </c>
      <c r="AW8" s="22">
        <v>149.34576642999997</v>
      </c>
      <c r="AX8" s="22">
        <v>74.036118200000004</v>
      </c>
      <c r="AY8" s="22">
        <v>69.684763309999994</v>
      </c>
      <c r="AZ8" s="22">
        <v>9.1720210299998879</v>
      </c>
      <c r="BA8" s="22">
        <v>23.911235760000011</v>
      </c>
      <c r="BB8" s="22">
        <v>5.8032250100000002</v>
      </c>
      <c r="BC8" s="22">
        <v>-6.9304899999999637E-3</v>
      </c>
      <c r="BD8" s="22">
        <v>0</v>
      </c>
      <c r="BE8" s="22">
        <v>0</v>
      </c>
      <c r="BF8" s="22">
        <v>0.33600000000000002</v>
      </c>
      <c r="BG8" s="22">
        <v>0.16200000000000001</v>
      </c>
      <c r="BH8" s="22">
        <v>0.89900000000000002</v>
      </c>
      <c r="BI8" s="22">
        <v>0.76275846000000003</v>
      </c>
      <c r="BJ8" s="22">
        <v>109.6352722</v>
      </c>
    </row>
    <row r="9" spans="1:62" s="23" customFormat="1" ht="12.75">
      <c r="A9" s="51" t="s">
        <v>8</v>
      </c>
      <c r="B9" s="117">
        <f t="shared" si="0"/>
        <v>122.58436016098814</v>
      </c>
      <c r="C9" s="22">
        <f t="shared" si="1"/>
        <v>96.26875946602172</v>
      </c>
      <c r="D9" s="22">
        <f t="shared" si="37"/>
        <v>161.71785542897123</v>
      </c>
      <c r="E9" s="22">
        <f>SUM(Z9:AC9)</f>
        <v>147.09231283683525</v>
      </c>
      <c r="F9" s="22">
        <f t="shared" si="39"/>
        <v>141.25484154400505</v>
      </c>
      <c r="G9" s="22">
        <f t="shared" si="40"/>
        <v>32.566580030000004</v>
      </c>
      <c r="H9" s="22">
        <f t="shared" si="41"/>
        <v>34.37011669000001</v>
      </c>
      <c r="I9" s="22">
        <f t="shared" ref="I9:I14" si="44">SUM(AP9:AS9)</f>
        <v>39.843013230000011</v>
      </c>
      <c r="J9" s="22">
        <f t="shared" si="42"/>
        <v>29.79266999999999</v>
      </c>
      <c r="K9" s="22">
        <f t="shared" si="43"/>
        <v>34.353603050000004</v>
      </c>
      <c r="L9" s="22">
        <f t="shared" ref="L9:L10" si="45">SUM(BB9:BE9)</f>
        <v>0.10404728999999999</v>
      </c>
      <c r="M9" s="147">
        <v>1E-3</v>
      </c>
      <c r="N9" s="53">
        <v>36.376300117776708</v>
      </c>
      <c r="O9" s="22">
        <v>37.560879838044428</v>
      </c>
      <c r="P9" s="22">
        <v>41.200567855126863</v>
      </c>
      <c r="Q9" s="22">
        <v>7.4466123500401444</v>
      </c>
      <c r="R9" s="22">
        <v>6.9579253182030527</v>
      </c>
      <c r="S9" s="22">
        <v>19.75387516179692</v>
      </c>
      <c r="T9" s="22">
        <v>18.291308730000111</v>
      </c>
      <c r="U9" s="22">
        <v>51.265650256021644</v>
      </c>
      <c r="V9" s="22">
        <v>27.775684182242514</v>
      </c>
      <c r="W9" s="22">
        <v>48.893467524528027</v>
      </c>
      <c r="X9" s="22">
        <v>46.961481649496129</v>
      </c>
      <c r="Y9" s="22">
        <v>38.087222072704549</v>
      </c>
      <c r="Z9" s="22">
        <v>13.055274771100031</v>
      </c>
      <c r="AA9" s="22">
        <v>62.590982617873813</v>
      </c>
      <c r="AB9" s="22">
        <v>44.750120187017515</v>
      </c>
      <c r="AC9" s="22">
        <v>26.695935260843893</v>
      </c>
      <c r="AD9" s="22">
        <v>26.752046270000015</v>
      </c>
      <c r="AE9" s="22">
        <v>44.531312630412131</v>
      </c>
      <c r="AF9" s="22">
        <f>49866.2024196146/1000</f>
        <v>49.866202419614602</v>
      </c>
      <c r="AG9" s="22">
        <f>20105.2802239783/1000</f>
        <v>20.105280223978301</v>
      </c>
      <c r="AH9" s="22">
        <f>2929.33483/1000</f>
        <v>2.9293348299999997</v>
      </c>
      <c r="AI9" s="22">
        <v>19.971252029999995</v>
      </c>
      <c r="AJ9" s="22">
        <v>5.7834166000000042</v>
      </c>
      <c r="AK9" s="22">
        <v>3.8825765700000048</v>
      </c>
      <c r="AL9" s="22">
        <v>3.3519807199999976</v>
      </c>
      <c r="AM9" s="22">
        <v>15.720103239999998</v>
      </c>
      <c r="AN9" s="22">
        <v>8.2436668600000047</v>
      </c>
      <c r="AO9" s="22">
        <v>7.0543658700000087</v>
      </c>
      <c r="AP9" s="22">
        <v>5.4598969400000001</v>
      </c>
      <c r="AQ9" s="22">
        <v>20.986627339999998</v>
      </c>
      <c r="AR9" s="22">
        <v>7.0257112399999899</v>
      </c>
      <c r="AS9" s="22">
        <v>6.3707777100000165</v>
      </c>
      <c r="AT9" s="22">
        <v>1.9032505599999996</v>
      </c>
      <c r="AU9" s="22">
        <v>0</v>
      </c>
      <c r="AV9" s="22">
        <v>13.657471359999995</v>
      </c>
      <c r="AW9" s="22">
        <v>14.231948079999995</v>
      </c>
      <c r="AX9" s="22">
        <v>12.084750360000003</v>
      </c>
      <c r="AY9" s="22">
        <v>10.026067039999999</v>
      </c>
      <c r="AZ9" s="22">
        <v>5.5364750700000043</v>
      </c>
      <c r="BA9" s="22">
        <v>6.7063105799999976</v>
      </c>
      <c r="BB9" s="22">
        <v>0.10063314</v>
      </c>
      <c r="BC9" s="22">
        <v>3.4141499999999921E-3</v>
      </c>
      <c r="BD9" s="22">
        <v>0</v>
      </c>
      <c r="BE9" s="22">
        <v>0</v>
      </c>
      <c r="BF9" s="22">
        <v>0</v>
      </c>
      <c r="BG9" s="22">
        <v>0</v>
      </c>
      <c r="BH9" s="22">
        <v>0.32100000000000001</v>
      </c>
      <c r="BI9" s="22">
        <v>8.0404000000000001E-4</v>
      </c>
      <c r="BJ9" s="22">
        <v>2.2977277999999277</v>
      </c>
    </row>
    <row r="10" spans="1:62" s="23" customFormat="1" ht="12.75">
      <c r="A10" s="51" t="s">
        <v>9</v>
      </c>
      <c r="B10" s="117">
        <f t="shared" si="0"/>
        <v>13.222254179999997</v>
      </c>
      <c r="C10" s="22">
        <f t="shared" si="1"/>
        <v>13.195665610000001</v>
      </c>
      <c r="D10" s="22">
        <f t="shared" si="37"/>
        <v>16.46017028</v>
      </c>
      <c r="E10" s="22">
        <f t="shared" si="38"/>
        <v>11.984789699999997</v>
      </c>
      <c r="F10" s="22">
        <f t="shared" si="39"/>
        <v>8.7515808953893934</v>
      </c>
      <c r="G10" s="22">
        <f t="shared" si="40"/>
        <v>8.4201105900000108</v>
      </c>
      <c r="H10" s="22">
        <f t="shared" si="41"/>
        <v>7.2949508800002079</v>
      </c>
      <c r="I10" s="22">
        <f t="shared" si="44"/>
        <v>11.614441279999909</v>
      </c>
      <c r="J10" s="22">
        <f t="shared" si="42"/>
        <v>11.395070010000049</v>
      </c>
      <c r="K10" s="22">
        <f t="shared" si="43"/>
        <v>8.5272586500001069</v>
      </c>
      <c r="L10" s="22">
        <f t="shared" si="45"/>
        <v>1.5683420000000039</v>
      </c>
      <c r="M10" s="147">
        <v>0</v>
      </c>
      <c r="N10" s="53">
        <v>1.829136869999999</v>
      </c>
      <c r="O10" s="22">
        <v>4.7293277399999996</v>
      </c>
      <c r="P10" s="22">
        <v>3.8529576799999976</v>
      </c>
      <c r="Q10" s="22">
        <v>2.8108318899999993</v>
      </c>
      <c r="R10" s="22">
        <v>0.71516539000000012</v>
      </c>
      <c r="S10" s="22">
        <v>3.8182484800000012</v>
      </c>
      <c r="T10" s="22">
        <v>6.2616455899999988</v>
      </c>
      <c r="U10" s="22">
        <v>2.4006061499999998</v>
      </c>
      <c r="V10" s="22">
        <v>1.4820595200000009</v>
      </c>
      <c r="W10" s="22">
        <v>3.6094504599999966</v>
      </c>
      <c r="X10" s="22">
        <v>6.2812693400000059</v>
      </c>
      <c r="Y10" s="22">
        <v>5.0873909599999987</v>
      </c>
      <c r="Z10" s="22">
        <v>1.96711708</v>
      </c>
      <c r="AA10" s="22">
        <v>3.1142952100000012</v>
      </c>
      <c r="AB10" s="22">
        <v>2.6757552100000046</v>
      </c>
      <c r="AC10" s="22">
        <v>4.2276221999999901</v>
      </c>
      <c r="AD10" s="22">
        <v>0.97348451000000213</v>
      </c>
      <c r="AE10" s="22">
        <v>2.4915188899999516</v>
      </c>
      <c r="AF10" s="22">
        <f>3440.33997000009/1000</f>
        <v>3.4403399700000898</v>
      </c>
      <c r="AG10" s="22">
        <f>1846.23752538935/1000</f>
        <v>1.8462375253893499</v>
      </c>
      <c r="AH10" s="22">
        <f>1091.44084/1000</f>
        <v>1.09144084</v>
      </c>
      <c r="AI10" s="22">
        <v>2.3925533399999934</v>
      </c>
      <c r="AJ10" s="22">
        <v>2.1996952200000379</v>
      </c>
      <c r="AK10" s="22">
        <v>2.7364211899999793</v>
      </c>
      <c r="AL10" s="22">
        <v>0.63430406999999533</v>
      </c>
      <c r="AM10" s="22">
        <v>1.6102130899999909</v>
      </c>
      <c r="AN10" s="22">
        <v>2.3431845899999693</v>
      </c>
      <c r="AO10" s="22">
        <v>2.7072491300002519</v>
      </c>
      <c r="AP10" s="22">
        <v>1.1205448300000007</v>
      </c>
      <c r="AQ10" s="22">
        <v>2.1214088699999976</v>
      </c>
      <c r="AR10" s="22">
        <v>3.2267220099999729</v>
      </c>
      <c r="AS10" s="22">
        <v>5.145765569999937</v>
      </c>
      <c r="AT10" s="22">
        <v>2.0485667499999995</v>
      </c>
      <c r="AU10" s="22">
        <v>2.1490992900000077</v>
      </c>
      <c r="AV10" s="22">
        <v>3.6011184799999794</v>
      </c>
      <c r="AW10" s="22">
        <v>3.596285490000064</v>
      </c>
      <c r="AX10" s="22">
        <v>0.14213144000000014</v>
      </c>
      <c r="AY10" s="22">
        <v>2.334169650000014</v>
      </c>
      <c r="AZ10" s="22">
        <v>3.3225039000000867</v>
      </c>
      <c r="BA10" s="22">
        <v>2.7284536600000067</v>
      </c>
      <c r="BB10" s="22">
        <v>0.60114184999999987</v>
      </c>
      <c r="BC10" s="22">
        <v>1.5163400000000138E-3</v>
      </c>
      <c r="BD10" s="22">
        <v>0.96568381000000414</v>
      </c>
      <c r="BE10" s="22">
        <v>0</v>
      </c>
      <c r="BF10" s="22">
        <v>0</v>
      </c>
      <c r="BG10" s="22">
        <v>0</v>
      </c>
      <c r="BH10" s="22">
        <v>0</v>
      </c>
      <c r="BI10" s="22">
        <v>0</v>
      </c>
      <c r="BJ10" s="22">
        <v>0</v>
      </c>
    </row>
    <row r="11" spans="1:62" s="14" customFormat="1" ht="12.75">
      <c r="A11" s="50" t="s">
        <v>10</v>
      </c>
      <c r="B11" s="83">
        <f t="shared" si="0"/>
        <v>89.906625032187108</v>
      </c>
      <c r="C11" s="13">
        <f t="shared" si="1"/>
        <v>100.52085602885484</v>
      </c>
      <c r="D11" s="13">
        <f t="shared" si="37"/>
        <v>111.86404409429807</v>
      </c>
      <c r="E11" s="13">
        <f t="shared" si="38"/>
        <v>135.32757799987181</v>
      </c>
      <c r="F11" s="13">
        <f t="shared" si="39"/>
        <v>108.7598673982441</v>
      </c>
      <c r="G11" s="13">
        <f t="shared" si="40"/>
        <v>166.27699999999999</v>
      </c>
      <c r="H11" s="13">
        <f t="shared" si="41"/>
        <v>136.11200000000002</v>
      </c>
      <c r="I11" s="13">
        <f t="shared" si="44"/>
        <v>153.833</v>
      </c>
      <c r="J11" s="13">
        <f t="shared" si="42"/>
        <v>95.893000000000001</v>
      </c>
      <c r="K11" s="13">
        <f t="shared" si="43"/>
        <v>78.367000000000004</v>
      </c>
      <c r="L11" s="13">
        <f>SUM(BB11:BE11)</f>
        <v>15.584</v>
      </c>
      <c r="M11" s="147">
        <v>24.481241539997566</v>
      </c>
      <c r="N11" s="49">
        <v>19.595333741995653</v>
      </c>
      <c r="O11" s="13">
        <v>15.49467055843923</v>
      </c>
      <c r="P11" s="13">
        <v>20.143979916162206</v>
      </c>
      <c r="Q11" s="13">
        <v>34.672640815590015</v>
      </c>
      <c r="R11" s="13">
        <v>11.614209746445136</v>
      </c>
      <c r="S11" s="13">
        <v>24.22783374231572</v>
      </c>
      <c r="T11" s="13">
        <v>30.891666916113785</v>
      </c>
      <c r="U11" s="13">
        <v>33.787145623980201</v>
      </c>
      <c r="V11" s="13">
        <v>17.496490812922715</v>
      </c>
      <c r="W11" s="13">
        <v>33.747672687077376</v>
      </c>
      <c r="X11" s="13">
        <v>27.10284394000001</v>
      </c>
      <c r="Y11" s="13">
        <v>33.517036654297975</v>
      </c>
      <c r="Z11" s="13">
        <v>17.94110056556876</v>
      </c>
      <c r="AA11" s="13">
        <v>44.36869878377059</v>
      </c>
      <c r="AB11" s="22">
        <v>30.625200650660656</v>
      </c>
      <c r="AC11" s="22">
        <v>42.392577999871804</v>
      </c>
      <c r="AD11" s="22">
        <v>24.63249909</v>
      </c>
      <c r="AE11" s="22">
        <v>28.084938392758701</v>
      </c>
      <c r="AF11" s="22">
        <f>23983.9387333285/1000</f>
        <v>23.9839387333285</v>
      </c>
      <c r="AG11" s="22">
        <f>32058.4911821569/1000</f>
        <v>32.058491182156899</v>
      </c>
      <c r="AH11" s="22">
        <f>27031.7179871269/1000</f>
        <v>27.0317179871269</v>
      </c>
      <c r="AI11" s="22">
        <v>25.735615016749541</v>
      </c>
      <c r="AJ11" s="22">
        <v>37.069666996123551</v>
      </c>
      <c r="AK11" s="22">
        <v>76.44</v>
      </c>
      <c r="AL11" s="22">
        <v>37.122999999999998</v>
      </c>
      <c r="AM11" s="22">
        <v>31.204999999999998</v>
      </c>
      <c r="AN11" s="22">
        <v>25.673999999999999</v>
      </c>
      <c r="AO11" s="22">
        <v>42.11</v>
      </c>
      <c r="AP11" s="22">
        <v>32.808999999999997</v>
      </c>
      <c r="AQ11" s="22">
        <v>53.164999999999999</v>
      </c>
      <c r="AR11" s="22">
        <v>31.975999999999999</v>
      </c>
      <c r="AS11" s="22">
        <v>35.883000000000003</v>
      </c>
      <c r="AT11" s="22">
        <v>25.513000000000002</v>
      </c>
      <c r="AU11" s="22">
        <v>17.753</v>
      </c>
      <c r="AV11" s="22">
        <v>17.045000000000002</v>
      </c>
      <c r="AW11" s="22">
        <v>35.582000000000001</v>
      </c>
      <c r="AX11" s="22">
        <v>15.430999999999999</v>
      </c>
      <c r="AY11" s="22">
        <v>21.452000000000002</v>
      </c>
      <c r="AZ11" s="22">
        <v>15.926</v>
      </c>
      <c r="BA11" s="22">
        <v>25.558</v>
      </c>
      <c r="BB11" s="22">
        <v>11.776</v>
      </c>
      <c r="BC11" s="22">
        <v>1.123</v>
      </c>
      <c r="BD11" s="22">
        <v>0.997</v>
      </c>
      <c r="BE11" s="22">
        <v>1.6879999999999999</v>
      </c>
      <c r="BF11" s="22">
        <v>2.2770000000000001</v>
      </c>
      <c r="BG11" s="22">
        <v>1.409</v>
      </c>
      <c r="BH11" s="22">
        <v>4.218</v>
      </c>
      <c r="BI11" s="22">
        <v>16.577241539997566</v>
      </c>
      <c r="BJ11" s="22">
        <v>28.082999999999998</v>
      </c>
    </row>
    <row r="12" spans="1:62" s="14" customFormat="1" ht="12.75">
      <c r="A12" s="50" t="s">
        <v>11</v>
      </c>
      <c r="B12" s="83">
        <f t="shared" ref="B12:L12" si="46">SUM(B13:B14)</f>
        <v>124.300284664277</v>
      </c>
      <c r="C12" s="13">
        <f t="shared" si="46"/>
        <v>139.0182686955404</v>
      </c>
      <c r="D12" s="13">
        <f t="shared" si="46"/>
        <v>159.15173761000003</v>
      </c>
      <c r="E12" s="13">
        <f t="shared" si="46"/>
        <v>110.03605880699925</v>
      </c>
      <c r="F12" s="13">
        <f t="shared" si="46"/>
        <v>90.671217739730679</v>
      </c>
      <c r="G12" s="13">
        <f t="shared" si="46"/>
        <v>91.695999999999955</v>
      </c>
      <c r="H12" s="13">
        <f t="shared" si="46"/>
        <v>92.462000000000032</v>
      </c>
      <c r="I12" s="13">
        <f t="shared" si="46"/>
        <v>92.50500000000001</v>
      </c>
      <c r="J12" s="13">
        <f t="shared" si="46"/>
        <v>91.839999999999989</v>
      </c>
      <c r="K12" s="13">
        <f t="shared" si="46"/>
        <v>95.64200000000001</v>
      </c>
      <c r="L12" s="13">
        <f t="shared" si="46"/>
        <v>16.940999999999999</v>
      </c>
      <c r="M12" s="147">
        <f t="shared" ref="M12" si="47">SUM(M13:M14)</f>
        <v>4.3520000001700003</v>
      </c>
      <c r="N12" s="49">
        <f t="shared" ref="N12:U12" si="48">SUM(N13:N14)</f>
        <v>26.92012696383398</v>
      </c>
      <c r="O12" s="13">
        <f t="shared" si="48"/>
        <v>34.662553476166018</v>
      </c>
      <c r="P12" s="13">
        <f t="shared" si="48"/>
        <v>16.44379707521189</v>
      </c>
      <c r="Q12" s="13">
        <f t="shared" si="48"/>
        <v>46.273807149065114</v>
      </c>
      <c r="R12" s="13">
        <f t="shared" si="48"/>
        <v>16.942346097649001</v>
      </c>
      <c r="S12" s="13">
        <f t="shared" si="48"/>
        <v>39.553004497637701</v>
      </c>
      <c r="T12" s="13">
        <f t="shared" si="48"/>
        <v>30.220961260353789</v>
      </c>
      <c r="U12" s="13">
        <f t="shared" si="48"/>
        <v>52.301956839899894</v>
      </c>
      <c r="V12" s="13">
        <f t="shared" ref="V12:AA12" si="49">SUM(V14,V13)</f>
        <v>25.924992433600551</v>
      </c>
      <c r="W12" s="13">
        <f t="shared" si="49"/>
        <v>52.256020006399439</v>
      </c>
      <c r="X12" s="13">
        <f t="shared" si="49"/>
        <v>36.097692479999985</v>
      </c>
      <c r="Y12" s="13">
        <f t="shared" si="49"/>
        <v>44.873032690000066</v>
      </c>
      <c r="Z12" s="13">
        <f t="shared" si="49"/>
        <v>14.988576313663287</v>
      </c>
      <c r="AA12" s="13">
        <f t="shared" si="49"/>
        <v>23.454491345775949</v>
      </c>
      <c r="AB12" s="13">
        <f t="shared" ref="AB12" si="50">SUM(AB14,AB13)</f>
        <v>23.802932340560769</v>
      </c>
      <c r="AC12" s="13">
        <f t="shared" ref="AC12:AD12" si="51">SUM(AC14,AC13)</f>
        <v>47.790058806999241</v>
      </c>
      <c r="AD12" s="13">
        <f t="shared" si="51"/>
        <v>16.185113705848121</v>
      </c>
      <c r="AE12" s="13">
        <f t="shared" ref="AE12" si="52">SUM(AE14,AE13)</f>
        <v>25.466227542553987</v>
      </c>
      <c r="AF12" s="13">
        <f t="shared" ref="AF12:AK12" si="53">SUM(AF14,AF13)</f>
        <v>27.188590767039869</v>
      </c>
      <c r="AG12" s="13">
        <f t="shared" si="53"/>
        <v>21.831285724288708</v>
      </c>
      <c r="AH12" s="13">
        <f t="shared" si="53"/>
        <v>26.707777710585201</v>
      </c>
      <c r="AI12" s="13">
        <f t="shared" si="53"/>
        <v>17.422941285826131</v>
      </c>
      <c r="AJ12" s="13">
        <f t="shared" si="53"/>
        <v>20.609281003588627</v>
      </c>
      <c r="AK12" s="13">
        <f t="shared" si="53"/>
        <v>26.955999999999996</v>
      </c>
      <c r="AL12" s="13">
        <f t="shared" ref="AL12:AM12" si="54">SUM(AL14,AL13)</f>
        <v>35.917999999999999</v>
      </c>
      <c r="AM12" s="13">
        <f t="shared" si="54"/>
        <v>20.620999999999995</v>
      </c>
      <c r="AN12" s="13">
        <f t="shared" ref="AN12:AO12" si="55">SUM(AN14,AN13)</f>
        <v>19.222000000000001</v>
      </c>
      <c r="AO12" s="13">
        <f t="shared" si="55"/>
        <v>16.701000000000018</v>
      </c>
      <c r="AP12" s="13">
        <f t="shared" ref="AP12:AQ12" si="56">SUM(AP14,AP13)</f>
        <v>22.448999999999998</v>
      </c>
      <c r="AQ12" s="13">
        <f t="shared" si="56"/>
        <v>12.401000000000005</v>
      </c>
      <c r="AR12" s="13">
        <f t="shared" ref="AR12:AS12" si="57">SUM(AR14,AR13)</f>
        <v>23.909999999999997</v>
      </c>
      <c r="AS12" s="13">
        <f t="shared" si="57"/>
        <v>33.744999999999997</v>
      </c>
      <c r="AT12" s="13">
        <f t="shared" ref="AT12:AU12" si="58">SUM(AT14,AT13)</f>
        <v>38.131999999999991</v>
      </c>
      <c r="AU12" s="13">
        <f t="shared" si="58"/>
        <v>12.210000000000003</v>
      </c>
      <c r="AV12" s="13">
        <f t="shared" ref="AV12:AW12" si="59">SUM(AV14,AV13)</f>
        <v>20.545000000000002</v>
      </c>
      <c r="AW12" s="13">
        <f t="shared" si="59"/>
        <v>20.952999999999999</v>
      </c>
      <c r="AX12" s="13">
        <f t="shared" ref="AX12:BB12" si="60">SUM(AX14,AX13)</f>
        <v>18.91</v>
      </c>
      <c r="AY12" s="13">
        <f t="shared" si="60"/>
        <v>28.918000000000003</v>
      </c>
      <c r="AZ12" s="13">
        <f t="shared" si="60"/>
        <v>20.65499999999999</v>
      </c>
      <c r="BA12" s="13">
        <f t="shared" si="60"/>
        <v>27.159000000000006</v>
      </c>
      <c r="BB12" s="13">
        <f t="shared" si="60"/>
        <v>14.212000000000002</v>
      </c>
      <c r="BC12" s="13">
        <f t="shared" ref="BC12:BD12" si="61">SUM(BC14,BC13)</f>
        <v>1.5259999999999998</v>
      </c>
      <c r="BD12" s="13">
        <f t="shared" si="61"/>
        <v>0.77299999999999991</v>
      </c>
      <c r="BE12" s="13">
        <f t="shared" ref="BE12:BF12" si="62">SUM(BE14,BE13)</f>
        <v>0.43</v>
      </c>
      <c r="BF12" s="13">
        <f t="shared" si="62"/>
        <v>7.6999999999999999E-2</v>
      </c>
      <c r="BG12" s="13">
        <f t="shared" ref="BG12:BJ12" si="63">SUM(BG14,BG13)</f>
        <v>0</v>
      </c>
      <c r="BH12" s="13">
        <f t="shared" si="63"/>
        <v>0.14399999999999999</v>
      </c>
      <c r="BI12" s="13">
        <f t="shared" si="63"/>
        <v>4.1305562</v>
      </c>
      <c r="BJ12" s="13">
        <f t="shared" si="63"/>
        <v>38.11699999999999</v>
      </c>
    </row>
    <row r="13" spans="1:62" s="23" customFormat="1" ht="12.75">
      <c r="A13" s="51" t="s">
        <v>3</v>
      </c>
      <c r="B13" s="117">
        <f t="shared" si="0"/>
        <v>101.65922205201957</v>
      </c>
      <c r="C13" s="22">
        <f t="shared" si="1"/>
        <v>117.80485070554036</v>
      </c>
      <c r="D13" s="22">
        <f t="shared" si="37"/>
        <v>132.48673470937931</v>
      </c>
      <c r="E13" s="22">
        <f t="shared" si="38"/>
        <v>89.974566938807172</v>
      </c>
      <c r="F13" s="22">
        <f t="shared" si="39"/>
        <v>67.388751789945005</v>
      </c>
      <c r="G13" s="22">
        <f t="shared" si="40"/>
        <v>77.85311594999996</v>
      </c>
      <c r="H13" s="22">
        <f>SUM(AL13:AO13)</f>
        <v>78.017385140000016</v>
      </c>
      <c r="I13" s="22">
        <f t="shared" si="44"/>
        <v>74.6821456713445</v>
      </c>
      <c r="J13" s="22">
        <f t="shared" si="42"/>
        <v>80.632355264669997</v>
      </c>
      <c r="K13" s="22">
        <f t="shared" si="43"/>
        <v>77.04218956528041</v>
      </c>
      <c r="L13" s="22">
        <f>SUM(BB13:BE13)</f>
        <v>14.298210597308003</v>
      </c>
      <c r="M13" s="147">
        <v>3.72908531717</v>
      </c>
      <c r="N13" s="53">
        <v>23.196666933833981</v>
      </c>
      <c r="O13" s="22">
        <v>29.732333066166017</v>
      </c>
      <c r="P13" s="22">
        <v>11.337992875211887</v>
      </c>
      <c r="Q13" s="22">
        <v>37.392229176807682</v>
      </c>
      <c r="R13" s="22">
        <v>12.351170427649</v>
      </c>
      <c r="S13" s="22">
        <v>34.658133687637701</v>
      </c>
      <c r="T13" s="22">
        <v>24.515839390353793</v>
      </c>
      <c r="U13" s="22">
        <v>46.27970719989986</v>
      </c>
      <c r="V13" s="22">
        <v>21.309134813600551</v>
      </c>
      <c r="W13" s="22">
        <v>45.270344096399441</v>
      </c>
      <c r="X13" s="22">
        <v>28.941168197017554</v>
      </c>
      <c r="Y13" s="22">
        <v>36.966087602361775</v>
      </c>
      <c r="Z13" s="22">
        <v>10.253003863663288</v>
      </c>
      <c r="AA13" s="22">
        <v>18.622159745775953</v>
      </c>
      <c r="AB13" s="22">
        <v>18.193459691729466</v>
      </c>
      <c r="AC13" s="22">
        <v>42.905943637638465</v>
      </c>
      <c r="AD13" s="22">
        <v>11.38318565584812</v>
      </c>
      <c r="AE13" s="22">
        <v>18.902464402553992</v>
      </c>
      <c r="AF13" s="22">
        <f>21149.3178100042/1000</f>
        <v>21.149317810004199</v>
      </c>
      <c r="AG13" s="22">
        <f>15953.7839215387/1000</f>
        <v>15.953783921538699</v>
      </c>
      <c r="AH13" s="22">
        <f>22080.8950405852/1000</f>
        <v>22.080895040585201</v>
      </c>
      <c r="AI13" s="22">
        <v>14.364643655826137</v>
      </c>
      <c r="AJ13" s="22">
        <v>17.409929743588638</v>
      </c>
      <c r="AK13" s="22">
        <v>23.997647509999982</v>
      </c>
      <c r="AL13" s="22">
        <v>32.982794810000001</v>
      </c>
      <c r="AM13" s="22">
        <v>16.611417320000001</v>
      </c>
      <c r="AN13" s="22">
        <v>15.287411939999998</v>
      </c>
      <c r="AO13" s="22">
        <v>13.135761070000008</v>
      </c>
      <c r="AP13" s="22">
        <v>16.914743130000002</v>
      </c>
      <c r="AQ13" s="22">
        <v>9.1944961900000024</v>
      </c>
      <c r="AR13" s="22">
        <v>18.427122639939391</v>
      </c>
      <c r="AS13" s="22">
        <v>30.145783711405095</v>
      </c>
      <c r="AT13" s="22">
        <v>35.383297871405098</v>
      </c>
      <c r="AU13" s="22">
        <v>9.1907064500000057</v>
      </c>
      <c r="AV13" s="22">
        <v>17.984903867967148</v>
      </c>
      <c r="AW13" s="22">
        <v>18.073447075297747</v>
      </c>
      <c r="AX13" s="22">
        <v>15.932963869004004</v>
      </c>
      <c r="AY13" s="22">
        <v>25.738785250819994</v>
      </c>
      <c r="AZ13" s="22">
        <v>17.263193986962388</v>
      </c>
      <c r="BA13" s="22">
        <v>18.107246458494014</v>
      </c>
      <c r="BB13" s="22">
        <v>11.832818267308001</v>
      </c>
      <c r="BC13" s="22">
        <v>1.2623923300000024</v>
      </c>
      <c r="BD13" s="22">
        <v>0.77299999999999991</v>
      </c>
      <c r="BE13" s="22">
        <v>0.43</v>
      </c>
      <c r="BF13" s="22">
        <v>7.6999999999999999E-2</v>
      </c>
      <c r="BG13" s="22">
        <v>0</v>
      </c>
      <c r="BH13" s="22">
        <v>0.14399999999999999</v>
      </c>
      <c r="BI13" s="22">
        <v>3.5076415171700002</v>
      </c>
      <c r="BJ13" s="22">
        <v>37.59458302257589</v>
      </c>
    </row>
    <row r="14" spans="1:62" s="23" customFormat="1" ht="12.75">
      <c r="A14" s="51" t="s">
        <v>10</v>
      </c>
      <c r="B14" s="117">
        <f t="shared" si="0"/>
        <v>22.641062612257432</v>
      </c>
      <c r="C14" s="22">
        <f t="shared" si="1"/>
        <v>21.213417990000032</v>
      </c>
      <c r="D14" s="22">
        <f t="shared" si="37"/>
        <v>26.665002900620724</v>
      </c>
      <c r="E14" s="22">
        <f t="shared" si="38"/>
        <v>20.061491868192075</v>
      </c>
      <c r="F14" s="22">
        <f t="shared" si="39"/>
        <v>23.282465949785674</v>
      </c>
      <c r="G14" s="22">
        <f t="shared" si="40"/>
        <v>13.842884049999993</v>
      </c>
      <c r="H14" s="22">
        <f t="shared" si="41"/>
        <v>14.44461486000001</v>
      </c>
      <c r="I14" s="22">
        <f t="shared" si="44"/>
        <v>17.822854328655506</v>
      </c>
      <c r="J14" s="22">
        <f t="shared" si="42"/>
        <v>11.207644735329996</v>
      </c>
      <c r="K14" s="22">
        <f t="shared" si="43"/>
        <v>18.5998104347196</v>
      </c>
      <c r="L14" s="22">
        <f>SUM(BB14:BE14)</f>
        <v>2.6427894026919971</v>
      </c>
      <c r="M14" s="147">
        <v>0.62291468299999997</v>
      </c>
      <c r="N14" s="53">
        <v>3.72346003</v>
      </c>
      <c r="O14" s="22">
        <v>4.9302204099999978</v>
      </c>
      <c r="P14" s="22">
        <v>5.1058042000000023</v>
      </c>
      <c r="Q14" s="22">
        <v>8.881577972257432</v>
      </c>
      <c r="R14" s="22">
        <v>4.5911756700000019</v>
      </c>
      <c r="S14" s="22">
        <v>4.8948708099999987</v>
      </c>
      <c r="T14" s="22">
        <v>5.7051218699999975</v>
      </c>
      <c r="U14" s="22">
        <v>6.0222496400000329</v>
      </c>
      <c r="V14" s="22">
        <v>4.6158576200000017</v>
      </c>
      <c r="W14" s="22">
        <v>6.9856759099999968</v>
      </c>
      <c r="X14" s="22">
        <v>7.1565242829824323</v>
      </c>
      <c r="Y14" s="22">
        <v>7.9069450876382943</v>
      </c>
      <c r="Z14" s="22">
        <v>4.7355724500000003</v>
      </c>
      <c r="AA14" s="22">
        <v>4.8323315999999972</v>
      </c>
      <c r="AB14" s="22">
        <v>5.6094726488313027</v>
      </c>
      <c r="AC14" s="22">
        <v>4.8841151693607756</v>
      </c>
      <c r="AD14" s="22">
        <v>4.8019280500000008</v>
      </c>
      <c r="AE14" s="22">
        <v>6.5637631399999936</v>
      </c>
      <c r="AF14" s="22">
        <f>6039.27295703567/1000</f>
        <v>6.0392729570356698</v>
      </c>
      <c r="AG14" s="22">
        <f>5877.50180275001/1000</f>
        <v>5.8775018027500101</v>
      </c>
      <c r="AH14" s="22">
        <f>4626.88267/1000</f>
        <v>4.6268826699999996</v>
      </c>
      <c r="AI14" s="22">
        <v>3.0582976299999944</v>
      </c>
      <c r="AJ14" s="22">
        <v>3.1993512599999878</v>
      </c>
      <c r="AK14" s="22">
        <v>2.9583524900000122</v>
      </c>
      <c r="AL14" s="22">
        <v>2.9352051900000005</v>
      </c>
      <c r="AM14" s="22">
        <v>4.009582679999995</v>
      </c>
      <c r="AN14" s="22">
        <v>3.9345880600000047</v>
      </c>
      <c r="AO14" s="22">
        <v>3.5652389300000102</v>
      </c>
      <c r="AP14" s="22">
        <v>5.5342568699999948</v>
      </c>
      <c r="AQ14" s="22">
        <v>3.2065038100000027</v>
      </c>
      <c r="AR14" s="22">
        <v>5.4828773600606038</v>
      </c>
      <c r="AS14" s="22">
        <v>3.5992162885949051</v>
      </c>
      <c r="AT14" s="22">
        <v>2.748702128594894</v>
      </c>
      <c r="AU14" s="22">
        <v>3.0192935499999973</v>
      </c>
      <c r="AV14" s="22">
        <v>2.5600961320328537</v>
      </c>
      <c r="AW14" s="22">
        <v>2.8795529247022515</v>
      </c>
      <c r="AX14" s="22">
        <v>2.9770361309959963</v>
      </c>
      <c r="AY14" s="22">
        <v>3.1792147491800082</v>
      </c>
      <c r="AZ14" s="22">
        <v>3.3918060130376033</v>
      </c>
      <c r="BA14" s="22">
        <v>9.05175354150599</v>
      </c>
      <c r="BB14" s="22">
        <v>2.379181732692</v>
      </c>
      <c r="BC14" s="22">
        <v>0.26360766999999735</v>
      </c>
      <c r="BD14" s="22">
        <v>0</v>
      </c>
      <c r="BE14" s="22">
        <v>0</v>
      </c>
      <c r="BF14" s="22">
        <v>0</v>
      </c>
      <c r="BG14" s="22">
        <v>0</v>
      </c>
      <c r="BH14" s="22">
        <v>0</v>
      </c>
      <c r="BI14" s="22">
        <v>0.62291468283000007</v>
      </c>
      <c r="BJ14" s="22">
        <v>0.52241697742409998</v>
      </c>
    </row>
    <row r="15" spans="1:62" s="14" customFormat="1" ht="12.75">
      <c r="A15" s="46" t="s">
        <v>130</v>
      </c>
      <c r="B15" s="83">
        <f t="shared" ref="B15:N15" si="64">B16-B6</f>
        <v>-403.21430563697015</v>
      </c>
      <c r="C15" s="49">
        <f t="shared" si="64"/>
        <v>-422.91545533565119</v>
      </c>
      <c r="D15" s="49">
        <f t="shared" si="64"/>
        <v>-599.45521115022393</v>
      </c>
      <c r="E15" s="49">
        <f t="shared" si="64"/>
        <v>-461.93672739601584</v>
      </c>
      <c r="F15" s="49">
        <f t="shared" ref="F15:J15" si="65">F16-F6</f>
        <v>-512.32889096193537</v>
      </c>
      <c r="G15" s="49">
        <f t="shared" si="65"/>
        <v>-442.00800000000004</v>
      </c>
      <c r="H15" s="49">
        <f t="shared" si="65"/>
        <v>-658.37199999999984</v>
      </c>
      <c r="I15" s="49">
        <f t="shared" si="65"/>
        <v>-518.17100000000005</v>
      </c>
      <c r="J15" s="49">
        <f t="shared" si="65"/>
        <v>-501.45400000000001</v>
      </c>
      <c r="K15" s="49">
        <f>K16-K6</f>
        <v>-337.11934489906935</v>
      </c>
      <c r="L15" s="49">
        <f>L16-L6</f>
        <v>-55.090683810000009</v>
      </c>
      <c r="M15" s="82">
        <f>M16-M6</f>
        <v>-22.236000000169998</v>
      </c>
      <c r="N15" s="49">
        <f t="shared" si="64"/>
        <v>-120.63804839058915</v>
      </c>
      <c r="O15" s="49">
        <f t="shared" ref="O15:AA15" si="66">O16-O6</f>
        <v>-93.615043068549397</v>
      </c>
      <c r="P15" s="49">
        <f t="shared" si="66"/>
        <v>-75.16484742593849</v>
      </c>
      <c r="Q15" s="49">
        <f t="shared" si="66"/>
        <v>-113.7963667518931</v>
      </c>
      <c r="R15" s="49">
        <f t="shared" si="66"/>
        <v>-58.433183243037575</v>
      </c>
      <c r="S15" s="49">
        <f t="shared" si="66"/>
        <v>-132.67008528614721</v>
      </c>
      <c r="T15" s="49">
        <f t="shared" si="66"/>
        <v>-71.659193437905401</v>
      </c>
      <c r="U15" s="49">
        <f t="shared" si="66"/>
        <v>-160.15299336856103</v>
      </c>
      <c r="V15" s="49">
        <f t="shared" si="66"/>
        <v>-76.845668688784585</v>
      </c>
      <c r="W15" s="49">
        <f t="shared" si="66"/>
        <v>-141.55303246229539</v>
      </c>
      <c r="X15" s="49">
        <f t="shared" si="66"/>
        <v>-94.909612628800033</v>
      </c>
      <c r="Y15" s="49">
        <f t="shared" si="66"/>
        <v>-286.14689737034394</v>
      </c>
      <c r="Z15" s="49">
        <f t="shared" si="66"/>
        <v>-51.334923454966479</v>
      </c>
      <c r="AA15" s="49">
        <f t="shared" si="66"/>
        <v>-99.156753390805392</v>
      </c>
      <c r="AB15" s="49">
        <f t="shared" ref="AB15" si="67">AB16-AB6</f>
        <v>-109.24694404041709</v>
      </c>
      <c r="AC15" s="49">
        <f t="shared" ref="AC15:AD15" si="68">AC16-AC6</f>
        <v>-202.1981065098268</v>
      </c>
      <c r="AD15" s="49">
        <f t="shared" si="68"/>
        <v>-116.8785793474795</v>
      </c>
      <c r="AE15" s="49">
        <f t="shared" ref="AE15" si="69">AE16-AE6</f>
        <v>-199.37240675226343</v>
      </c>
      <c r="AF15" s="49">
        <f t="shared" ref="AF15:AK15" si="70">AF16-AF6</f>
        <v>-106.37908477160238</v>
      </c>
      <c r="AG15" s="49">
        <f t="shared" si="70"/>
        <v>-89.698820090590061</v>
      </c>
      <c r="AH15" s="49">
        <f t="shared" si="70"/>
        <v>-114.67893507197053</v>
      </c>
      <c r="AI15" s="49">
        <f t="shared" si="70"/>
        <v>-76.48354775958677</v>
      </c>
      <c r="AJ15" s="49">
        <f t="shared" si="70"/>
        <v>-56.739460338442633</v>
      </c>
      <c r="AK15" s="49">
        <f t="shared" si="70"/>
        <v>-194.10605683000003</v>
      </c>
      <c r="AL15" s="49">
        <f t="shared" ref="AL15:AM15" si="71">AL16-AL6</f>
        <v>-290.58499999999998</v>
      </c>
      <c r="AM15" s="49">
        <f t="shared" si="71"/>
        <v>-187.78899999999996</v>
      </c>
      <c r="AN15" s="49">
        <f t="shared" ref="AN15:AO15" si="72">AN16-AN6</f>
        <v>-76.109999999999985</v>
      </c>
      <c r="AO15" s="49">
        <f t="shared" si="72"/>
        <v>-103.88800000000002</v>
      </c>
      <c r="AP15" s="49">
        <f t="shared" ref="AP15:AQ15" si="73">AP16-AP6</f>
        <v>-108.789</v>
      </c>
      <c r="AQ15" s="49">
        <f t="shared" si="73"/>
        <v>-135.93700000000004</v>
      </c>
      <c r="AR15" s="49">
        <f t="shared" ref="AR15:AS15" si="74">AR16-AR6</f>
        <v>-98.700999999999993</v>
      </c>
      <c r="AS15" s="49">
        <f t="shared" si="74"/>
        <v>-174.744</v>
      </c>
      <c r="AT15" s="49">
        <f t="shared" ref="AT15:AU15" si="75">AT16-AT6</f>
        <v>-159.32</v>
      </c>
      <c r="AU15" s="49">
        <f t="shared" si="75"/>
        <v>-60.612000000000016</v>
      </c>
      <c r="AV15" s="49">
        <f t="shared" ref="AV15:AW15" si="76">AV16-AV6</f>
        <v>-76.492999999999995</v>
      </c>
      <c r="AW15" s="49">
        <f t="shared" si="76"/>
        <v>-205.02900000000002</v>
      </c>
      <c r="AX15" s="49">
        <f t="shared" ref="AX15:AY15" si="77">AX16-AX6</f>
        <v>-101.066</v>
      </c>
      <c r="AY15" s="49">
        <f t="shared" si="77"/>
        <v>-136.43900000000002</v>
      </c>
      <c r="AZ15" s="49">
        <f t="shared" ref="AZ15:BA15" si="78">AZ16-AZ6</f>
        <v>-39.259915088107469</v>
      </c>
      <c r="BA15" s="49">
        <f t="shared" si="78"/>
        <v>-60.35442981096184</v>
      </c>
      <c r="BB15" s="49">
        <f t="shared" ref="BB15" si="79">BB16-BB6</f>
        <v>-26.416080110920401</v>
      </c>
      <c r="BC15" s="49">
        <f t="shared" ref="BC15:BD15" si="80">BC16-BC6</f>
        <v>-8.9210232917868026</v>
      </c>
      <c r="BD15" s="49">
        <f t="shared" si="80"/>
        <v>-11.862580407292803</v>
      </c>
      <c r="BE15" s="49">
        <f t="shared" ref="BE15:BF15" si="81">BE16-BE6</f>
        <v>-7.891</v>
      </c>
      <c r="BF15" s="49">
        <f t="shared" si="81"/>
        <v>-2.9660000000000002</v>
      </c>
      <c r="BG15" s="49">
        <f t="shared" ref="BG15:BH15" si="82">BG16-BG6</f>
        <v>-4.0729999999999995</v>
      </c>
      <c r="BH15" s="49">
        <f t="shared" si="82"/>
        <v>-5.6819999999999995</v>
      </c>
      <c r="BI15" s="49">
        <f t="shared" ref="BI15:BJ15" si="83">BI16-BI6</f>
        <v>-9.5213602399975663</v>
      </c>
      <c r="BJ15" s="49">
        <f t="shared" si="83"/>
        <v>-148.70199999999991</v>
      </c>
    </row>
    <row r="16" spans="1:62" s="19" customFormat="1" ht="21" customHeight="1">
      <c r="A16" s="45" t="s">
        <v>12</v>
      </c>
      <c r="B16" s="84">
        <f t="shared" si="0"/>
        <v>165.96511347400178</v>
      </c>
      <c r="C16" s="18">
        <f t="shared" si="1"/>
        <v>186.90954513943603</v>
      </c>
      <c r="D16" s="18">
        <f>SUM(V16:Y16)</f>
        <v>94.781000000000006</v>
      </c>
      <c r="E16" s="18">
        <f>SUM(Z16:AC16)</f>
        <v>89.386841703296568</v>
      </c>
      <c r="F16" s="18">
        <f>SUM(AD16:AG16)</f>
        <v>40.610999999999997</v>
      </c>
      <c r="G16" s="18">
        <f>SUM(AH16:AK16)</f>
        <v>108.97100000000003</v>
      </c>
      <c r="H16" s="18">
        <f>SUM(AL16:AO16)</f>
        <v>134.08200000000005</v>
      </c>
      <c r="I16" s="18">
        <f>SUM(AP16:AS16)</f>
        <v>134.72399999999999</v>
      </c>
      <c r="J16" s="18">
        <f>SUM(AT16:AW16)</f>
        <v>96.92900000000003</v>
      </c>
      <c r="K16" s="18">
        <f>SUM(AX16:BA16)</f>
        <v>56.57465510093067</v>
      </c>
      <c r="L16" s="18">
        <f>SUM(BB16:BE16)</f>
        <v>-15.097</v>
      </c>
      <c r="M16" s="148">
        <v>9.0790000000000006</v>
      </c>
      <c r="N16" s="48">
        <v>40.898000000000003</v>
      </c>
      <c r="O16" s="18">
        <v>40.93193612361123</v>
      </c>
      <c r="P16" s="18">
        <v>18.942403380207601</v>
      </c>
      <c r="Q16" s="18">
        <v>65.192773970182927</v>
      </c>
      <c r="R16" s="18">
        <v>23.637</v>
      </c>
      <c r="S16" s="18">
        <v>51.641082066101809</v>
      </c>
      <c r="T16" s="18">
        <v>39.85411605980547</v>
      </c>
      <c r="U16" s="18">
        <v>71.777347013528754</v>
      </c>
      <c r="V16" s="18">
        <v>29.488825108084487</v>
      </c>
      <c r="W16" s="18">
        <v>49.178174891915518</v>
      </c>
      <c r="X16" s="18">
        <v>42.760999999999996</v>
      </c>
      <c r="Y16" s="18">
        <v>-26.646999999999998</v>
      </c>
      <c r="Z16" s="18">
        <v>7.7329999999999997</v>
      </c>
      <c r="AA16" s="18">
        <v>43.640999999999998</v>
      </c>
      <c r="AB16" s="18">
        <v>17.746379113811077</v>
      </c>
      <c r="AC16" s="18">
        <v>20.266462589485499</v>
      </c>
      <c r="AD16" s="18">
        <v>-8.8379999999999992</v>
      </c>
      <c r="AE16" s="18">
        <v>21.905999999999999</v>
      </c>
      <c r="AF16" s="18">
        <f>19180/1000</f>
        <v>19.18</v>
      </c>
      <c r="AG16" s="18">
        <f>8363/1000</f>
        <v>8.3629999999999995</v>
      </c>
      <c r="AH16" s="18">
        <f>17203/1000</f>
        <v>17.202999999999999</v>
      </c>
      <c r="AI16" s="18">
        <v>27.174000000000007</v>
      </c>
      <c r="AJ16" s="18">
        <v>29.286999999999999</v>
      </c>
      <c r="AK16" s="18">
        <v>35.307000000000016</v>
      </c>
      <c r="AL16" s="18">
        <v>43.40300000000002</v>
      </c>
      <c r="AM16" s="18">
        <v>35.746000000000009</v>
      </c>
      <c r="AN16" s="18">
        <v>24.37700000000001</v>
      </c>
      <c r="AO16" s="18">
        <v>30.555999999999997</v>
      </c>
      <c r="AP16" s="18">
        <v>28.727999999999994</v>
      </c>
      <c r="AQ16" s="18">
        <v>34.970999999999975</v>
      </c>
      <c r="AR16" s="18">
        <v>34.564999999999998</v>
      </c>
      <c r="AS16" s="18">
        <v>36.460000000000008</v>
      </c>
      <c r="AT16" s="18">
        <v>35.027000000000015</v>
      </c>
      <c r="AU16" s="18">
        <v>11.085999999999991</v>
      </c>
      <c r="AV16" s="18">
        <v>32.13600000000001</v>
      </c>
      <c r="AW16" s="18">
        <v>18.680000000000007</v>
      </c>
      <c r="AX16" s="18">
        <v>19.537999999999997</v>
      </c>
      <c r="AY16" s="18">
        <v>-4.0240000000000009</v>
      </c>
      <c r="AZ16" s="18">
        <v>15.352084911892497</v>
      </c>
      <c r="BA16" s="18">
        <v>25.708570189038177</v>
      </c>
      <c r="BB16" s="18">
        <v>6.0769198890796012</v>
      </c>
      <c r="BC16" s="18">
        <v>-6.2740232917868024</v>
      </c>
      <c r="BD16" s="18">
        <v>-9.1268965972927987</v>
      </c>
      <c r="BE16" s="18">
        <v>-5.7729999999999997</v>
      </c>
      <c r="BF16" s="18">
        <v>-0.27600000000000002</v>
      </c>
      <c r="BG16" s="18">
        <v>-2.5019999999999998</v>
      </c>
      <c r="BH16" s="18">
        <v>-0.1</v>
      </c>
      <c r="BI16" s="18">
        <v>11.95</v>
      </c>
      <c r="BJ16" s="18">
        <v>29.431000000000012</v>
      </c>
    </row>
    <row r="17" spans="1:62" s="23" customFormat="1" ht="12.75">
      <c r="A17" s="52" t="s">
        <v>13</v>
      </c>
      <c r="B17" s="118">
        <f t="shared" ref="B17:AA17" si="84">B16/B6</f>
        <v>0.29158663841575733</v>
      </c>
      <c r="C17" s="54">
        <f t="shared" si="84"/>
        <v>0.30649701962665227</v>
      </c>
      <c r="D17" s="54">
        <f t="shared" si="84"/>
        <v>0.13652557800602913</v>
      </c>
      <c r="E17" s="54">
        <f t="shared" ref="E17" si="85">E16/E6</f>
        <v>0.16213136298403907</v>
      </c>
      <c r="F17" s="54">
        <f t="shared" ref="F17:K17" si="86">F16/F6</f>
        <v>7.3445596282355544E-2</v>
      </c>
      <c r="G17" s="54">
        <f t="shared" si="86"/>
        <v>0.1977770477640709</v>
      </c>
      <c r="H17" s="54">
        <f t="shared" si="86"/>
        <v>0.16919846451655246</v>
      </c>
      <c r="I17" s="54">
        <f t="shared" si="86"/>
        <v>0.20634864717910228</v>
      </c>
      <c r="J17" s="54">
        <f t="shared" si="86"/>
        <v>0.16198488259191859</v>
      </c>
      <c r="K17" s="54">
        <f t="shared" si="86"/>
        <v>0.1437021013805917</v>
      </c>
      <c r="L17" s="54">
        <f t="shared" ref="L17" si="87">L16/L6</f>
        <v>-0.37748460661243588</v>
      </c>
      <c r="M17" s="149">
        <f t="shared" ref="M17" si="88">M16/M6</f>
        <v>0.28992495608975616</v>
      </c>
      <c r="N17" s="55">
        <f t="shared" si="84"/>
        <v>0.25318187740429249</v>
      </c>
      <c r="O17" s="54">
        <f t="shared" si="84"/>
        <v>0.30422040219239743</v>
      </c>
      <c r="P17" s="54">
        <f t="shared" si="84"/>
        <v>0.20128526992279835</v>
      </c>
      <c r="Q17" s="54">
        <f t="shared" si="84"/>
        <v>0.3642275375320701</v>
      </c>
      <c r="R17" s="54">
        <f t="shared" si="84"/>
        <v>0.2880095921073168</v>
      </c>
      <c r="S17" s="54">
        <f t="shared" si="84"/>
        <v>0.2801842276187595</v>
      </c>
      <c r="T17" s="54">
        <f t="shared" si="84"/>
        <v>0.35739335725323074</v>
      </c>
      <c r="U17" s="54">
        <f t="shared" si="84"/>
        <v>0.30947803937716972</v>
      </c>
      <c r="V17" s="54">
        <f t="shared" si="84"/>
        <v>0.27732134752451099</v>
      </c>
      <c r="W17" s="54">
        <f t="shared" si="84"/>
        <v>0.25784021175195365</v>
      </c>
      <c r="X17" s="54">
        <f t="shared" si="84"/>
        <v>0.31060368791483534</v>
      </c>
      <c r="Y17" s="54">
        <f t="shared" si="84"/>
        <v>-0.10268597510067941</v>
      </c>
      <c r="Z17" s="54">
        <f t="shared" si="84"/>
        <v>0.13091707897765625</v>
      </c>
      <c r="AA17" s="54">
        <f t="shared" si="84"/>
        <v>0.30561405178808648</v>
      </c>
      <c r="AB17" s="54">
        <f t="shared" ref="AB17" si="89">AB16/AB6</f>
        <v>0.13974261538347832</v>
      </c>
      <c r="AC17" s="54">
        <f t="shared" ref="AC17:AD17" si="90">AC16/AC6</f>
        <v>9.1099731842863366E-2</v>
      </c>
      <c r="AD17" s="54">
        <f t="shared" si="90"/>
        <v>-8.1802597259084231E-2</v>
      </c>
      <c r="AE17" s="54">
        <f t="shared" ref="AE17" si="91">AE16/AE6</f>
        <v>9.899745899980783E-2</v>
      </c>
      <c r="AF17" s="54">
        <f t="shared" ref="AF17:AK17" si="92">AF16/AF6</f>
        <v>0.15275676813740147</v>
      </c>
      <c r="AG17" s="68">
        <f t="shared" si="92"/>
        <v>8.5282936746169033E-2</v>
      </c>
      <c r="AH17" s="68">
        <f t="shared" si="92"/>
        <v>0.13044242936390027</v>
      </c>
      <c r="AI17" s="68">
        <f t="shared" si="92"/>
        <v>0.2621516772037164</v>
      </c>
      <c r="AJ17" s="68">
        <f t="shared" si="92"/>
        <v>0.34044176506600404</v>
      </c>
      <c r="AK17" s="68">
        <f t="shared" si="92"/>
        <v>0.15390144086769766</v>
      </c>
      <c r="AL17" s="68">
        <f t="shared" ref="AL17:AM17" si="93">AL16/AL6</f>
        <v>0.12995377079416032</v>
      </c>
      <c r="AM17" s="68">
        <f t="shared" si="93"/>
        <v>0.15991231798152422</v>
      </c>
      <c r="AN17" s="68">
        <f t="shared" ref="AN17:AO17" si="94">AN16/AN6</f>
        <v>0.24258859354941445</v>
      </c>
      <c r="AO17" s="68">
        <f t="shared" si="94"/>
        <v>0.22727678438606405</v>
      </c>
      <c r="AP17" s="68">
        <f t="shared" ref="AP17:AQ17" si="95">AP16/AP6</f>
        <v>0.20890508082637052</v>
      </c>
      <c r="AQ17" s="68">
        <f t="shared" si="95"/>
        <v>0.20461885926931433</v>
      </c>
      <c r="AR17" s="68">
        <f t="shared" ref="AR17:AS17" si="96">AR16/AR6</f>
        <v>0.25936848108294691</v>
      </c>
      <c r="AS17" s="68">
        <f t="shared" si="96"/>
        <v>0.17262930626313899</v>
      </c>
      <c r="AT17" s="68">
        <f t="shared" ref="AT17:AU17" si="97">AT16/AT6</f>
        <v>0.18022917770791427</v>
      </c>
      <c r="AU17" s="68">
        <f t="shared" si="97"/>
        <v>0.15462077045384795</v>
      </c>
      <c r="AV17" s="68">
        <f t="shared" ref="AV17:AW17" si="98">AV16/AV6</f>
        <v>0.29583260455311206</v>
      </c>
      <c r="AW17" s="68">
        <f t="shared" si="98"/>
        <v>8.3501334322713908E-2</v>
      </c>
      <c r="AX17" s="68">
        <f t="shared" ref="AX17:AY17" si="99">AX16/AX6</f>
        <v>0.16200126032304066</v>
      </c>
      <c r="AY17" s="68">
        <f t="shared" si="99"/>
        <v>-3.0389306347468191E-2</v>
      </c>
      <c r="AZ17" s="68">
        <f t="shared" ref="AZ17:BA17" si="100">AZ16/AZ6</f>
        <v>0.28111193349250174</v>
      </c>
      <c r="BA17" s="68">
        <f t="shared" si="100"/>
        <v>0.29871803433575606</v>
      </c>
      <c r="BB17" s="68">
        <f t="shared" ref="BB17" si="101">BB16/BB6</f>
        <v>0.18702243218784356</v>
      </c>
      <c r="BC17" s="68">
        <f t="shared" ref="BC17:BD17" si="102">BC16/BC6</f>
        <v>-2.3702392488805453</v>
      </c>
      <c r="BD17" s="68">
        <f t="shared" si="102"/>
        <v>-3.3362395770777273</v>
      </c>
      <c r="BE17" s="68">
        <f t="shared" ref="BE17:BF17" si="103">BE16/BE6</f>
        <v>-2.7256846081208685</v>
      </c>
      <c r="BF17" s="68">
        <f t="shared" si="103"/>
        <v>-0.10260223048327137</v>
      </c>
      <c r="BG17" s="68">
        <f>BG16/BG6</f>
        <v>-1.5926161680458306</v>
      </c>
      <c r="BH17" s="68">
        <f>BH16/BH6</f>
        <v>-1.791472590469366E-2</v>
      </c>
      <c r="BI17" s="68">
        <f>BI16/BI6</f>
        <v>0.55655533074887076</v>
      </c>
      <c r="BJ17" s="68">
        <f>BJ16/BJ6</f>
        <v>0.16521924629349993</v>
      </c>
    </row>
    <row r="18" spans="1:62" s="14" customFormat="1" ht="12.75">
      <c r="A18" s="46" t="s">
        <v>0</v>
      </c>
      <c r="B18" s="83">
        <f>-75822/1000</f>
        <v>-75.822000000000003</v>
      </c>
      <c r="C18" s="13">
        <f>-84700/1000</f>
        <v>-84.7</v>
      </c>
      <c r="D18" s="13">
        <f>-99497/1000</f>
        <v>-99.497</v>
      </c>
      <c r="E18" s="13">
        <f>SUM(Z18:AC18)</f>
        <v>-94.938999999999993</v>
      </c>
      <c r="F18" s="13">
        <f>SUM(AD18:AG18)</f>
        <v>-82.084999999999994</v>
      </c>
      <c r="G18" s="13">
        <f>SUM(AH18:AK18)</f>
        <v>-78.567999999999998</v>
      </c>
      <c r="H18" s="13">
        <f>SUM(AL18:AO18)</f>
        <v>-80.796999999999997</v>
      </c>
      <c r="I18" s="13">
        <f>SUM(AP18:AS18)</f>
        <v>-66.603999999999999</v>
      </c>
      <c r="J18" s="13">
        <f>SUM(AT18:AW18)</f>
        <v>-64.759</v>
      </c>
      <c r="K18" s="13">
        <f>SUM(AX18:BA18)</f>
        <v>-104.19</v>
      </c>
      <c r="L18" s="13">
        <f>SUM(BB18:BE18)</f>
        <v>-64.546999999999997</v>
      </c>
      <c r="M18" s="147">
        <v>-65.203999999999994</v>
      </c>
      <c r="N18" s="49">
        <f>-14769/1000</f>
        <v>-14.769</v>
      </c>
      <c r="O18" s="13">
        <f>-20815/1000</f>
        <v>-20.815000000000001</v>
      </c>
      <c r="P18" s="13">
        <f>-18075/1000</f>
        <v>-18.074999999999999</v>
      </c>
      <c r="Q18" s="13">
        <f>B18-(SUM(N18:P18))</f>
        <v>-22.162999999999997</v>
      </c>
      <c r="R18" s="13">
        <v>-18.062999999999999</v>
      </c>
      <c r="S18" s="13">
        <f>-23786/1000</f>
        <v>-23.786000000000001</v>
      </c>
      <c r="T18" s="13">
        <f>-20136/1000</f>
        <v>-20.135999999999999</v>
      </c>
      <c r="U18" s="13">
        <f>C18-(SUM(R18:T18))</f>
        <v>-22.715000000000003</v>
      </c>
      <c r="V18" s="13">
        <v>-23.491</v>
      </c>
      <c r="W18" s="13">
        <f>-26536/1000</f>
        <v>-26.536000000000001</v>
      </c>
      <c r="X18" s="13">
        <f>-22685/1000</f>
        <v>-22.684999999999999</v>
      </c>
      <c r="Y18" s="13">
        <f>D18-(SUM(V18:X18))</f>
        <v>-26.784999999999997</v>
      </c>
      <c r="Z18" s="13">
        <f>-0.918-21.185-1.319+0.5</f>
        <v>-22.921999999999997</v>
      </c>
      <c r="AA18" s="13">
        <f>-0.804-22.14-1.511-0.714</f>
        <v>-25.168999999999997</v>
      </c>
      <c r="AB18" s="13">
        <v>-23.259</v>
      </c>
      <c r="AC18" s="13">
        <v>-23.588999999999999</v>
      </c>
      <c r="AD18" s="13">
        <f>(-1517-18256-1249+735)/1000</f>
        <v>-20.286999999999999</v>
      </c>
      <c r="AE18" s="13">
        <v>-21.629000000000001</v>
      </c>
      <c r="AF18" s="13">
        <f>-18422/1000</f>
        <v>-18.422000000000001</v>
      </c>
      <c r="AG18" s="13">
        <f>-21747/1000</f>
        <v>-21.747</v>
      </c>
      <c r="AH18" s="13">
        <v>-17.54</v>
      </c>
      <c r="AI18" s="13">
        <v>-18.225999999999999</v>
      </c>
      <c r="AJ18" s="13">
        <v>-20.849</v>
      </c>
      <c r="AK18" s="13">
        <v>-21.952999999999999</v>
      </c>
      <c r="AL18" s="13">
        <v>-21.382000000000001</v>
      </c>
      <c r="AM18" s="13">
        <v>-22.221</v>
      </c>
      <c r="AN18" s="13">
        <v>-15.874000000000001</v>
      </c>
      <c r="AO18" s="13">
        <v>-21.32</v>
      </c>
      <c r="AP18" s="13">
        <v>-19.189</v>
      </c>
      <c r="AQ18" s="13">
        <v>-18.332999999999998</v>
      </c>
      <c r="AR18" s="13">
        <v>-13.624000000000001</v>
      </c>
      <c r="AS18" s="13">
        <v>-15.458</v>
      </c>
      <c r="AT18" s="13">
        <v>-20.431000000000001</v>
      </c>
      <c r="AU18" s="13">
        <v>-11.173999999999999</v>
      </c>
      <c r="AV18" s="13">
        <v>-14.372999999999999</v>
      </c>
      <c r="AW18" s="13">
        <v>-18.780999999999999</v>
      </c>
      <c r="AX18" s="13">
        <v>-38.933999999999997</v>
      </c>
      <c r="AY18" s="13">
        <v>-18.597999999999999</v>
      </c>
      <c r="AZ18" s="13">
        <v>-22.81</v>
      </c>
      <c r="BA18" s="13">
        <v>-23.847999999999999</v>
      </c>
      <c r="BB18" s="13">
        <v>-16.507000000000001</v>
      </c>
      <c r="BC18" s="13">
        <v>-14.627000000000001</v>
      </c>
      <c r="BD18" s="13">
        <v>0.88400000000000001</v>
      </c>
      <c r="BE18" s="13">
        <v>-34.296999999999997</v>
      </c>
      <c r="BF18" s="13">
        <v>-9.7650000000000006</v>
      </c>
      <c r="BG18" s="13">
        <v>-10.787000000000001</v>
      </c>
      <c r="BH18" s="13">
        <v>-22.751000000000001</v>
      </c>
      <c r="BI18" s="13">
        <v>-21.991</v>
      </c>
      <c r="BJ18" s="13">
        <v>-11.637</v>
      </c>
    </row>
    <row r="19" spans="1:62" s="14" customFormat="1" ht="12.75">
      <c r="A19" s="46" t="s">
        <v>1</v>
      </c>
      <c r="B19" s="83">
        <f>-21923/1000</f>
        <v>-21.922999999999998</v>
      </c>
      <c r="C19" s="13">
        <f>4707/1000</f>
        <v>4.7069999999999999</v>
      </c>
      <c r="D19" s="13">
        <f>-11063/1000</f>
        <v>-11.063000000000001</v>
      </c>
      <c r="E19" s="13">
        <f>SUM(Z19:AC19)</f>
        <v>-8.9700000000000006</v>
      </c>
      <c r="F19" s="13">
        <f>SUM(AD19:AG19)</f>
        <v>-13.44</v>
      </c>
      <c r="G19" s="13">
        <f>SUM(AH19:AK19)</f>
        <v>-5.0069999999999988</v>
      </c>
      <c r="H19" s="13">
        <f>SUM(AL19:AO19)</f>
        <v>-6.7829999999999995</v>
      </c>
      <c r="I19" s="13">
        <f>SUM(AP19:AS19)</f>
        <v>1.7099999999999997</v>
      </c>
      <c r="J19" s="13">
        <f>SUM(AT19:AW19)</f>
        <v>-4.3609999999999998</v>
      </c>
      <c r="K19" s="13">
        <f>SUM(AX19:BA19)</f>
        <v>-37.991999999999997</v>
      </c>
      <c r="L19" s="13">
        <f>SUM(BB19:BE19)</f>
        <v>-15.223000000000001</v>
      </c>
      <c r="M19" s="147">
        <v>-10.743</v>
      </c>
      <c r="N19" s="49">
        <f>-4917/1000</f>
        <v>-4.9169999999999998</v>
      </c>
      <c r="O19" s="13">
        <f>-3398/1000</f>
        <v>-3.3980000000000001</v>
      </c>
      <c r="P19" s="13">
        <f>-7246/1000</f>
        <v>-7.2460000000000004</v>
      </c>
      <c r="Q19" s="13">
        <f>B19-(SUM(N19:P19))</f>
        <v>-6.3619999999999983</v>
      </c>
      <c r="R19" s="13">
        <v>-3.1859999999999999</v>
      </c>
      <c r="S19" s="13">
        <f>2990/1000</f>
        <v>2.99</v>
      </c>
      <c r="T19" s="13">
        <f>3570/1000</f>
        <v>3.57</v>
      </c>
      <c r="U19" s="13">
        <f>C19-(SUM(R19:T19))</f>
        <v>1.3329999999999997</v>
      </c>
      <c r="V19" s="13">
        <f>-1918/1000</f>
        <v>-1.9179999999999999</v>
      </c>
      <c r="W19" s="13">
        <f>-1721/1000</f>
        <v>-1.7210000000000001</v>
      </c>
      <c r="X19" s="13">
        <f>-4226/1000</f>
        <v>-4.226</v>
      </c>
      <c r="Y19" s="13">
        <f>D19-(SUM(V19:X19))</f>
        <v>-3.1980000000000004</v>
      </c>
      <c r="Z19" s="13">
        <v>-2.7250000000000001</v>
      </c>
      <c r="AA19" s="13">
        <v>-1.8939999999999999</v>
      </c>
      <c r="AB19" s="13">
        <v>-4.056</v>
      </c>
      <c r="AC19" s="13">
        <v>-0.29499999999999998</v>
      </c>
      <c r="AD19" s="13">
        <v>-4.6790000000000003</v>
      </c>
      <c r="AE19" s="13">
        <v>-2.1480000000000001</v>
      </c>
      <c r="AF19" s="13">
        <f>-5270/1000</f>
        <v>-5.27</v>
      </c>
      <c r="AG19" s="13">
        <f>-1343/1000</f>
        <v>-1.343</v>
      </c>
      <c r="AH19" s="13">
        <f>-6482/1000</f>
        <v>-6.4820000000000002</v>
      </c>
      <c r="AI19" s="13">
        <v>-2.4009999999999998</v>
      </c>
      <c r="AJ19" s="13">
        <v>4.8250000000000002</v>
      </c>
      <c r="AK19" s="13">
        <v>-0.94899999999999995</v>
      </c>
      <c r="AL19" s="13">
        <v>-1.5660000000000001</v>
      </c>
      <c r="AM19" s="13">
        <v>-6.2779999999999996</v>
      </c>
      <c r="AN19" s="13">
        <v>0.33400000000000002</v>
      </c>
      <c r="AO19" s="13">
        <v>0.72699999999999998</v>
      </c>
      <c r="AP19" s="13">
        <v>1.5009999999999999</v>
      </c>
      <c r="AQ19" s="13">
        <v>-1.8660000000000001</v>
      </c>
      <c r="AR19" s="13">
        <v>1.869</v>
      </c>
      <c r="AS19" s="13">
        <v>0.20599999999999999</v>
      </c>
      <c r="AT19" s="13">
        <v>-1.2370000000000001</v>
      </c>
      <c r="AU19" s="13">
        <v>6.6429999999999998</v>
      </c>
      <c r="AV19" s="13">
        <v>-0.61499999999999999</v>
      </c>
      <c r="AW19" s="13">
        <v>-9.1519999999999992</v>
      </c>
      <c r="AX19" s="13">
        <v>-25.692</v>
      </c>
      <c r="AY19" s="13">
        <v>-0.59599999999999997</v>
      </c>
      <c r="AZ19" s="13">
        <v>-6.1909999999999998</v>
      </c>
      <c r="BA19" s="13">
        <v>-5.5129999999999999</v>
      </c>
      <c r="BB19" s="13">
        <v>-3.569</v>
      </c>
      <c r="BC19" s="13">
        <v>-4.9180000000000001</v>
      </c>
      <c r="BD19" s="13">
        <v>-4.9240000000000004</v>
      </c>
      <c r="BE19" s="13">
        <v>-1.8120000000000001</v>
      </c>
      <c r="BF19" s="13">
        <v>-2.0499999999999998</v>
      </c>
      <c r="BG19" s="13">
        <v>-1.9970000000000001</v>
      </c>
      <c r="BH19" s="155">
        <v>3.714</v>
      </c>
      <c r="BI19" s="161">
        <v>-10.41</v>
      </c>
      <c r="BJ19" s="13">
        <v>-10.914000000000001</v>
      </c>
    </row>
    <row r="20" spans="1:62" s="14" customFormat="1" ht="12.75">
      <c r="A20" s="46" t="s">
        <v>2</v>
      </c>
      <c r="B20" s="83">
        <f>-27957/1000</f>
        <v>-27.957000000000001</v>
      </c>
      <c r="C20" s="13">
        <f>-45845/1000</f>
        <v>-45.844999999999999</v>
      </c>
      <c r="D20" s="13">
        <f>11822/1000</f>
        <v>11.821999999999999</v>
      </c>
      <c r="E20" s="13">
        <f>SUM(Z20:AC20)</f>
        <v>-0.19599999999999956</v>
      </c>
      <c r="F20" s="13">
        <f>SUM(AD20:AG20)</f>
        <v>-15.406999999999995</v>
      </c>
      <c r="G20" s="13">
        <f>SUM(AH20:AK20)</f>
        <v>-4.5080000000000275</v>
      </c>
      <c r="H20" s="13">
        <f>SUM(AL20:AO20)</f>
        <v>-20.477858034556458</v>
      </c>
      <c r="I20" s="13">
        <f>SUM(AP20:AS20)</f>
        <v>-24.563999999999979</v>
      </c>
      <c r="J20" s="13">
        <f>SUM(AT20:AW20)</f>
        <v>-17.186000000000021</v>
      </c>
      <c r="K20" s="13">
        <f>SUM(AX20:BA20)</f>
        <v>13.82934489906933</v>
      </c>
      <c r="L20" s="13">
        <f>SUM(BB20:BE20)</f>
        <v>-14.553000000000004</v>
      </c>
      <c r="M20" s="147">
        <v>2.3199999999999998</v>
      </c>
      <c r="N20" s="49">
        <f>-10429/1000</f>
        <v>-10.429</v>
      </c>
      <c r="O20" s="13">
        <f>-3743/1000</f>
        <v>-3.7429999999999999</v>
      </c>
      <c r="P20" s="13">
        <f>-1896/1000</f>
        <v>-1.8959999999999999</v>
      </c>
      <c r="Q20" s="13">
        <f>B20-(SUM(N20:P20))</f>
        <v>-11.888999999999999</v>
      </c>
      <c r="R20" s="13">
        <v>-1.5</v>
      </c>
      <c r="S20" s="13">
        <f>-21970/1000</f>
        <v>-21.97</v>
      </c>
      <c r="T20" s="13">
        <f>-5681/1000</f>
        <v>-5.681</v>
      </c>
      <c r="U20" s="13">
        <f>C20-(SUM(R20:T20))</f>
        <v>-16.693999999999999</v>
      </c>
      <c r="V20" s="13">
        <f>-2931/1000</f>
        <v>-2.931</v>
      </c>
      <c r="W20" s="13">
        <f>-7355/1000</f>
        <v>-7.3550000000000004</v>
      </c>
      <c r="X20" s="13">
        <f>-3306/1000</f>
        <v>-3.306</v>
      </c>
      <c r="Y20" s="13">
        <f>D20-(SUM(V20:X20))</f>
        <v>25.414000000000001</v>
      </c>
      <c r="Z20" s="13">
        <f>-0.678+2.619</f>
        <v>1.9410000000000003</v>
      </c>
      <c r="AA20" s="13">
        <f>-0.397-5.249</f>
        <v>-5.6459999999999999</v>
      </c>
      <c r="AB20" s="13">
        <v>3.5880000000000001</v>
      </c>
      <c r="AC20" s="13">
        <v>-7.9000000000000001E-2</v>
      </c>
      <c r="AD20" s="13">
        <v>10.946</v>
      </c>
      <c r="AE20" s="13">
        <f t="shared" ref="AE20:AK20" si="104">AE21-AE19-AE18-AE16</f>
        <v>1.4520000000000017</v>
      </c>
      <c r="AF20" s="13">
        <f t="shared" si="104"/>
        <v>-0.16600000000000037</v>
      </c>
      <c r="AG20" s="13">
        <f t="shared" si="104"/>
        <v>-27.638999999999996</v>
      </c>
      <c r="AH20" s="13">
        <f t="shared" si="104"/>
        <v>4.4989999999999988</v>
      </c>
      <c r="AI20" s="13">
        <f t="shared" si="104"/>
        <v>-4.38900000000001</v>
      </c>
      <c r="AJ20" s="13">
        <f t="shared" si="104"/>
        <v>-4.4489999999999981</v>
      </c>
      <c r="AK20" s="13">
        <f t="shared" si="104"/>
        <v>-0.16900000000001825</v>
      </c>
      <c r="AL20" s="13">
        <f t="shared" ref="AL20:AM20" si="105">AL21-AL19-AL18-AL16</f>
        <v>-9.9920000000000186</v>
      </c>
      <c r="AM20" s="13">
        <f t="shared" si="105"/>
        <v>-4.0808580345564351</v>
      </c>
      <c r="AN20" s="13">
        <f t="shared" ref="AN20:AO20" si="106">AN21-AN19-AN18-AN16</f>
        <v>-2.7540000000000084</v>
      </c>
      <c r="AO20" s="13">
        <f t="shared" si="106"/>
        <v>-3.6509999999999962</v>
      </c>
      <c r="AP20" s="13">
        <f t="shared" ref="AP20:AU20" si="107">AP21-AP19-AP18-AP16</f>
        <v>-5.2329999999999934</v>
      </c>
      <c r="AQ20" s="13">
        <f t="shared" si="107"/>
        <v>-7.6159999999999783</v>
      </c>
      <c r="AR20" s="13">
        <f t="shared" si="107"/>
        <v>-9.4569999999999972</v>
      </c>
      <c r="AS20" s="13">
        <f t="shared" si="107"/>
        <v>-2.2580000000000098</v>
      </c>
      <c r="AT20" s="13">
        <f t="shared" si="107"/>
        <v>-8.504000000000012</v>
      </c>
      <c r="AU20" s="13">
        <f t="shared" si="107"/>
        <v>-2.8159999999999918</v>
      </c>
      <c r="AV20" s="13">
        <f t="shared" ref="AV20" si="108">AV21-AV19-AV18-AV16</f>
        <v>-2.3660000000000103</v>
      </c>
      <c r="AW20" s="13">
        <f t="shared" ref="AW20:BB20" si="109">AW21-AW19-AW18-AW16</f>
        <v>-3.5000000000000089</v>
      </c>
      <c r="AX20" s="13">
        <f t="shared" si="109"/>
        <v>10.803000000000004</v>
      </c>
      <c r="AY20" s="13">
        <f t="shared" si="109"/>
        <v>4.9980000000000011</v>
      </c>
      <c r="AZ20" s="13">
        <f t="shared" si="109"/>
        <v>0.41391508810750111</v>
      </c>
      <c r="BA20" s="13">
        <f t="shared" si="109"/>
        <v>-2.3855701890381766</v>
      </c>
      <c r="BB20" s="13">
        <f t="shared" si="109"/>
        <v>-9.091988907960058E-2</v>
      </c>
      <c r="BC20" s="13">
        <f t="shared" ref="BC20" si="110">BC21-BC19-BC18-BC16</f>
        <v>0.17802329178680409</v>
      </c>
      <c r="BD20" s="13">
        <f>BD21-BD19-BD18-BD16</f>
        <v>0.12989659729279879</v>
      </c>
      <c r="BE20" s="13">
        <f>BE21-BE19-BE18-BE16</f>
        <v>-14.770000000000007</v>
      </c>
      <c r="BF20" s="13">
        <f>BF21-BF19-BF18-BF16</f>
        <v>0.55900000000000127</v>
      </c>
      <c r="BG20" s="13">
        <f>BG21-BG19-BG18-BG16</f>
        <v>0.70900000000000052</v>
      </c>
      <c r="BH20" s="13">
        <f>BH21-BH19-BH18-BH16</f>
        <v>0.41400000000000359</v>
      </c>
      <c r="BI20" s="13">
        <f t="shared" ref="BI20:BJ20" si="111">BI21-BI19-BI18-BI16</f>
        <v>0.73499999999999943</v>
      </c>
      <c r="BJ20" s="13">
        <f t="shared" si="111"/>
        <v>-0.24400000000001043</v>
      </c>
    </row>
    <row r="21" spans="1:62" s="19" customFormat="1" ht="12.75">
      <c r="A21" s="45" t="s">
        <v>15</v>
      </c>
      <c r="B21" s="127">
        <f>SUM(B16,B18,B19,B20)</f>
        <v>40.263113474001777</v>
      </c>
      <c r="C21" s="128">
        <f>SUM(C16,C18,C19,C20)</f>
        <v>61.071545139436026</v>
      </c>
      <c r="D21" s="128">
        <f>SUM(D16,D18,D19,D20)</f>
        <v>-3.9569999999999954</v>
      </c>
      <c r="E21" s="128">
        <f>SUM(Z21:AC21)</f>
        <v>-14.71815829670342</v>
      </c>
      <c r="F21" s="128">
        <f>SUM(AD21:AG21)</f>
        <v>-70.320999999999998</v>
      </c>
      <c r="G21" s="128">
        <f>SUM(AH21:AK21)</f>
        <v>20.888000000000002</v>
      </c>
      <c r="H21" s="128">
        <f>SUM(AL21:AO21)</f>
        <v>26.024141965443572</v>
      </c>
      <c r="I21" s="128">
        <f>SUM(AP21:AS21)</f>
        <v>45.266000000000005</v>
      </c>
      <c r="J21" s="128">
        <f>SUM(AT21:AW21)</f>
        <v>10.623000000000001</v>
      </c>
      <c r="K21" s="128">
        <f>SUM(AX21:BA21)</f>
        <v>-71.777999999999992</v>
      </c>
      <c r="L21" s="128">
        <f>SUM(BB21:BE21)</f>
        <v>-109.41999999999999</v>
      </c>
      <c r="M21" s="148">
        <f>SUM(BF21:BI21)</f>
        <v>-64.548000000000002</v>
      </c>
      <c r="N21" s="48">
        <f>SUM(N16,N18,N19,N20)</f>
        <v>10.783000000000003</v>
      </c>
      <c r="O21" s="18">
        <f t="shared" ref="O21:Q21" si="112">SUM(O16,O18,O19,O20)</f>
        <v>12.975936123611229</v>
      </c>
      <c r="P21" s="18">
        <f t="shared" si="112"/>
        <v>-8.2745966197923977</v>
      </c>
      <c r="Q21" s="18">
        <f t="shared" si="112"/>
        <v>24.778773970182936</v>
      </c>
      <c r="R21" s="18">
        <f>SUM(R16,R18,R19,R20)</f>
        <v>0.88800000000000168</v>
      </c>
      <c r="S21" s="18">
        <f t="shared" ref="S21:U21" si="113">SUM(S16,S18,S19,S20)</f>
        <v>8.8750820661018111</v>
      </c>
      <c r="T21" s="18">
        <f t="shared" si="113"/>
        <v>17.60711605980547</v>
      </c>
      <c r="U21" s="18">
        <f t="shared" si="113"/>
        <v>33.701347013528746</v>
      </c>
      <c r="V21" s="18">
        <f>SUM(V16,V18,V19,V20)</f>
        <v>1.1488251080844876</v>
      </c>
      <c r="W21" s="18">
        <f t="shared" ref="W21:Y21" si="114">SUM(W16,W18,W19,W20)</f>
        <v>13.566174891915516</v>
      </c>
      <c r="X21" s="18">
        <f t="shared" si="114"/>
        <v>12.543999999999997</v>
      </c>
      <c r="Y21" s="18">
        <f t="shared" si="114"/>
        <v>-31.215999999999994</v>
      </c>
      <c r="Z21" s="18">
        <f t="shared" ref="Z21:AA21" si="115">SUM(Z16,Z18,Z19,Z20)</f>
        <v>-15.972999999999997</v>
      </c>
      <c r="AA21" s="18">
        <f t="shared" si="115"/>
        <v>10.932000000000002</v>
      </c>
      <c r="AB21" s="18">
        <f t="shared" ref="AB21" si="116">SUM(AB16,AB18,AB19,AB20)</f>
        <v>-5.9806208861889241</v>
      </c>
      <c r="AC21" s="18">
        <f t="shared" ref="AC21:AD21" si="117">SUM(AC16,AC18,AC19,AC20)</f>
        <v>-3.6965374105144995</v>
      </c>
      <c r="AD21" s="18">
        <f t="shared" si="117"/>
        <v>-22.858000000000004</v>
      </c>
      <c r="AE21" s="18">
        <v>-0.41899999999999998</v>
      </c>
      <c r="AF21" s="18">
        <f>-4678/1000</f>
        <v>-4.6779999999999999</v>
      </c>
      <c r="AG21" s="18">
        <f>-42366/1000</f>
        <v>-42.366</v>
      </c>
      <c r="AH21" s="18">
        <f>-2320/1000</f>
        <v>-2.3199999999999998</v>
      </c>
      <c r="AI21" s="18">
        <v>2.1579999999999999</v>
      </c>
      <c r="AJ21" s="18">
        <v>8.8140000000000001</v>
      </c>
      <c r="AK21" s="18">
        <v>12.236000000000001</v>
      </c>
      <c r="AL21" s="18">
        <v>10.462999999999999</v>
      </c>
      <c r="AM21" s="18">
        <v>3.1661419654435741</v>
      </c>
      <c r="AN21" s="18">
        <v>6.0830000000000002</v>
      </c>
      <c r="AO21" s="18">
        <v>6.3120000000000003</v>
      </c>
      <c r="AP21" s="18">
        <v>5.8070000000000004</v>
      </c>
      <c r="AQ21" s="18">
        <v>7.1559999999999997</v>
      </c>
      <c r="AR21" s="18">
        <v>13.353</v>
      </c>
      <c r="AS21" s="18">
        <v>18.95</v>
      </c>
      <c r="AT21" s="18">
        <v>4.8550000000000004</v>
      </c>
      <c r="AU21" s="18">
        <v>3.7389999999999999</v>
      </c>
      <c r="AV21" s="18">
        <v>14.782</v>
      </c>
      <c r="AW21" s="18">
        <v>-12.753</v>
      </c>
      <c r="AX21" s="18">
        <v>-34.284999999999997</v>
      </c>
      <c r="AY21" s="18">
        <v>-18.22</v>
      </c>
      <c r="AZ21" s="18">
        <v>-13.234999999999999</v>
      </c>
      <c r="BA21" s="18">
        <v>-6.0380000000000003</v>
      </c>
      <c r="BB21" s="18">
        <v>-14.09</v>
      </c>
      <c r="BC21" s="18">
        <v>-25.640999999999998</v>
      </c>
      <c r="BD21" s="18">
        <v>-13.037000000000001</v>
      </c>
      <c r="BE21" s="18">
        <v>-56.652000000000001</v>
      </c>
      <c r="BF21" s="18">
        <v>-11.532</v>
      </c>
      <c r="BG21" s="18">
        <v>-14.577</v>
      </c>
      <c r="BH21" s="18">
        <v>-18.722999999999999</v>
      </c>
      <c r="BI21" s="18">
        <v>-19.716000000000001</v>
      </c>
      <c r="BJ21" s="18">
        <v>6.6360000000000001</v>
      </c>
    </row>
    <row r="22" spans="1:62" s="23" customFormat="1" ht="12.75">
      <c r="A22" s="52" t="s">
        <v>14</v>
      </c>
      <c r="B22" s="118">
        <f t="shared" ref="B22:AA22" si="118">B21/B6</f>
        <v>7.0738877974348802E-2</v>
      </c>
      <c r="C22" s="54">
        <f t="shared" si="118"/>
        <v>0.10014601745067508</v>
      </c>
      <c r="D22" s="54">
        <f t="shared" si="118"/>
        <v>-5.6997891156440285E-3</v>
      </c>
      <c r="E22" s="54">
        <f t="shared" ref="E22" si="119">E21/E6</f>
        <v>-2.6696044068546199E-2</v>
      </c>
      <c r="F22" s="54">
        <f t="shared" ref="F22:K22" si="120">F21/F6</f>
        <v>-0.12717657226297122</v>
      </c>
      <c r="G22" s="54">
        <f t="shared" si="120"/>
        <v>3.7910700770809776E-2</v>
      </c>
      <c r="H22" s="54">
        <f t="shared" si="120"/>
        <v>3.2839940192671842E-2</v>
      </c>
      <c r="I22" s="54">
        <f t="shared" si="120"/>
        <v>6.9331209459407725E-2</v>
      </c>
      <c r="J22" s="54">
        <f t="shared" si="120"/>
        <v>1.775284391434917E-2</v>
      </c>
      <c r="K22" s="54">
        <f t="shared" si="120"/>
        <v>-0.18231926318409727</v>
      </c>
      <c r="L22" s="54">
        <f t="shared" ref="L22" si="121">L21/L6</f>
        <v>-2.7359320166611072</v>
      </c>
      <c r="M22" s="149">
        <f t="shared" ref="M22" si="122">M21/M6</f>
        <v>-2.0612486028947656</v>
      </c>
      <c r="N22" s="55">
        <f t="shared" si="118"/>
        <v>6.675290195243011E-2</v>
      </c>
      <c r="O22" s="54">
        <f t="shared" si="118"/>
        <v>9.6441675625276849E-2</v>
      </c>
      <c r="P22" s="54">
        <f t="shared" si="118"/>
        <v>-8.7927301551263548E-2</v>
      </c>
      <c r="Q22" s="54">
        <f t="shared" si="118"/>
        <v>0.13843730334824045</v>
      </c>
      <c r="R22" s="54">
        <f t="shared" si="118"/>
        <v>1.0820007521737014E-2</v>
      </c>
      <c r="S22" s="54">
        <f t="shared" si="118"/>
        <v>4.8152709320863164E-2</v>
      </c>
      <c r="T22" s="54">
        <f t="shared" si="118"/>
        <v>0.15789250753217854</v>
      </c>
      <c r="U22" s="54">
        <f t="shared" si="118"/>
        <v>0.14530805653976975</v>
      </c>
      <c r="V22" s="54">
        <f t="shared" si="118"/>
        <v>1.0803879974066457E-2</v>
      </c>
      <c r="W22" s="54">
        <f t="shared" si="118"/>
        <v>7.1127190353917749E-2</v>
      </c>
      <c r="X22" s="54">
        <f t="shared" si="118"/>
        <v>9.1116032394090274E-2</v>
      </c>
      <c r="Y22" s="54">
        <f t="shared" si="118"/>
        <v>-0.12029291848023446</v>
      </c>
      <c r="Z22" s="54">
        <f t="shared" si="118"/>
        <v>-0.27041749676840848</v>
      </c>
      <c r="AA22" s="54">
        <f t="shared" si="118"/>
        <v>7.655582626766945E-2</v>
      </c>
      <c r="AB22" s="54">
        <f t="shared" ref="AB22" si="123">AB21/AB6</f>
        <v>-4.7093978940339294E-2</v>
      </c>
      <c r="AC22" s="54">
        <f t="shared" ref="AC22:AD22" si="124">AC21/AC6</f>
        <v>-1.661629726243866E-2</v>
      </c>
      <c r="AD22" s="54">
        <f t="shared" si="124"/>
        <v>-0.21156865446346998</v>
      </c>
      <c r="AE22" s="68">
        <f t="shared" ref="AE22:AF22" si="125">AE21/AE6</f>
        <v>-1.8935421948744399E-3</v>
      </c>
      <c r="AF22" s="68">
        <f t="shared" si="125"/>
        <v>-3.7257359819956419E-2</v>
      </c>
      <c r="AG22" s="68">
        <f t="shared" ref="AG22:AH22" si="126">AG21/AG6</f>
        <v>-0.43203358820856119</v>
      </c>
      <c r="AH22" s="68">
        <f t="shared" si="126"/>
        <v>-1.7591491956301147E-2</v>
      </c>
      <c r="AI22" s="68">
        <f t="shared" ref="AI22:AK22" si="127">AI21/AI6</f>
        <v>2.0818551534761896E-2</v>
      </c>
      <c r="AJ22" s="68">
        <f t="shared" si="127"/>
        <v>0.10245684833857205</v>
      </c>
      <c r="AK22" s="68">
        <f t="shared" si="127"/>
        <v>5.333610984952411E-2</v>
      </c>
      <c r="AL22" s="68">
        <f t="shared" ref="AL22:AM22" si="128">AL21/AL6</f>
        <v>3.1327472843335688E-2</v>
      </c>
      <c r="AM22" s="68">
        <f t="shared" si="128"/>
        <v>1.4163965219959176E-2</v>
      </c>
      <c r="AN22" s="68">
        <f t="shared" ref="AN22:AO22" si="129">AN21/AN6</f>
        <v>6.0535193607133268E-2</v>
      </c>
      <c r="AO22" s="68">
        <f t="shared" si="129"/>
        <v>4.6948915533605064E-2</v>
      </c>
      <c r="AP22" s="68">
        <f t="shared" ref="AP22:AQ22" si="130">AP21/AP6</f>
        <v>4.22275064173884E-2</v>
      </c>
      <c r="AQ22" s="68">
        <f t="shared" si="130"/>
        <v>4.1870480024340573E-2</v>
      </c>
      <c r="AR22" s="68">
        <f t="shared" ref="AR22:AS22" si="131">AR21/AR6</f>
        <v>0.10019810004052047</v>
      </c>
      <c r="AS22" s="68">
        <f t="shared" si="131"/>
        <v>8.9723679475767495E-2</v>
      </c>
      <c r="AT22" s="68">
        <f t="shared" ref="AT22:AU22" si="132">AT21/AT6</f>
        <v>2.4981090523650995E-2</v>
      </c>
      <c r="AU22" s="68">
        <f t="shared" si="132"/>
        <v>5.214929286730452E-2</v>
      </c>
      <c r="AV22" s="68">
        <f t="shared" ref="AV22:AW22" si="133">AV21/AV6</f>
        <v>0.13607784293328667</v>
      </c>
      <c r="AW22" s="68">
        <f t="shared" si="133"/>
        <v>-5.7007094037343151E-2</v>
      </c>
      <c r="AX22" s="68">
        <f t="shared" ref="AX22" si="134">AX21/AX6</f>
        <v>-0.28427747006732773</v>
      </c>
      <c r="AY22" s="68">
        <f t="shared" ref="AY22:BD22" si="135">AY21/AY6</f>
        <v>-0.13759770418759201</v>
      </c>
      <c r="AZ22" s="68">
        <f t="shared" si="135"/>
        <v>-0.24234600454112662</v>
      </c>
      <c r="BA22" s="68">
        <f t="shared" si="135"/>
        <v>-7.0157907579331408E-2</v>
      </c>
      <c r="BB22" s="68">
        <f t="shared" si="135"/>
        <v>-0.43363185916966729</v>
      </c>
      <c r="BC22" s="68">
        <f t="shared" si="135"/>
        <v>-9.6868152625613906</v>
      </c>
      <c r="BD22" s="68">
        <f t="shared" si="135"/>
        <v>-4.7655361165441059</v>
      </c>
      <c r="BE22" s="68">
        <f t="shared" ref="BE22:BF22" si="136">BE21/BE6</f>
        <v>-26.747875354107652</v>
      </c>
      <c r="BF22" s="68">
        <f t="shared" si="136"/>
        <v>-4.2869888475836424</v>
      </c>
      <c r="BG22" s="68">
        <f t="shared" ref="BG22:BH22" si="137">BG21/BG6</f>
        <v>-9.2788033099936342</v>
      </c>
      <c r="BH22" s="68">
        <f t="shared" si="137"/>
        <v>-3.3541741311357933</v>
      </c>
      <c r="BI22" s="68">
        <f t="shared" ref="BI22:BJ22" si="138">BI21/BI6</f>
        <v>-0.91824643523386928</v>
      </c>
      <c r="BJ22" s="68">
        <f t="shared" si="138"/>
        <v>3.7253063722050395E-2</v>
      </c>
    </row>
    <row r="23" spans="1:62" ht="12.75">
      <c r="A23" s="45" t="s">
        <v>193</v>
      </c>
      <c r="B23" s="84">
        <f>B21</f>
        <v>40.263113474001777</v>
      </c>
      <c r="C23" s="18">
        <f t="shared" ref="C23:AW23" si="139">C21</f>
        <v>61.071545139436026</v>
      </c>
      <c r="D23" s="18">
        <f t="shared" si="139"/>
        <v>-3.9569999999999954</v>
      </c>
      <c r="E23" s="18">
        <f t="shared" si="139"/>
        <v>-14.71815829670342</v>
      </c>
      <c r="F23" s="18">
        <f t="shared" si="139"/>
        <v>-70.320999999999998</v>
      </c>
      <c r="G23" s="18">
        <f t="shared" si="139"/>
        <v>20.888000000000002</v>
      </c>
      <c r="H23" s="18">
        <f t="shared" si="139"/>
        <v>26.024141965443572</v>
      </c>
      <c r="I23" s="18">
        <f t="shared" si="139"/>
        <v>45.266000000000005</v>
      </c>
      <c r="J23" s="18">
        <f t="shared" si="139"/>
        <v>10.623000000000001</v>
      </c>
      <c r="K23" s="18">
        <v>-26.156626028899652</v>
      </c>
      <c r="L23" s="18">
        <f>SUM(BB23:BE23)</f>
        <v>-78.965265950000003</v>
      </c>
      <c r="M23" s="148">
        <f>SUM(BF23:BI23)</f>
        <v>-29.73610310813234</v>
      </c>
      <c r="N23" s="48">
        <f t="shared" si="139"/>
        <v>10.783000000000003</v>
      </c>
      <c r="O23" s="18">
        <f t="shared" si="139"/>
        <v>12.975936123611229</v>
      </c>
      <c r="P23" s="18">
        <f t="shared" si="139"/>
        <v>-8.2745966197923977</v>
      </c>
      <c r="Q23" s="18">
        <f t="shared" si="139"/>
        <v>24.778773970182936</v>
      </c>
      <c r="R23" s="18">
        <f t="shared" si="139"/>
        <v>0.88800000000000168</v>
      </c>
      <c r="S23" s="18">
        <f t="shared" si="139"/>
        <v>8.8750820661018111</v>
      </c>
      <c r="T23" s="18">
        <f t="shared" si="139"/>
        <v>17.60711605980547</v>
      </c>
      <c r="U23" s="18">
        <f t="shared" si="139"/>
        <v>33.701347013528746</v>
      </c>
      <c r="V23" s="18">
        <f t="shared" si="139"/>
        <v>1.1488251080844876</v>
      </c>
      <c r="W23" s="18">
        <f t="shared" si="139"/>
        <v>13.566174891915516</v>
      </c>
      <c r="X23" s="18">
        <f t="shared" si="139"/>
        <v>12.543999999999997</v>
      </c>
      <c r="Y23" s="18">
        <f t="shared" si="139"/>
        <v>-31.215999999999994</v>
      </c>
      <c r="Z23" s="18">
        <f t="shared" si="139"/>
        <v>-15.972999999999997</v>
      </c>
      <c r="AA23" s="18">
        <f t="shared" si="139"/>
        <v>10.932000000000002</v>
      </c>
      <c r="AB23" s="18">
        <f t="shared" si="139"/>
        <v>-5.9806208861889241</v>
      </c>
      <c r="AC23" s="18">
        <f t="shared" si="139"/>
        <v>-3.6965374105144995</v>
      </c>
      <c r="AD23" s="18">
        <f t="shared" si="139"/>
        <v>-22.858000000000004</v>
      </c>
      <c r="AE23" s="18">
        <f t="shared" si="139"/>
        <v>-0.41899999999999998</v>
      </c>
      <c r="AF23" s="18">
        <f t="shared" si="139"/>
        <v>-4.6779999999999999</v>
      </c>
      <c r="AG23" s="18">
        <f t="shared" si="139"/>
        <v>-42.366</v>
      </c>
      <c r="AH23" s="18">
        <f t="shared" si="139"/>
        <v>-2.3199999999999998</v>
      </c>
      <c r="AI23" s="18">
        <f t="shared" si="139"/>
        <v>2.1579999999999999</v>
      </c>
      <c r="AJ23" s="18">
        <f t="shared" si="139"/>
        <v>8.8140000000000001</v>
      </c>
      <c r="AK23" s="18">
        <f t="shared" si="139"/>
        <v>12.236000000000001</v>
      </c>
      <c r="AL23" s="18">
        <f t="shared" si="139"/>
        <v>10.462999999999999</v>
      </c>
      <c r="AM23" s="18">
        <f t="shared" si="139"/>
        <v>3.1661419654435741</v>
      </c>
      <c r="AN23" s="18">
        <f t="shared" si="139"/>
        <v>6.0830000000000002</v>
      </c>
      <c r="AO23" s="18">
        <f t="shared" si="139"/>
        <v>6.3120000000000003</v>
      </c>
      <c r="AP23" s="18">
        <f t="shared" si="139"/>
        <v>5.8070000000000004</v>
      </c>
      <c r="AQ23" s="18">
        <f t="shared" si="139"/>
        <v>7.1559999999999997</v>
      </c>
      <c r="AR23" s="18">
        <f t="shared" si="139"/>
        <v>13.353</v>
      </c>
      <c r="AS23" s="18">
        <f t="shared" si="139"/>
        <v>18.95</v>
      </c>
      <c r="AT23" s="18">
        <f t="shared" si="139"/>
        <v>4.8550000000000004</v>
      </c>
      <c r="AU23" s="18">
        <f t="shared" si="139"/>
        <v>3.7389999999999999</v>
      </c>
      <c r="AV23" s="18">
        <f t="shared" si="139"/>
        <v>14.782</v>
      </c>
      <c r="AW23" s="18">
        <f t="shared" si="139"/>
        <v>-12.753</v>
      </c>
      <c r="AX23" s="18">
        <f>K23-AY23</f>
        <v>-7.9110275926999094</v>
      </c>
      <c r="AY23" s="18">
        <v>-18.245598436199742</v>
      </c>
      <c r="AZ23" s="18">
        <v>-7.0345097044432991</v>
      </c>
      <c r="BA23" s="18">
        <v>-7.8139136465286398</v>
      </c>
      <c r="BB23" s="18">
        <v>-14.09</v>
      </c>
      <c r="BC23" s="18">
        <v>-22.340999999999998</v>
      </c>
      <c r="BD23" s="18">
        <v>-25.327265950000001</v>
      </c>
      <c r="BE23" s="18">
        <v>-17.207000000000001</v>
      </c>
      <c r="BF23" s="18">
        <v>-14.41</v>
      </c>
      <c r="BG23" s="18">
        <v>-12.047000000000001</v>
      </c>
      <c r="BH23" s="18">
        <v>-4.9390000000000001</v>
      </c>
      <c r="BI23" s="18">
        <v>1.6598968918676604</v>
      </c>
      <c r="BJ23" s="18">
        <v>9.4563545310805353</v>
      </c>
    </row>
    <row r="24" spans="1:62" ht="12.75">
      <c r="A24" s="52" t="s">
        <v>192</v>
      </c>
      <c r="B24" s="135">
        <f t="shared" ref="B24:BD24" si="140">B23/B6</f>
        <v>7.0738877974348802E-2</v>
      </c>
      <c r="C24" s="136">
        <f t="shared" si="140"/>
        <v>0.10014601745067508</v>
      </c>
      <c r="D24" s="136">
        <f t="shared" si="140"/>
        <v>-5.6997891156440285E-3</v>
      </c>
      <c r="E24" s="136">
        <f t="shared" si="140"/>
        <v>-2.6696044068546199E-2</v>
      </c>
      <c r="F24" s="136">
        <f t="shared" si="140"/>
        <v>-0.12717657226297122</v>
      </c>
      <c r="G24" s="136">
        <f t="shared" si="140"/>
        <v>3.7910700770809776E-2</v>
      </c>
      <c r="H24" s="136">
        <f t="shared" si="140"/>
        <v>3.2839940192671842E-2</v>
      </c>
      <c r="I24" s="136">
        <f t="shared" si="140"/>
        <v>6.9331209459407725E-2</v>
      </c>
      <c r="J24" s="136">
        <f t="shared" si="140"/>
        <v>1.775284391434917E-2</v>
      </c>
      <c r="K24" s="136">
        <f t="shared" si="140"/>
        <v>-6.6438975521343105E-2</v>
      </c>
      <c r="L24" s="136">
        <f t="shared" si="140"/>
        <v>-1.9744434227450574</v>
      </c>
      <c r="M24" s="150">
        <f t="shared" ref="M24" si="141">M23/M6</f>
        <v>-0.94958017269586181</v>
      </c>
      <c r="N24" s="55">
        <f t="shared" si="140"/>
        <v>6.675290195243011E-2</v>
      </c>
      <c r="O24" s="54">
        <f t="shared" si="140"/>
        <v>9.6441675625276849E-2</v>
      </c>
      <c r="P24" s="54">
        <f t="shared" si="140"/>
        <v>-8.7927301551263548E-2</v>
      </c>
      <c r="Q24" s="54">
        <f t="shared" si="140"/>
        <v>0.13843730334824045</v>
      </c>
      <c r="R24" s="54">
        <f t="shared" si="140"/>
        <v>1.0820007521737014E-2</v>
      </c>
      <c r="S24" s="54">
        <f t="shared" si="140"/>
        <v>4.8152709320863164E-2</v>
      </c>
      <c r="T24" s="54">
        <f t="shared" si="140"/>
        <v>0.15789250753217854</v>
      </c>
      <c r="U24" s="54">
        <f t="shared" si="140"/>
        <v>0.14530805653976975</v>
      </c>
      <c r="V24" s="54">
        <f t="shared" si="140"/>
        <v>1.0803879974066457E-2</v>
      </c>
      <c r="W24" s="54">
        <f t="shared" si="140"/>
        <v>7.1127190353917749E-2</v>
      </c>
      <c r="X24" s="54">
        <f t="shared" si="140"/>
        <v>9.1116032394090274E-2</v>
      </c>
      <c r="Y24" s="54">
        <f t="shared" si="140"/>
        <v>-0.12029291848023446</v>
      </c>
      <c r="Z24" s="54">
        <f t="shared" si="140"/>
        <v>-0.27041749676840848</v>
      </c>
      <c r="AA24" s="54">
        <f t="shared" si="140"/>
        <v>7.655582626766945E-2</v>
      </c>
      <c r="AB24" s="54">
        <f t="shared" si="140"/>
        <v>-4.7093978940339294E-2</v>
      </c>
      <c r="AC24" s="54">
        <f t="shared" si="140"/>
        <v>-1.661629726243866E-2</v>
      </c>
      <c r="AD24" s="54">
        <f t="shared" si="140"/>
        <v>-0.21156865446346998</v>
      </c>
      <c r="AE24" s="54">
        <f t="shared" si="140"/>
        <v>-1.8935421948744399E-3</v>
      </c>
      <c r="AF24" s="54">
        <f t="shared" si="140"/>
        <v>-3.7257359819956419E-2</v>
      </c>
      <c r="AG24" s="54">
        <f t="shared" si="140"/>
        <v>-0.43203358820856119</v>
      </c>
      <c r="AH24" s="54">
        <f t="shared" si="140"/>
        <v>-1.7591491956301147E-2</v>
      </c>
      <c r="AI24" s="54">
        <f t="shared" si="140"/>
        <v>2.0818551534761896E-2</v>
      </c>
      <c r="AJ24" s="54">
        <f t="shared" si="140"/>
        <v>0.10245684833857205</v>
      </c>
      <c r="AK24" s="54">
        <f t="shared" si="140"/>
        <v>5.333610984952411E-2</v>
      </c>
      <c r="AL24" s="54">
        <f t="shared" si="140"/>
        <v>3.1327472843335688E-2</v>
      </c>
      <c r="AM24" s="54">
        <f t="shared" si="140"/>
        <v>1.4163965219959176E-2</v>
      </c>
      <c r="AN24" s="54">
        <f t="shared" si="140"/>
        <v>6.0535193607133268E-2</v>
      </c>
      <c r="AO24" s="54">
        <f t="shared" si="140"/>
        <v>4.6948915533605064E-2</v>
      </c>
      <c r="AP24" s="54">
        <f t="shared" si="140"/>
        <v>4.22275064173884E-2</v>
      </c>
      <c r="AQ24" s="54">
        <f t="shared" si="140"/>
        <v>4.1870480024340573E-2</v>
      </c>
      <c r="AR24" s="54">
        <f t="shared" si="140"/>
        <v>0.10019810004052047</v>
      </c>
      <c r="AS24" s="54">
        <f t="shared" si="140"/>
        <v>8.9723679475767495E-2</v>
      </c>
      <c r="AT24" s="54">
        <f t="shared" si="140"/>
        <v>2.4981090523650995E-2</v>
      </c>
      <c r="AU24" s="54">
        <f t="shared" si="140"/>
        <v>5.214929286730452E-2</v>
      </c>
      <c r="AV24" s="54">
        <f t="shared" si="140"/>
        <v>0.13607784293328667</v>
      </c>
      <c r="AW24" s="54">
        <f t="shared" si="140"/>
        <v>-5.7007094037343151E-2</v>
      </c>
      <c r="AX24" s="54">
        <f t="shared" si="140"/>
        <v>-6.5595068096413967E-2</v>
      </c>
      <c r="AY24" s="54">
        <f t="shared" si="140"/>
        <v>-0.13779102394894641</v>
      </c>
      <c r="AZ24" s="54">
        <f t="shared" si="140"/>
        <v>-0.12880886443351833</v>
      </c>
      <c r="BA24" s="54">
        <f t="shared" si="140"/>
        <v>-9.0792949891691413E-2</v>
      </c>
      <c r="BB24" s="54">
        <f t="shared" si="140"/>
        <v>-0.43363185916966729</v>
      </c>
      <c r="BC24" s="54">
        <f t="shared" si="140"/>
        <v>-8.4401208915753685</v>
      </c>
      <c r="BD24" s="54">
        <f t="shared" si="140"/>
        <v>-9.258111576132757</v>
      </c>
      <c r="BE24" s="54">
        <f>BE23/BE6</f>
        <v>-8.1241737488196417</v>
      </c>
      <c r="BF24" s="54">
        <f>BF23/BF6</f>
        <v>-5.3568773234200737</v>
      </c>
      <c r="BG24" s="54">
        <f>BG23/BG6</f>
        <v>-7.6683640992998097</v>
      </c>
      <c r="BH24" s="54">
        <f>BH23/BH6</f>
        <v>-0.88480831243281977</v>
      </c>
      <c r="BI24" s="68">
        <f>BI23/BI6</f>
        <v>7.7307486498947989E-2</v>
      </c>
      <c r="BJ24" s="68">
        <f>BJ23/BJ6</f>
        <v>5.3085921929572503E-2</v>
      </c>
    </row>
    <row r="25" spans="1:62" ht="12.75">
      <c r="A25" s="52"/>
      <c r="B25" s="135"/>
      <c r="C25" s="136"/>
      <c r="D25" s="136"/>
      <c r="E25" s="136"/>
      <c r="F25" s="136"/>
      <c r="G25" s="136"/>
      <c r="H25" s="136"/>
      <c r="I25" s="136"/>
      <c r="J25" s="136"/>
      <c r="K25" s="136"/>
      <c r="L25" s="136"/>
      <c r="M25" s="150"/>
      <c r="N25" s="55"/>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13"/>
      <c r="BI25" s="13"/>
      <c r="BJ25" s="13"/>
    </row>
    <row r="26" spans="1:62" s="19" customFormat="1" ht="12.75">
      <c r="A26" s="45" t="s">
        <v>126</v>
      </c>
      <c r="B26" s="84">
        <f>B21-B20-B19+FC!B10</f>
        <v>95.109113474001774</v>
      </c>
      <c r="C26" s="18">
        <f>C21-C20-C19+FC!C10</f>
        <v>107.78954513943603</v>
      </c>
      <c r="D26" s="18">
        <f>D21-D20-D19+FC!D10</f>
        <v>5.1560000000000059</v>
      </c>
      <c r="E26" s="18">
        <f>E21-E20-E19+FC!E10</f>
        <v>7.898841703296581</v>
      </c>
      <c r="F26" s="18">
        <f>F21-F20-F19+FC!F10</f>
        <v>-26.081000000000003</v>
      </c>
      <c r="G26" s="18">
        <f>G21-G20-G19+FC!G10</f>
        <v>41.67600000000003</v>
      </c>
      <c r="H26" s="18">
        <f>H21-H20-H19+FC!H10</f>
        <v>64.624000000000024</v>
      </c>
      <c r="I26" s="18">
        <f>I21-I20-I19+FC!I10</f>
        <v>75.012999999999991</v>
      </c>
      <c r="J26" s="18">
        <f>J21-J20-J19+FC!J10</f>
        <v>37.442000000000021</v>
      </c>
      <c r="K26" s="18">
        <v>-22.006</v>
      </c>
      <c r="L26" s="18">
        <f>SUM(BB26:BE26)</f>
        <v>-62.134103402707204</v>
      </c>
      <c r="M26" s="148">
        <f>SUM(BF26:BI26)</f>
        <v>-54.074168197535265</v>
      </c>
      <c r="N26" s="48">
        <f>N21-N20-N19+FC!N10</f>
        <v>27.770000000000003</v>
      </c>
      <c r="O26" s="18">
        <f>O21-O20-O19+FC!O10</f>
        <v>21.34193612361123</v>
      </c>
      <c r="P26" s="18">
        <f>P21-P20-P19+FC!P10</f>
        <v>1.9194033802076027</v>
      </c>
      <c r="Q26" s="18">
        <f>Q21-Q20-Q19+FC!Q10</f>
        <v>44.077773970182932</v>
      </c>
      <c r="R26" s="18">
        <f>R21-R20-R19+FC!R10</f>
        <v>6.7640000000000011</v>
      </c>
      <c r="S26" s="18">
        <f>S21-S20-S19+FC!S10</f>
        <v>29.112082066101809</v>
      </c>
      <c r="T26" s="18">
        <f>T21-T20-T19+FC!T10</f>
        <v>21.077116059805469</v>
      </c>
      <c r="U26" s="18">
        <f>U21-U20-U19+FC!U10</f>
        <v>50.836347013528751</v>
      </c>
      <c r="V26" s="18">
        <f>V21-V20-V19+FC!V10</f>
        <v>8.0948251080844873</v>
      </c>
      <c r="W26" s="18">
        <f>W21-W20-W19+FC!W10</f>
        <v>25.165174891915516</v>
      </c>
      <c r="X26" s="18">
        <f>X21-X20-X19+FC!X10</f>
        <v>22.630999999999997</v>
      </c>
      <c r="Y26" s="18">
        <f>Y21-Y20-Y19+FC!Y10</f>
        <v>-50.734999999999992</v>
      </c>
      <c r="Z26" s="18">
        <f>Z21-Z20-Z19+FC!Z10</f>
        <v>-12.596999999999998</v>
      </c>
      <c r="AA26" s="18">
        <f>AA21-AA20-AA19+FC!AA10</f>
        <v>21.108000000000001</v>
      </c>
      <c r="AB26" s="18">
        <f>AB21-AB20-AB19+FC!AB10</f>
        <v>-2.7986208861889241</v>
      </c>
      <c r="AC26" s="18">
        <f>AC21-AC20-AC19+FC!AC10</f>
        <v>2.186462589485501</v>
      </c>
      <c r="AD26" s="18">
        <f>AD21-AD20-AD19+FC!AD10</f>
        <v>-25.395</v>
      </c>
      <c r="AE26" s="18">
        <f>AE21-AE20-AE19+FC!AE10</f>
        <v>4.211999999999998</v>
      </c>
      <c r="AF26" s="18">
        <f>AF21-AF20-AF19+FC!AF10</f>
        <v>4.5549999999999997</v>
      </c>
      <c r="AG26" s="18">
        <f>AG21-AG20-AG19+FC!AG10</f>
        <v>-9.453000000000003</v>
      </c>
      <c r="AH26" s="18">
        <f>AH21-AH20-AH19+FC!AH10</f>
        <v>2.3920000000000012</v>
      </c>
      <c r="AI26" s="18">
        <f>AI21-AI20-AI19+FC!AI10</f>
        <v>11.84800000000001</v>
      </c>
      <c r="AJ26" s="18">
        <f>AJ21-AJ20-AJ19+FC!AJ10</f>
        <v>11.09</v>
      </c>
      <c r="AK26" s="18">
        <f>AK21-AK20-AK19+FC!AK10</f>
        <v>16.346000000000018</v>
      </c>
      <c r="AL26" s="18">
        <f>AL21-AL20-AL19+FC!AL10</f>
        <v>24.940000000000019</v>
      </c>
      <c r="AM26" s="18">
        <f>AM21-AM20-AM19+FC!AM10</f>
        <v>16.59500000000001</v>
      </c>
      <c r="AN26" s="18">
        <f>AN21-AN20-AN19+FC!AN10</f>
        <v>11.205000000000009</v>
      </c>
      <c r="AO26" s="18">
        <f>AO21-AO20-AO19+FC!AO10</f>
        <v>11.883999999999997</v>
      </c>
      <c r="AP26" s="18">
        <f>AP21-AP20-AP19+FC!AP10</f>
        <v>12.154999999999994</v>
      </c>
      <c r="AQ26" s="18">
        <f>AQ21-AQ20-AQ19+FC!AQ10</f>
        <v>18.871999999999979</v>
      </c>
      <c r="AR26" s="18">
        <f>AR21-AR20-AR19+FC!AR10</f>
        <v>21.212999999999994</v>
      </c>
      <c r="AS26" s="18">
        <f>AS21-AS20-AS19+FC!AS10</f>
        <v>22.77300000000001</v>
      </c>
      <c r="AT26" s="18">
        <f>AT21-AT20-AT19+FC!AT10</f>
        <v>16.098000000000013</v>
      </c>
      <c r="AU26" s="18">
        <f>AU21-AU20-AU19+FC!AU10</f>
        <v>1.223999999999992</v>
      </c>
      <c r="AV26" s="18">
        <f>AV21-AV20-AV19+FC!AV10</f>
        <v>19.047000000000008</v>
      </c>
      <c r="AW26" s="18">
        <f>AW21-AW20-AW19+FC!AW10</f>
        <v>1.0730000000000079</v>
      </c>
      <c r="AX26" s="18">
        <f>AX21-AX20-AX19+FC!AX10+FC!AX12</f>
        <v>-8.0660000000000025</v>
      </c>
      <c r="AY26" s="18">
        <f>AY21-AY20-AY19+FC!AY10+FC!AY12</f>
        <v>-19.632999999999999</v>
      </c>
      <c r="AZ26" s="18">
        <f>AZ21-AZ20-AZ19+FC!AZ10+FC!AZ12</f>
        <v>-1.3149150881075009</v>
      </c>
      <c r="BA26" s="18">
        <f>BA21-BA20-BA19+FC!BA10+FC!BA12</f>
        <v>7.008570189038176</v>
      </c>
      <c r="BB26" s="18">
        <f>BB21-BB20-BB19+FC!BB10+FC!BB12</f>
        <v>-5.0540801109203999</v>
      </c>
      <c r="BC26" s="18">
        <f>BC21-BC20-BC19+FC!BC10</f>
        <v>-15.504023291786803</v>
      </c>
      <c r="BD26" s="18">
        <v>-5.6310000000000002</v>
      </c>
      <c r="BE26" s="18">
        <v>-35.945</v>
      </c>
      <c r="BF26" s="18">
        <v>-12.247999999999999</v>
      </c>
      <c r="BG26" s="18">
        <v>-12.044</v>
      </c>
      <c r="BH26" s="18">
        <v>-21.212</v>
      </c>
      <c r="BI26" s="18">
        <v>-8.5701681975352617</v>
      </c>
      <c r="BJ26" s="18">
        <v>19.196819624300701</v>
      </c>
    </row>
    <row r="27" spans="1:62" s="23" customFormat="1" ht="12.75">
      <c r="A27" s="52" t="s">
        <v>128</v>
      </c>
      <c r="B27" s="135">
        <f t="shared" ref="B27:AA27" si="142">B26/B6</f>
        <v>0.16709865163880516</v>
      </c>
      <c r="C27" s="136">
        <f t="shared" si="142"/>
        <v>0.17675488058945116</v>
      </c>
      <c r="D27" s="136">
        <f t="shared" si="142"/>
        <v>7.4268669902099261E-3</v>
      </c>
      <c r="E27" s="136">
        <f t="shared" ref="E27" si="143">E26/E6</f>
        <v>1.4327052471565436E-2</v>
      </c>
      <c r="F27" s="136">
        <f t="shared" ref="F27:K27" si="144">F26/F6</f>
        <v>-4.7167875615968954E-2</v>
      </c>
      <c r="G27" s="136">
        <f t="shared" si="144"/>
        <v>7.5639906421115913E-2</v>
      </c>
      <c r="H27" s="136">
        <f t="shared" si="144"/>
        <v>8.1549212951161867E-2</v>
      </c>
      <c r="I27" s="136">
        <f t="shared" si="144"/>
        <v>0.11489290008347436</v>
      </c>
      <c r="J27" s="136">
        <f t="shared" si="144"/>
        <v>6.2571964778411177E-2</v>
      </c>
      <c r="K27" s="136">
        <f t="shared" si="144"/>
        <v>-5.5896203650550931E-2</v>
      </c>
      <c r="L27" s="136">
        <f t="shared" ref="L27" si="145">L26/L6</f>
        <v>-1.5535979055565572</v>
      </c>
      <c r="M27" s="150">
        <f t="shared" ref="M27" si="146">M26/M6</f>
        <v>-1.7267816764247714</v>
      </c>
      <c r="N27" s="55">
        <f t="shared" si="142"/>
        <v>0.1719120919242311</v>
      </c>
      <c r="O27" s="54">
        <f t="shared" si="142"/>
        <v>0.15862070075263882</v>
      </c>
      <c r="P27" s="54">
        <f t="shared" si="142"/>
        <v>2.0395913851116852E-2</v>
      </c>
      <c r="Q27" s="54">
        <f t="shared" si="142"/>
        <v>0.24625948698543867</v>
      </c>
      <c r="R27" s="54">
        <f t="shared" si="142"/>
        <v>8.2417264501158827E-2</v>
      </c>
      <c r="S27" s="54">
        <f t="shared" si="142"/>
        <v>0.1579507225976374</v>
      </c>
      <c r="T27" s="54">
        <f t="shared" si="142"/>
        <v>0.18900986935768538</v>
      </c>
      <c r="U27" s="54">
        <f t="shared" si="142"/>
        <v>0.21918799812814166</v>
      </c>
      <c r="V27" s="54">
        <f t="shared" si="142"/>
        <v>7.6126051096345487E-2</v>
      </c>
      <c r="W27" s="54">
        <f t="shared" si="142"/>
        <v>0.13194052111871102</v>
      </c>
      <c r="X27" s="54">
        <f t="shared" si="142"/>
        <v>0.1643851187109899</v>
      </c>
      <c r="Y27" s="54">
        <f t="shared" si="142"/>
        <v>-0.19551067462502228</v>
      </c>
      <c r="Z27" s="54">
        <f t="shared" si="142"/>
        <v>-0.21326295666384784</v>
      </c>
      <c r="AA27" s="54">
        <f t="shared" si="142"/>
        <v>0.14781745159695997</v>
      </c>
      <c r="AB27" s="54">
        <f t="shared" ref="AB27" si="147">AB26/AB6</f>
        <v>-2.2037543523371811E-2</v>
      </c>
      <c r="AC27" s="54">
        <f t="shared" ref="AC27" si="148">AC26/AC6</f>
        <v>9.8283632235811151E-3</v>
      </c>
      <c r="AD27" s="68">
        <f t="shared" ref="AD27:AJ27" si="149">AD26/AD6</f>
        <v>-0.23505057223290837</v>
      </c>
      <c r="AE27" s="68">
        <f t="shared" si="149"/>
        <v>1.9034844211959754E-2</v>
      </c>
      <c r="AF27" s="68">
        <f t="shared" si="149"/>
        <v>3.627774133815765E-2</v>
      </c>
      <c r="AG27" s="68">
        <f t="shared" si="149"/>
        <v>-9.6398373916242508E-2</v>
      </c>
      <c r="AH27" s="68">
        <f t="shared" si="149"/>
        <v>1.8137434810117401E-2</v>
      </c>
      <c r="AI27" s="68">
        <f t="shared" si="149"/>
        <v>0.11429944327333603</v>
      </c>
      <c r="AJ27" s="68">
        <f t="shared" si="149"/>
        <v>0.12891382437880236</v>
      </c>
      <c r="AK27" s="68">
        <f t="shared" ref="AK27:AL27" si="150">AK26/AK6</f>
        <v>7.125139356001324E-2</v>
      </c>
      <c r="AL27" s="68">
        <f t="shared" si="150"/>
        <v>7.4673341557181749E-2</v>
      </c>
      <c r="AM27" s="68">
        <f t="shared" ref="AM27:AN27" si="151">AM26/AM6</f>
        <v>7.4238933500346757E-2</v>
      </c>
      <c r="AN27" s="68">
        <f t="shared" si="151"/>
        <v>0.1115069610994458</v>
      </c>
      <c r="AO27" s="68">
        <f t="shared" ref="AO27:AP27" si="152">AO26/AO6</f>
        <v>8.839368064026655E-2</v>
      </c>
      <c r="AP27" s="68">
        <f t="shared" si="152"/>
        <v>8.8389071896565474E-2</v>
      </c>
      <c r="AQ27" s="68">
        <f t="shared" ref="AQ27:AV27" si="153">AQ26/AQ6</f>
        <v>0.11042198141690253</v>
      </c>
      <c r="AR27" s="68">
        <f t="shared" si="153"/>
        <v>0.15917788483184003</v>
      </c>
      <c r="AS27" s="68">
        <f t="shared" si="153"/>
        <v>0.10782466241169679</v>
      </c>
      <c r="AT27" s="68">
        <f t="shared" si="153"/>
        <v>8.2831224562252115E-2</v>
      </c>
      <c r="AU27" s="68">
        <f t="shared" si="153"/>
        <v>1.7071605902535522E-2</v>
      </c>
      <c r="AV27" s="68">
        <f t="shared" si="153"/>
        <v>0.17533991843798624</v>
      </c>
      <c r="AW27" s="68">
        <f t="shared" ref="AW27:AX27" si="154">AW26/AW6</f>
        <v>4.7964096214278716E-3</v>
      </c>
      <c r="AX27" s="68">
        <f t="shared" si="154"/>
        <v>-6.6880037146363328E-2</v>
      </c>
      <c r="AY27" s="68">
        <f t="shared" ref="AY27:AZ27" si="155">AY26/AY6</f>
        <v>-0.14826870067590528</v>
      </c>
      <c r="AZ27" s="68">
        <f t="shared" si="155"/>
        <v>-2.4077402184638937E-2</v>
      </c>
      <c r="BA27" s="68">
        <f t="shared" ref="BA27:BB27" si="156">BA26/BA6</f>
        <v>8.1435346072507048E-2</v>
      </c>
      <c r="BB27" s="68">
        <f t="shared" si="156"/>
        <v>-0.15554365897025205</v>
      </c>
      <c r="BC27" s="68">
        <f>BC26/BC6</f>
        <v>-5.8572056259111465</v>
      </c>
      <c r="BD27" s="68">
        <f t="shared" ref="BD27" si="157">BD26/BD6</f>
        <v>-2.0583519116560449</v>
      </c>
      <c r="BE27" s="68">
        <f>BE26/BE$6</f>
        <v>-16.97119924457035</v>
      </c>
      <c r="BF27" s="68">
        <f>BF26/BF$6</f>
        <v>-4.553159851301114</v>
      </c>
      <c r="BG27" s="68">
        <f>BG26/BG$6</f>
        <v>-7.666454487587524</v>
      </c>
      <c r="BH27" s="68">
        <f>BH26/BH$6</f>
        <v>-3.8000716589036188</v>
      </c>
      <c r="BI27" s="68">
        <f>BI26/BI$6</f>
        <v>-0.39914416700859345</v>
      </c>
      <c r="BJ27" s="68">
        <f>BJ26/BJ$6</f>
        <v>0.10776677889161868</v>
      </c>
    </row>
    <row r="28" spans="1:62" ht="12.75" customHeight="1">
      <c r="A28" s="45" t="s">
        <v>190</v>
      </c>
      <c r="B28" s="84">
        <f>B26</f>
        <v>95.109113474001774</v>
      </c>
      <c r="C28" s="18">
        <f t="shared" ref="C28:AW28" si="158">C26</f>
        <v>107.78954513943603</v>
      </c>
      <c r="D28" s="18">
        <f t="shared" si="158"/>
        <v>5.1560000000000059</v>
      </c>
      <c r="E28" s="18">
        <f t="shared" si="158"/>
        <v>7.898841703296581</v>
      </c>
      <c r="F28" s="18">
        <f t="shared" si="158"/>
        <v>-26.081000000000003</v>
      </c>
      <c r="G28" s="18">
        <f t="shared" si="158"/>
        <v>41.67600000000003</v>
      </c>
      <c r="H28" s="18">
        <f t="shared" si="158"/>
        <v>64.624000000000024</v>
      </c>
      <c r="I28" s="18">
        <f t="shared" si="158"/>
        <v>75.012999999999991</v>
      </c>
      <c r="J28" s="18">
        <f t="shared" si="158"/>
        <v>37.442000000000021</v>
      </c>
      <c r="K28" s="18">
        <v>-5.877462549308639</v>
      </c>
      <c r="L28" s="18">
        <f>SUM(BB28:BE28)</f>
        <v>-45.501369352707201</v>
      </c>
      <c r="M28" s="148">
        <f>SUM(BF28:BI28)</f>
        <v>-26.148849895667603</v>
      </c>
      <c r="N28" s="48">
        <f t="shared" si="158"/>
        <v>27.770000000000003</v>
      </c>
      <c r="O28" s="18">
        <f t="shared" si="158"/>
        <v>21.34193612361123</v>
      </c>
      <c r="P28" s="18">
        <f t="shared" si="158"/>
        <v>1.9194033802076027</v>
      </c>
      <c r="Q28" s="18">
        <f t="shared" si="158"/>
        <v>44.077773970182932</v>
      </c>
      <c r="R28" s="18">
        <f t="shared" si="158"/>
        <v>6.7640000000000011</v>
      </c>
      <c r="S28" s="18">
        <f t="shared" si="158"/>
        <v>29.112082066101809</v>
      </c>
      <c r="T28" s="18">
        <f t="shared" si="158"/>
        <v>21.077116059805469</v>
      </c>
      <c r="U28" s="18">
        <f t="shared" si="158"/>
        <v>50.836347013528751</v>
      </c>
      <c r="V28" s="18">
        <f t="shared" si="158"/>
        <v>8.0948251080844873</v>
      </c>
      <c r="W28" s="18">
        <f t="shared" si="158"/>
        <v>25.165174891915516</v>
      </c>
      <c r="X28" s="18">
        <f t="shared" si="158"/>
        <v>22.630999999999997</v>
      </c>
      <c r="Y28" s="18">
        <f t="shared" si="158"/>
        <v>-50.734999999999992</v>
      </c>
      <c r="Z28" s="18">
        <f t="shared" si="158"/>
        <v>-12.596999999999998</v>
      </c>
      <c r="AA28" s="18">
        <f t="shared" si="158"/>
        <v>21.108000000000001</v>
      </c>
      <c r="AB28" s="18">
        <f t="shared" si="158"/>
        <v>-2.7986208861889241</v>
      </c>
      <c r="AC28" s="18">
        <f t="shared" si="158"/>
        <v>2.186462589485501</v>
      </c>
      <c r="AD28" s="18">
        <f t="shared" si="158"/>
        <v>-25.395</v>
      </c>
      <c r="AE28" s="18">
        <f t="shared" si="158"/>
        <v>4.211999999999998</v>
      </c>
      <c r="AF28" s="18">
        <f t="shared" si="158"/>
        <v>4.5549999999999997</v>
      </c>
      <c r="AG28" s="18">
        <f t="shared" si="158"/>
        <v>-9.453000000000003</v>
      </c>
      <c r="AH28" s="18">
        <f t="shared" si="158"/>
        <v>2.3920000000000012</v>
      </c>
      <c r="AI28" s="18">
        <f t="shared" si="158"/>
        <v>11.84800000000001</v>
      </c>
      <c r="AJ28" s="18">
        <f t="shared" si="158"/>
        <v>11.09</v>
      </c>
      <c r="AK28" s="18">
        <f t="shared" si="158"/>
        <v>16.346000000000018</v>
      </c>
      <c r="AL28" s="18">
        <f t="shared" si="158"/>
        <v>24.940000000000019</v>
      </c>
      <c r="AM28" s="18">
        <f t="shared" si="158"/>
        <v>16.59500000000001</v>
      </c>
      <c r="AN28" s="18">
        <f t="shared" si="158"/>
        <v>11.205000000000009</v>
      </c>
      <c r="AO28" s="18">
        <f t="shared" si="158"/>
        <v>11.883999999999997</v>
      </c>
      <c r="AP28" s="18">
        <f t="shared" si="158"/>
        <v>12.154999999999994</v>
      </c>
      <c r="AQ28" s="18">
        <f t="shared" si="158"/>
        <v>18.871999999999979</v>
      </c>
      <c r="AR28" s="18">
        <f t="shared" si="158"/>
        <v>21.212999999999994</v>
      </c>
      <c r="AS28" s="18">
        <f t="shared" si="158"/>
        <v>22.77300000000001</v>
      </c>
      <c r="AT28" s="18">
        <f t="shared" si="158"/>
        <v>16.098000000000013</v>
      </c>
      <c r="AU28" s="18">
        <f t="shared" si="158"/>
        <v>1.223999999999992</v>
      </c>
      <c r="AV28" s="18">
        <f t="shared" si="158"/>
        <v>19.047000000000008</v>
      </c>
      <c r="AW28" s="18">
        <f t="shared" si="158"/>
        <v>1.0730000000000079</v>
      </c>
      <c r="AX28" s="18">
        <v>8.5912340137945389</v>
      </c>
      <c r="AY28" s="18">
        <v>-18.733294536549739</v>
      </c>
      <c r="AZ28" s="18">
        <v>1.641065027695999</v>
      </c>
      <c r="BA28" s="18">
        <v>2.6235329457505623</v>
      </c>
      <c r="BB28" s="18">
        <v>-5.0540000000000003</v>
      </c>
      <c r="BC28" s="18">
        <v>-12.205000000000002</v>
      </c>
      <c r="BD28" s="18">
        <v>-17.920369352707201</v>
      </c>
      <c r="BE28" s="18">
        <v>-10.321999999999999</v>
      </c>
      <c r="BF28" s="18">
        <v>-12.090999999999999</v>
      </c>
      <c r="BG28" s="18">
        <v>-9.6880000000000006</v>
      </c>
      <c r="BH28" s="18">
        <v>-7.4279999999999999</v>
      </c>
      <c r="BI28" s="18">
        <v>3.0581501043324</v>
      </c>
      <c r="BJ28" s="18">
        <v>21.910675155381238</v>
      </c>
    </row>
    <row r="29" spans="1:62" s="14" customFormat="1" ht="15.75" customHeight="1" thickBot="1">
      <c r="A29" s="46" t="s">
        <v>191</v>
      </c>
      <c r="B29" s="138">
        <f t="shared" ref="B29:BE29" si="159">B28/B$6</f>
        <v>0.16709865163880516</v>
      </c>
      <c r="C29" s="139">
        <f t="shared" si="159"/>
        <v>0.17675488058945116</v>
      </c>
      <c r="D29" s="139">
        <f t="shared" si="159"/>
        <v>7.4268669902099261E-3</v>
      </c>
      <c r="E29" s="139">
        <f t="shared" si="159"/>
        <v>1.4327052471565436E-2</v>
      </c>
      <c r="F29" s="139">
        <f t="shared" si="159"/>
        <v>-4.7167875615968954E-2</v>
      </c>
      <c r="G29" s="139">
        <f t="shared" si="159"/>
        <v>7.5639906421115913E-2</v>
      </c>
      <c r="H29" s="139">
        <f t="shared" si="159"/>
        <v>8.1549212951161867E-2</v>
      </c>
      <c r="I29" s="139">
        <f t="shared" si="159"/>
        <v>0.11489290008347436</v>
      </c>
      <c r="J29" s="139">
        <f t="shared" si="159"/>
        <v>6.2571964778411177E-2</v>
      </c>
      <c r="K29" s="139">
        <f t="shared" si="159"/>
        <v>-1.4929012251415156E-2</v>
      </c>
      <c r="L29" s="139">
        <f t="shared" si="159"/>
        <v>-1.137713884244143</v>
      </c>
      <c r="M29" s="153">
        <f t="shared" ref="M29" si="160">M28/M$6</f>
        <v>-0.83502634186573998</v>
      </c>
      <c r="N29" s="140">
        <f t="shared" si="159"/>
        <v>0.1719120919242311</v>
      </c>
      <c r="O29" s="141">
        <f t="shared" si="159"/>
        <v>0.15862070075263882</v>
      </c>
      <c r="P29" s="141">
        <f t="shared" si="159"/>
        <v>2.0395913851116852E-2</v>
      </c>
      <c r="Q29" s="141">
        <f t="shared" si="159"/>
        <v>0.24625948698543867</v>
      </c>
      <c r="R29" s="141">
        <f t="shared" si="159"/>
        <v>8.2417264501158827E-2</v>
      </c>
      <c r="S29" s="141">
        <f t="shared" si="159"/>
        <v>0.1579507225976374</v>
      </c>
      <c r="T29" s="141">
        <f t="shared" si="159"/>
        <v>0.18900986935768538</v>
      </c>
      <c r="U29" s="141">
        <f t="shared" si="159"/>
        <v>0.21918799812814166</v>
      </c>
      <c r="V29" s="141">
        <f t="shared" si="159"/>
        <v>7.6126051096345487E-2</v>
      </c>
      <c r="W29" s="141">
        <f t="shared" si="159"/>
        <v>0.13194052111871102</v>
      </c>
      <c r="X29" s="141">
        <f t="shared" si="159"/>
        <v>0.1643851187109899</v>
      </c>
      <c r="Y29" s="141">
        <f t="shared" si="159"/>
        <v>-0.19551067462502228</v>
      </c>
      <c r="Z29" s="141">
        <f t="shared" si="159"/>
        <v>-0.21326295666384784</v>
      </c>
      <c r="AA29" s="141">
        <f t="shared" si="159"/>
        <v>0.14781745159695997</v>
      </c>
      <c r="AB29" s="141">
        <f t="shared" si="159"/>
        <v>-2.2037543523371811E-2</v>
      </c>
      <c r="AC29" s="141">
        <f t="shared" si="159"/>
        <v>9.8283632235811151E-3</v>
      </c>
      <c r="AD29" s="141">
        <f t="shared" si="159"/>
        <v>-0.23505057223290837</v>
      </c>
      <c r="AE29" s="141">
        <f t="shared" si="159"/>
        <v>1.9034844211959754E-2</v>
      </c>
      <c r="AF29" s="141">
        <f t="shared" si="159"/>
        <v>3.627774133815765E-2</v>
      </c>
      <c r="AG29" s="141">
        <f t="shared" si="159"/>
        <v>-9.6398373916242508E-2</v>
      </c>
      <c r="AH29" s="141">
        <f t="shared" si="159"/>
        <v>1.8137434810117401E-2</v>
      </c>
      <c r="AI29" s="141">
        <f t="shared" si="159"/>
        <v>0.11429944327333603</v>
      </c>
      <c r="AJ29" s="141">
        <f t="shared" si="159"/>
        <v>0.12891382437880236</v>
      </c>
      <c r="AK29" s="141">
        <f t="shared" si="159"/>
        <v>7.125139356001324E-2</v>
      </c>
      <c r="AL29" s="141">
        <f t="shared" si="159"/>
        <v>7.4673341557181749E-2</v>
      </c>
      <c r="AM29" s="141">
        <f t="shared" si="159"/>
        <v>7.4238933500346757E-2</v>
      </c>
      <c r="AN29" s="141">
        <f t="shared" si="159"/>
        <v>0.1115069610994458</v>
      </c>
      <c r="AO29" s="141">
        <f t="shared" si="159"/>
        <v>8.839368064026655E-2</v>
      </c>
      <c r="AP29" s="141">
        <f t="shared" si="159"/>
        <v>8.8389071896565474E-2</v>
      </c>
      <c r="AQ29" s="141">
        <f t="shared" si="159"/>
        <v>0.11042198141690253</v>
      </c>
      <c r="AR29" s="141">
        <f t="shared" si="159"/>
        <v>0.15917788483184003</v>
      </c>
      <c r="AS29" s="141">
        <f t="shared" si="159"/>
        <v>0.10782466241169679</v>
      </c>
      <c r="AT29" s="141">
        <f t="shared" si="159"/>
        <v>8.2831224562252115E-2</v>
      </c>
      <c r="AU29" s="141">
        <f t="shared" si="159"/>
        <v>1.7071605902535522E-2</v>
      </c>
      <c r="AV29" s="141">
        <f t="shared" si="159"/>
        <v>0.17533991843798624</v>
      </c>
      <c r="AW29" s="141">
        <f t="shared" si="159"/>
        <v>4.7964096214278716E-3</v>
      </c>
      <c r="AX29" s="141">
        <f t="shared" si="159"/>
        <v>7.1235066944666331E-2</v>
      </c>
      <c r="AY29" s="141">
        <f t="shared" si="159"/>
        <v>-0.14147411197031859</v>
      </c>
      <c r="AZ29" s="141">
        <f t="shared" si="159"/>
        <v>3.0049531745696918E-2</v>
      </c>
      <c r="BA29" s="141">
        <f t="shared" si="159"/>
        <v>3.0483865839565919E-2</v>
      </c>
      <c r="BB29" s="141">
        <f t="shared" si="159"/>
        <v>-0.15554119348782813</v>
      </c>
      <c r="BC29" s="141">
        <f t="shared" si="159"/>
        <v>-4.6108802417831516</v>
      </c>
      <c r="BD29" s="141">
        <f t="shared" si="159"/>
        <v>-6.5505996296798559</v>
      </c>
      <c r="BE29" s="141">
        <f t="shared" si="159"/>
        <v>-4.8734655335221904</v>
      </c>
      <c r="BF29" s="141">
        <f t="shared" ref="BF29:BH29" si="161">BF28/BF$6</f>
        <v>-4.494795539033456</v>
      </c>
      <c r="BG29" s="141">
        <f t="shared" si="161"/>
        <v>-6.1667727562062389</v>
      </c>
      <c r="BH29" s="141">
        <f t="shared" si="161"/>
        <v>-1.3307058402006449</v>
      </c>
      <c r="BI29" s="167">
        <f t="shared" ref="BI29:BJ29" si="162">BI28/BI$6</f>
        <v>0.14242926717961613</v>
      </c>
      <c r="BJ29" s="167">
        <f t="shared" si="162"/>
        <v>0.12300177482769194</v>
      </c>
    </row>
    <row r="30" spans="1:62" ht="3" customHeight="1">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row>
    <row r="31" spans="1:62" ht="3" customHeight="1">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row>
  </sheetData>
  <mergeCells count="2">
    <mergeCell ref="B3:M3"/>
    <mergeCell ref="B4:M4"/>
  </mergeCells>
  <phoneticPr fontId="127" type="noConversion"/>
  <pageMargins left="0.511811024" right="0.511811024" top="0.78740157499999996" bottom="0.78740157499999996" header="0.31496062000000002" footer="0.31496062000000002"/>
  <pageSetup paperSize="9" orientation="portrait" r:id="rId1"/>
  <ignoredErrors>
    <ignoredError sqref="N7:U7 B8:D11 B16:D16 B13:D14 N8:AC14 N27:AC27 P15:AC22 E27 E8:E9 E13:E14 E10:E11" formulaRange="1"/>
    <ignoredError sqref="B15:D15 F15:K17" formula="1"/>
    <ignoredError sqref="N15:O22 E26 E15:E22"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J66"/>
  <sheetViews>
    <sheetView zoomScaleNormal="100" workbookViewId="0">
      <pane xSplit="1" ySplit="6" topLeftCell="AX46" activePane="bottomRight" state="frozen"/>
      <selection activeCell="E1" sqref="E1:E1048576"/>
      <selection pane="topRight" activeCell="E1" sqref="E1:E1048576"/>
      <selection pane="bottomLeft" activeCell="E1" sqref="E1:E1048576"/>
      <selection pane="bottomRight" activeCell="BJ65" sqref="BJ65"/>
    </sheetView>
  </sheetViews>
  <sheetFormatPr defaultColWidth="54.140625" defaultRowHeight="11.25"/>
  <cols>
    <col min="1" max="1" width="51.140625" style="6" customWidth="1"/>
    <col min="2" max="60" width="9.28515625" style="6" customWidth="1"/>
    <col min="61" max="62" width="9.140625" style="6" customWidth="1"/>
    <col min="63" max="16384" width="54.140625" style="6"/>
  </cols>
  <sheetData>
    <row r="2" spans="1:62" ht="12" thickBot="1"/>
    <row r="3" spans="1:62">
      <c r="B3" s="119"/>
      <c r="C3" s="120"/>
      <c r="D3" s="120"/>
      <c r="E3" s="120"/>
      <c r="F3" s="120"/>
      <c r="G3" s="120"/>
      <c r="H3" s="120"/>
      <c r="I3" s="120"/>
      <c r="J3" s="120"/>
      <c r="K3" s="120"/>
      <c r="L3" s="120"/>
      <c r="M3" s="129"/>
    </row>
    <row r="4" spans="1:62" s="14" customFormat="1" ht="13.5" customHeight="1">
      <c r="A4" s="15"/>
      <c r="B4" s="174" t="s">
        <v>115</v>
      </c>
      <c r="C4" s="175"/>
      <c r="D4" s="175"/>
      <c r="E4" s="175"/>
      <c r="F4" s="175"/>
      <c r="G4" s="175"/>
      <c r="H4" s="175"/>
      <c r="I4" s="175"/>
      <c r="J4" s="175"/>
      <c r="K4" s="175"/>
      <c r="L4" s="175"/>
      <c r="M4" s="176"/>
      <c r="N4" s="17"/>
      <c r="O4" s="17"/>
      <c r="P4" s="17"/>
      <c r="Q4" s="17"/>
      <c r="R4" s="17"/>
      <c r="S4" s="17"/>
    </row>
    <row r="5" spans="1:62" s="14" customFormat="1" ht="12.75" customHeight="1">
      <c r="A5" s="24" t="s">
        <v>20</v>
      </c>
      <c r="B5" s="174" t="s">
        <v>175</v>
      </c>
      <c r="C5" s="175"/>
      <c r="D5" s="175"/>
      <c r="E5" s="175"/>
      <c r="F5" s="175"/>
      <c r="G5" s="175"/>
      <c r="H5" s="175"/>
      <c r="I5" s="175"/>
      <c r="J5" s="175"/>
      <c r="K5" s="175"/>
      <c r="L5" s="175"/>
      <c r="M5" s="176"/>
      <c r="N5" s="17"/>
      <c r="O5" s="17"/>
      <c r="P5" s="17"/>
      <c r="Q5" s="17"/>
      <c r="R5" s="17"/>
      <c r="S5" s="17"/>
      <c r="T5" s="16"/>
      <c r="U5" s="16"/>
      <c r="V5" s="16"/>
      <c r="W5" s="16"/>
      <c r="X5" s="16"/>
      <c r="Y5" s="16"/>
      <c r="Z5" s="16"/>
      <c r="AA5" s="16"/>
      <c r="AB5" s="16"/>
      <c r="AC5" s="16"/>
      <c r="AD5" s="16"/>
      <c r="AE5" s="16"/>
      <c r="AF5" s="16"/>
      <c r="AN5" s="19"/>
      <c r="AO5" s="19"/>
    </row>
    <row r="6" spans="1:62" s="14" customFormat="1" ht="12" customHeight="1">
      <c r="A6" s="44" t="s">
        <v>114</v>
      </c>
      <c r="B6" s="81">
        <v>2010</v>
      </c>
      <c r="C6" s="80">
        <v>2011</v>
      </c>
      <c r="D6" s="80">
        <v>2012</v>
      </c>
      <c r="E6" s="80">
        <v>2013</v>
      </c>
      <c r="F6" s="80">
        <v>2014</v>
      </c>
      <c r="G6" s="80">
        <v>2015</v>
      </c>
      <c r="H6" s="80">
        <v>2016</v>
      </c>
      <c r="I6" s="80">
        <v>2017</v>
      </c>
      <c r="J6" s="80">
        <v>2018</v>
      </c>
      <c r="K6" s="80">
        <v>2019</v>
      </c>
      <c r="L6" s="80">
        <v>2020</v>
      </c>
      <c r="M6" s="103">
        <v>2021</v>
      </c>
      <c r="N6" s="47" t="s">
        <v>81</v>
      </c>
      <c r="O6" s="25" t="s">
        <v>82</v>
      </c>
      <c r="P6" s="25" t="s">
        <v>83</v>
      </c>
      <c r="Q6" s="25" t="s">
        <v>84</v>
      </c>
      <c r="R6" s="25" t="s">
        <v>85</v>
      </c>
      <c r="S6" s="25" t="s">
        <v>86</v>
      </c>
      <c r="T6" s="26" t="s">
        <v>87</v>
      </c>
      <c r="U6" s="26" t="s">
        <v>88</v>
      </c>
      <c r="V6" s="26" t="s">
        <v>89</v>
      </c>
      <c r="W6" s="26" t="s">
        <v>90</v>
      </c>
      <c r="X6" s="26" t="s">
        <v>91</v>
      </c>
      <c r="Y6" s="26" t="s">
        <v>92</v>
      </c>
      <c r="Z6" s="26" t="s">
        <v>127</v>
      </c>
      <c r="AA6" s="26" t="s">
        <v>129</v>
      </c>
      <c r="AB6" s="26" t="s">
        <v>135</v>
      </c>
      <c r="AC6" s="26" t="s">
        <v>136</v>
      </c>
      <c r="AD6" s="26" t="s">
        <v>142</v>
      </c>
      <c r="AE6" s="26" t="s">
        <v>143</v>
      </c>
      <c r="AF6" s="26" t="s">
        <v>144</v>
      </c>
      <c r="AG6" s="26" t="s">
        <v>145</v>
      </c>
      <c r="AH6" s="26" t="s">
        <v>147</v>
      </c>
      <c r="AI6" s="26" t="s">
        <v>148</v>
      </c>
      <c r="AJ6" s="26" t="s">
        <v>149</v>
      </c>
      <c r="AK6" s="26" t="s">
        <v>150</v>
      </c>
      <c r="AL6" s="26" t="s">
        <v>151</v>
      </c>
      <c r="AM6" s="26" t="s">
        <v>153</v>
      </c>
      <c r="AN6" s="26" t="s">
        <v>154</v>
      </c>
      <c r="AO6" s="26" t="s">
        <v>155</v>
      </c>
      <c r="AP6" s="26" t="s">
        <v>156</v>
      </c>
      <c r="AQ6" s="26" t="s">
        <v>157</v>
      </c>
      <c r="AR6" s="26" t="s">
        <v>158</v>
      </c>
      <c r="AS6" s="26" t="s">
        <v>159</v>
      </c>
      <c r="AT6" s="26" t="s">
        <v>163</v>
      </c>
      <c r="AU6" s="26" t="s">
        <v>164</v>
      </c>
      <c r="AV6" s="26" t="s">
        <v>165</v>
      </c>
      <c r="AW6" s="26" t="s">
        <v>167</v>
      </c>
      <c r="AX6" s="26" t="s">
        <v>168</v>
      </c>
      <c r="AY6" s="26" t="s">
        <v>172</v>
      </c>
      <c r="AZ6" s="26" t="s">
        <v>174</v>
      </c>
      <c r="BA6" s="26" t="s">
        <v>177</v>
      </c>
      <c r="BB6" s="26" t="s">
        <v>178</v>
      </c>
      <c r="BC6" s="26" t="s">
        <v>183</v>
      </c>
      <c r="BD6" s="26" t="s">
        <v>184</v>
      </c>
      <c r="BE6" s="26" t="s">
        <v>189</v>
      </c>
      <c r="BF6" s="26" t="s">
        <v>194</v>
      </c>
      <c r="BG6" s="26" t="s">
        <v>195</v>
      </c>
      <c r="BH6" s="123" t="s">
        <v>197</v>
      </c>
      <c r="BI6" s="123" t="s">
        <v>198</v>
      </c>
      <c r="BJ6" s="123" t="s">
        <v>202</v>
      </c>
    </row>
    <row r="7" spans="1:62" s="19" customFormat="1" ht="12.75">
      <c r="A7" s="45" t="s">
        <v>21</v>
      </c>
      <c r="B7" s="84">
        <f t="shared" ref="B7:M7" si="0">SUM(B8:B16)</f>
        <v>251.96399999999997</v>
      </c>
      <c r="C7" s="18">
        <f t="shared" si="0"/>
        <v>421.51099999999991</v>
      </c>
      <c r="D7" s="18">
        <f t="shared" si="0"/>
        <v>330.863</v>
      </c>
      <c r="E7" s="18">
        <f t="shared" si="0"/>
        <v>388.91400000000004</v>
      </c>
      <c r="F7" s="18">
        <f t="shared" si="0"/>
        <v>212.25800000000001</v>
      </c>
      <c r="G7" s="18">
        <f t="shared" si="0"/>
        <v>559.702</v>
      </c>
      <c r="H7" s="18">
        <f t="shared" si="0"/>
        <v>283.411</v>
      </c>
      <c r="I7" s="18">
        <f t="shared" si="0"/>
        <v>472.49800000000005</v>
      </c>
      <c r="J7" s="18">
        <f t="shared" si="0"/>
        <v>464.48599999999993</v>
      </c>
      <c r="K7" s="18">
        <f t="shared" si="0"/>
        <v>355.51400000000001</v>
      </c>
      <c r="L7" s="18">
        <f t="shared" si="0"/>
        <v>256.58100000000002</v>
      </c>
      <c r="M7" s="85">
        <f t="shared" si="0"/>
        <v>332.12099999999998</v>
      </c>
      <c r="N7" s="49">
        <f t="shared" ref="N7:Y7" si="1">SUM(N8:N16)</f>
        <v>227.29300000000001</v>
      </c>
      <c r="O7" s="18">
        <f t="shared" si="1"/>
        <v>159.34700000000001</v>
      </c>
      <c r="P7" s="18">
        <f t="shared" si="1"/>
        <v>192.07100000000003</v>
      </c>
      <c r="Q7" s="18">
        <f t="shared" si="1"/>
        <v>251.96399999999997</v>
      </c>
      <c r="R7" s="18">
        <f t="shared" si="1"/>
        <v>258.471</v>
      </c>
      <c r="S7" s="18">
        <f t="shared" si="1"/>
        <v>373.84000000000003</v>
      </c>
      <c r="T7" s="18">
        <f t="shared" si="1"/>
        <v>462.13400000000001</v>
      </c>
      <c r="U7" s="18">
        <f t="shared" si="1"/>
        <v>421.51099999999991</v>
      </c>
      <c r="V7" s="18">
        <f t="shared" si="1"/>
        <v>397.178</v>
      </c>
      <c r="W7" s="18">
        <f t="shared" si="1"/>
        <v>487.91800000000001</v>
      </c>
      <c r="X7" s="18">
        <f t="shared" si="1"/>
        <v>523.82100000000003</v>
      </c>
      <c r="Y7" s="18">
        <f t="shared" si="1"/>
        <v>330.863</v>
      </c>
      <c r="Z7" s="18">
        <f t="shared" ref="Z7:AA7" si="2">SUM(Z8:Z16)</f>
        <v>311.70899999999995</v>
      </c>
      <c r="AA7" s="18">
        <f t="shared" si="2"/>
        <v>421.86599999999999</v>
      </c>
      <c r="AB7" s="18">
        <f t="shared" ref="AB7" si="3">SUM(AB8:AB16)</f>
        <v>404.721</v>
      </c>
      <c r="AC7" s="18">
        <f t="shared" ref="AC7:AD7" si="4">SUM(AC8:AC16)</f>
        <v>388.91400000000004</v>
      </c>
      <c r="AD7" s="18">
        <f t="shared" si="4"/>
        <v>353.46100000000001</v>
      </c>
      <c r="AE7" s="18">
        <f t="shared" ref="AE7:AF7" si="5">SUM(AE8:AE16)</f>
        <v>254.52400000000003</v>
      </c>
      <c r="AF7" s="18">
        <f t="shared" si="5"/>
        <v>236.46799999999999</v>
      </c>
      <c r="AG7" s="18">
        <f t="shared" ref="AG7:AL7" si="6">SUM(AG8:AG16)</f>
        <v>212.25800000000001</v>
      </c>
      <c r="AH7" s="18">
        <f t="shared" si="6"/>
        <v>229.09099999999995</v>
      </c>
      <c r="AI7" s="18">
        <f t="shared" si="6"/>
        <v>261.238</v>
      </c>
      <c r="AJ7" s="18">
        <f t="shared" si="6"/>
        <v>378.41599999999994</v>
      </c>
      <c r="AK7" s="18">
        <f t="shared" si="6"/>
        <v>559.702</v>
      </c>
      <c r="AL7" s="18">
        <f t="shared" si="6"/>
        <v>387.238</v>
      </c>
      <c r="AM7" s="18">
        <f t="shared" ref="AM7" si="7">SUM(AM8:AM16)</f>
        <v>281.935</v>
      </c>
      <c r="AN7" s="18">
        <f t="shared" ref="AN7:AO7" si="8">SUM(AN8:AN16)</f>
        <v>282.43099999999998</v>
      </c>
      <c r="AO7" s="18">
        <f t="shared" si="8"/>
        <v>283.411</v>
      </c>
      <c r="AP7" s="18">
        <f t="shared" ref="AP7:AQ7" si="9">SUM(AP8:AP16)</f>
        <v>343.30099999999999</v>
      </c>
      <c r="AQ7" s="18">
        <f t="shared" si="9"/>
        <v>447.2059999999999</v>
      </c>
      <c r="AR7" s="18">
        <f t="shared" ref="AR7:AS7" si="10">SUM(AR8:AR16)</f>
        <v>464.94900000000001</v>
      </c>
      <c r="AS7" s="18">
        <f t="shared" si="10"/>
        <v>472.49800000000005</v>
      </c>
      <c r="AT7" s="18">
        <f t="shared" ref="AT7:AU7" si="11">SUM(AT8:AT16)</f>
        <v>477.76800000000009</v>
      </c>
      <c r="AU7" s="18">
        <f t="shared" si="11"/>
        <v>378.02100000000002</v>
      </c>
      <c r="AV7" s="18">
        <f t="shared" ref="AV7:AW7" si="12">SUM(AV8:AV16)</f>
        <v>408.44800000000004</v>
      </c>
      <c r="AW7" s="18">
        <f t="shared" si="12"/>
        <v>464.48599999999993</v>
      </c>
      <c r="AX7" s="18">
        <f t="shared" ref="AX7:BB7" si="13">SUM(AX8:AX16)</f>
        <v>429.74799999999999</v>
      </c>
      <c r="AY7" s="18">
        <f t="shared" si="13"/>
        <v>320.78199999999998</v>
      </c>
      <c r="AZ7" s="18">
        <f t="shared" si="13"/>
        <v>358.30199999999996</v>
      </c>
      <c r="BA7" s="18">
        <f t="shared" si="13"/>
        <v>355.51400000000001</v>
      </c>
      <c r="BB7" s="18">
        <f t="shared" si="13"/>
        <v>376.762</v>
      </c>
      <c r="BC7" s="18">
        <f t="shared" ref="BC7:BD7" si="14">SUM(BC8:BC16)</f>
        <v>354.52700000000004</v>
      </c>
      <c r="BD7" s="18">
        <f t="shared" si="14"/>
        <v>362.15699999999998</v>
      </c>
      <c r="BE7" s="18">
        <f t="shared" ref="BE7" si="15">SUM(BE8:BE16)</f>
        <v>256.58100000000002</v>
      </c>
      <c r="BF7" s="18">
        <f t="shared" ref="BF7:BH7" si="16">SUM(BF8:BF16)</f>
        <v>254.50600000000003</v>
      </c>
      <c r="BG7" s="18">
        <f t="shared" si="16"/>
        <v>293.06099999999998</v>
      </c>
      <c r="BH7" s="18">
        <f t="shared" si="16"/>
        <v>300.80700000000002</v>
      </c>
      <c r="BI7" s="18">
        <f>SUM(BI8:BI16)</f>
        <v>332.12099999999998</v>
      </c>
      <c r="BJ7" s="18">
        <f>SUM(BJ8:BJ16)</f>
        <v>364.471</v>
      </c>
    </row>
    <row r="8" spans="1:62" s="14" customFormat="1" ht="12.75">
      <c r="A8" s="46" t="s">
        <v>22</v>
      </c>
      <c r="B8" s="83">
        <f>Q8</f>
        <v>120.934</v>
      </c>
      <c r="C8" s="13">
        <f>U8</f>
        <v>263.27699999999999</v>
      </c>
      <c r="D8" s="13">
        <f>Y8</f>
        <v>149.571</v>
      </c>
      <c r="E8" s="13">
        <f>AC8</f>
        <v>148.309</v>
      </c>
      <c r="F8" s="13">
        <f>AG8</f>
        <v>73.305000000000007</v>
      </c>
      <c r="G8" s="13">
        <f t="shared" ref="G8:G10" si="17">AK8</f>
        <v>239.06</v>
      </c>
      <c r="H8" s="13">
        <f t="shared" ref="H8:H16" si="18">AO8</f>
        <v>123.14700000000001</v>
      </c>
      <c r="I8" s="13">
        <f t="shared" ref="I8:I16" si="19">AS8</f>
        <v>198.01499999999999</v>
      </c>
      <c r="J8" s="13">
        <f t="shared" ref="J8:J16" si="20">AW8</f>
        <v>196.95099999999999</v>
      </c>
      <c r="K8" s="13">
        <f t="shared" ref="K8:K16" si="21">BA8</f>
        <v>204.649</v>
      </c>
      <c r="L8" s="13">
        <f>BE8</f>
        <v>201.91399999999999</v>
      </c>
      <c r="M8" s="82">
        <f>BI8</f>
        <v>217.41</v>
      </c>
      <c r="N8" s="49">
        <v>78.632000000000005</v>
      </c>
      <c r="O8" s="13">
        <v>55.808999999999997</v>
      </c>
      <c r="P8" s="13">
        <v>63.279000000000003</v>
      </c>
      <c r="Q8" s="13">
        <v>120.934</v>
      </c>
      <c r="R8" s="13">
        <v>116.047</v>
      </c>
      <c r="S8" s="13">
        <v>254.697</v>
      </c>
      <c r="T8" s="13">
        <v>272.74299999999999</v>
      </c>
      <c r="U8" s="13">
        <v>263.27699999999999</v>
      </c>
      <c r="V8" s="13">
        <v>209.54900000000001</v>
      </c>
      <c r="W8" s="13">
        <v>213.27500000000001</v>
      </c>
      <c r="X8" s="13">
        <v>208.476</v>
      </c>
      <c r="Y8" s="13">
        <v>149.571</v>
      </c>
      <c r="Z8" s="13">
        <v>130.46899999999999</v>
      </c>
      <c r="AA8" s="13">
        <v>158.16399999999999</v>
      </c>
      <c r="AB8" s="13">
        <v>167.48599999999999</v>
      </c>
      <c r="AC8" s="13">
        <v>148.309</v>
      </c>
      <c r="AD8" s="13">
        <v>104.971</v>
      </c>
      <c r="AE8" s="13">
        <v>70.192999999999998</v>
      </c>
      <c r="AF8" s="13">
        <v>61.758000000000003</v>
      </c>
      <c r="AG8" s="13">
        <v>73.305000000000007</v>
      </c>
      <c r="AH8" s="13">
        <v>60.377000000000002</v>
      </c>
      <c r="AI8" s="13">
        <v>86.400999999999996</v>
      </c>
      <c r="AJ8" s="13">
        <v>141.30699999999999</v>
      </c>
      <c r="AK8" s="13">
        <v>239.06</v>
      </c>
      <c r="AL8" s="13">
        <v>170.773</v>
      </c>
      <c r="AM8" s="13">
        <v>121.095</v>
      </c>
      <c r="AN8" s="13">
        <v>112.989</v>
      </c>
      <c r="AO8" s="13">
        <v>123.14700000000001</v>
      </c>
      <c r="AP8" s="13">
        <v>122.336</v>
      </c>
      <c r="AQ8" s="13">
        <v>169.542</v>
      </c>
      <c r="AR8" s="13">
        <v>218.042</v>
      </c>
      <c r="AS8" s="13">
        <v>198.01499999999999</v>
      </c>
      <c r="AT8" s="13">
        <v>242.99100000000001</v>
      </c>
      <c r="AU8" s="13">
        <v>171.148</v>
      </c>
      <c r="AV8" s="13">
        <v>104.74</v>
      </c>
      <c r="AW8" s="13">
        <v>196.95099999999999</v>
      </c>
      <c r="AX8" s="13">
        <v>255.869</v>
      </c>
      <c r="AY8" s="13">
        <v>219.084</v>
      </c>
      <c r="AZ8" s="13">
        <v>230.982</v>
      </c>
      <c r="BA8" s="13">
        <v>204.649</v>
      </c>
      <c r="BB8" s="13">
        <v>217.506</v>
      </c>
      <c r="BC8" s="13">
        <v>212.93700000000001</v>
      </c>
      <c r="BD8" s="13">
        <v>206.745</v>
      </c>
      <c r="BE8" s="13">
        <v>201.91399999999999</v>
      </c>
      <c r="BF8" s="13">
        <v>204.96600000000001</v>
      </c>
      <c r="BG8" s="13">
        <v>194.40600000000001</v>
      </c>
      <c r="BH8" s="13">
        <v>200.70099999999999</v>
      </c>
      <c r="BI8" s="13">
        <f>217410/1000</f>
        <v>217.41</v>
      </c>
      <c r="BJ8" s="13">
        <f>181187/1000</f>
        <v>181.18700000000001</v>
      </c>
    </row>
    <row r="9" spans="1:62" s="14" customFormat="1" ht="12.75">
      <c r="A9" s="46" t="s">
        <v>161</v>
      </c>
      <c r="B9" s="83">
        <v>0</v>
      </c>
      <c r="C9" s="49">
        <v>0</v>
      </c>
      <c r="D9" s="49">
        <v>0</v>
      </c>
      <c r="E9" s="49">
        <v>0</v>
      </c>
      <c r="F9" s="49">
        <v>0</v>
      </c>
      <c r="G9" s="49">
        <f t="shared" si="17"/>
        <v>0.55300000000000005</v>
      </c>
      <c r="H9" s="49">
        <f t="shared" si="18"/>
        <v>14.314</v>
      </c>
      <c r="I9" s="49">
        <f t="shared" si="19"/>
        <v>0</v>
      </c>
      <c r="J9" s="49">
        <f t="shared" si="20"/>
        <v>5.0350000000000001</v>
      </c>
      <c r="K9" s="49">
        <f t="shared" si="21"/>
        <v>5.0010000000000003</v>
      </c>
      <c r="L9" s="13">
        <f t="shared" ref="L9:L16" si="22">BE9</f>
        <v>0</v>
      </c>
      <c r="M9" s="82">
        <f>BI9</f>
        <v>1.27</v>
      </c>
      <c r="N9" s="49">
        <v>0</v>
      </c>
      <c r="O9" s="49">
        <v>0</v>
      </c>
      <c r="P9" s="49">
        <v>0</v>
      </c>
      <c r="Q9" s="49">
        <v>0</v>
      </c>
      <c r="R9" s="49">
        <v>0</v>
      </c>
      <c r="S9" s="49">
        <v>0</v>
      </c>
      <c r="T9" s="49">
        <v>0</v>
      </c>
      <c r="U9" s="49">
        <v>0</v>
      </c>
      <c r="V9" s="49">
        <v>0</v>
      </c>
      <c r="W9" s="49">
        <v>0</v>
      </c>
      <c r="X9" s="49">
        <v>0</v>
      </c>
      <c r="Y9" s="49">
        <v>0</v>
      </c>
      <c r="Z9" s="49">
        <v>0</v>
      </c>
      <c r="AA9" s="49">
        <v>0</v>
      </c>
      <c r="AB9" s="49">
        <v>0</v>
      </c>
      <c r="AC9" s="49">
        <v>0</v>
      </c>
      <c r="AD9" s="49">
        <v>0</v>
      </c>
      <c r="AE9" s="49">
        <v>0</v>
      </c>
      <c r="AF9" s="49">
        <v>0</v>
      </c>
      <c r="AG9" s="49">
        <v>0</v>
      </c>
      <c r="AH9" s="49">
        <v>0</v>
      </c>
      <c r="AI9" s="49">
        <v>0</v>
      </c>
      <c r="AJ9" s="49">
        <v>0</v>
      </c>
      <c r="AK9" s="13">
        <v>0.55300000000000005</v>
      </c>
      <c r="AL9" s="13">
        <v>0</v>
      </c>
      <c r="AM9" s="13">
        <v>0</v>
      </c>
      <c r="AN9" s="13">
        <v>0</v>
      </c>
      <c r="AO9" s="13">
        <v>14.314</v>
      </c>
      <c r="AP9" s="13">
        <v>3.415</v>
      </c>
      <c r="AQ9" s="13">
        <v>6.5810000000000004</v>
      </c>
      <c r="AR9" s="13">
        <v>0</v>
      </c>
      <c r="AS9" s="13">
        <v>0</v>
      </c>
      <c r="AT9" s="13">
        <v>0</v>
      </c>
      <c r="AU9" s="13">
        <v>0.503</v>
      </c>
      <c r="AV9" s="13">
        <v>3.5000000000000003E-2</v>
      </c>
      <c r="AW9" s="13">
        <v>5.0350000000000001</v>
      </c>
      <c r="AX9" s="13">
        <v>5</v>
      </c>
      <c r="AY9" s="13">
        <v>5</v>
      </c>
      <c r="AZ9" s="13">
        <v>5</v>
      </c>
      <c r="BA9" s="13">
        <v>5.0010000000000003</v>
      </c>
      <c r="BB9" s="13">
        <v>5.0010000000000003</v>
      </c>
      <c r="BC9" s="13">
        <v>5.0010000000000003</v>
      </c>
      <c r="BD9" s="13">
        <v>5.0010000000000003</v>
      </c>
      <c r="BE9" s="13">
        <v>0</v>
      </c>
      <c r="BF9" s="13">
        <v>0</v>
      </c>
      <c r="BG9" s="13">
        <v>0</v>
      </c>
      <c r="BH9" s="13">
        <v>0</v>
      </c>
      <c r="BI9" s="13">
        <v>1.27</v>
      </c>
      <c r="BJ9" s="13">
        <f>1301/1000</f>
        <v>1.3009999999999999</v>
      </c>
    </row>
    <row r="10" spans="1:62" s="14" customFormat="1" ht="12.75">
      <c r="A10" s="46" t="s">
        <v>23</v>
      </c>
      <c r="B10" s="83">
        <f t="shared" ref="B10:B16" si="23">Q10</f>
        <v>6.5949999999999998</v>
      </c>
      <c r="C10" s="13">
        <f t="shared" ref="C10:C16" si="24">U10</f>
        <v>14.457000000000001</v>
      </c>
      <c r="D10" s="13">
        <f t="shared" ref="D10:D16" si="25">Y10</f>
        <v>13.715</v>
      </c>
      <c r="E10" s="13">
        <f t="shared" ref="E10:E16" si="26">AC10</f>
        <v>15.628</v>
      </c>
      <c r="F10" s="13">
        <f t="shared" ref="F10:F16" si="27">AG10</f>
        <v>23.143000000000001</v>
      </c>
      <c r="G10" s="13">
        <f t="shared" si="17"/>
        <v>13.172000000000001</v>
      </c>
      <c r="H10" s="13">
        <f t="shared" si="18"/>
        <v>5.7240000000000002</v>
      </c>
      <c r="I10" s="13">
        <f t="shared" si="19"/>
        <v>6.7729999999999997</v>
      </c>
      <c r="J10" s="13">
        <f t="shared" si="20"/>
        <v>4.1369999999999996</v>
      </c>
      <c r="K10" s="13">
        <f t="shared" si="21"/>
        <v>0</v>
      </c>
      <c r="L10" s="13">
        <f t="shared" si="22"/>
        <v>0</v>
      </c>
      <c r="M10" s="82">
        <f t="shared" ref="M10:M16" si="28">BI10</f>
        <v>6.5650000000000004</v>
      </c>
      <c r="N10" s="49">
        <v>1.089</v>
      </c>
      <c r="O10" s="13">
        <v>5.24</v>
      </c>
      <c r="P10" s="13">
        <v>3.92</v>
      </c>
      <c r="Q10" s="13">
        <v>6.5949999999999998</v>
      </c>
      <c r="R10" s="13">
        <v>4.2839999999999998</v>
      </c>
      <c r="S10" s="13">
        <v>8.0039999999999996</v>
      </c>
      <c r="T10" s="13">
        <v>14.298</v>
      </c>
      <c r="U10" s="13">
        <v>14.457000000000001</v>
      </c>
      <c r="V10" s="13">
        <v>8.1460000000000008</v>
      </c>
      <c r="W10" s="13">
        <v>6.5730000000000004</v>
      </c>
      <c r="X10" s="13">
        <v>6.4189999999999996</v>
      </c>
      <c r="Y10" s="13">
        <v>13.715</v>
      </c>
      <c r="Z10" s="13">
        <v>9.4269999999999996</v>
      </c>
      <c r="AA10" s="13">
        <v>8.4619999999999997</v>
      </c>
      <c r="AB10" s="13">
        <v>9.7460000000000004</v>
      </c>
      <c r="AC10" s="13">
        <v>15.628</v>
      </c>
      <c r="AD10" s="13">
        <v>13.324</v>
      </c>
      <c r="AE10" s="13">
        <v>13.295</v>
      </c>
      <c r="AF10" s="13">
        <v>7.1909999999999998</v>
      </c>
      <c r="AG10" s="13">
        <v>23.143000000000001</v>
      </c>
      <c r="AH10" s="13">
        <v>20.099</v>
      </c>
      <c r="AI10" s="13">
        <v>20.094000000000001</v>
      </c>
      <c r="AJ10" s="13">
        <v>11.994</v>
      </c>
      <c r="AK10" s="13">
        <v>13.172000000000001</v>
      </c>
      <c r="AL10" s="13">
        <v>11.906000000000001</v>
      </c>
      <c r="AM10" s="13">
        <v>6.2030000000000003</v>
      </c>
      <c r="AN10" s="13">
        <v>2.11</v>
      </c>
      <c r="AO10" s="13">
        <v>5.7240000000000002</v>
      </c>
      <c r="AP10" s="13">
        <v>4.3499999999999996</v>
      </c>
      <c r="AQ10" s="13">
        <v>3.3460000000000001</v>
      </c>
      <c r="AR10" s="13">
        <v>5.3369999999999997</v>
      </c>
      <c r="AS10" s="13">
        <v>6.7729999999999997</v>
      </c>
      <c r="AT10" s="13">
        <v>2.669</v>
      </c>
      <c r="AU10" s="13">
        <v>2.0030000000000001</v>
      </c>
      <c r="AV10" s="13">
        <v>10.782</v>
      </c>
      <c r="AW10" s="13">
        <v>4.1369999999999996</v>
      </c>
      <c r="AX10" s="13">
        <v>2.6760000000000002</v>
      </c>
      <c r="AY10" s="13">
        <v>2.5999999999999999E-2</v>
      </c>
      <c r="AZ10" s="13">
        <v>0</v>
      </c>
      <c r="BA10" s="13">
        <v>0</v>
      </c>
      <c r="BB10" s="13">
        <v>0</v>
      </c>
      <c r="BC10" s="13">
        <v>0</v>
      </c>
      <c r="BD10" s="13">
        <v>0</v>
      </c>
      <c r="BE10" s="13">
        <v>0</v>
      </c>
      <c r="BF10" s="13">
        <v>0</v>
      </c>
      <c r="BG10" s="13">
        <v>0</v>
      </c>
      <c r="BH10" s="13">
        <v>0</v>
      </c>
      <c r="BI10" s="13">
        <v>6.5650000000000004</v>
      </c>
      <c r="BJ10" s="13">
        <f>6679/1000</f>
        <v>6.6790000000000003</v>
      </c>
    </row>
    <row r="11" spans="1:62" s="14" customFormat="1" ht="12.75">
      <c r="A11" s="46" t="s">
        <v>24</v>
      </c>
      <c r="B11" s="83">
        <f t="shared" si="23"/>
        <v>66.096999999999994</v>
      </c>
      <c r="C11" s="13">
        <f t="shared" si="24"/>
        <v>62.54</v>
      </c>
      <c r="D11" s="13">
        <f t="shared" si="25"/>
        <v>107.563</v>
      </c>
      <c r="E11" s="13">
        <f t="shared" si="26"/>
        <v>94.983999999999995</v>
      </c>
      <c r="F11" s="13">
        <f t="shared" si="27"/>
        <v>54.65</v>
      </c>
      <c r="G11" s="13">
        <f t="shared" ref="G11:G16" si="29">AK11</f>
        <v>162.38900000000001</v>
      </c>
      <c r="H11" s="13">
        <f t="shared" si="18"/>
        <v>68.188000000000002</v>
      </c>
      <c r="I11" s="13">
        <f t="shared" si="19"/>
        <v>174.19300000000001</v>
      </c>
      <c r="J11" s="13">
        <f t="shared" si="20"/>
        <v>141.24299999999999</v>
      </c>
      <c r="K11" s="13">
        <f t="shared" si="21"/>
        <v>76.909000000000006</v>
      </c>
      <c r="L11" s="13">
        <f t="shared" si="22"/>
        <v>10.768000000000001</v>
      </c>
      <c r="M11" s="82">
        <f t="shared" si="28"/>
        <v>48.918999999999997</v>
      </c>
      <c r="N11" s="49">
        <v>58.774999999999999</v>
      </c>
      <c r="O11" s="13">
        <v>40.564</v>
      </c>
      <c r="P11" s="13">
        <v>50.454999999999998</v>
      </c>
      <c r="Q11" s="13">
        <v>66.096999999999994</v>
      </c>
      <c r="R11" s="13">
        <v>51.168999999999997</v>
      </c>
      <c r="S11" s="13">
        <v>69.774000000000001</v>
      </c>
      <c r="T11" s="13">
        <v>84.884</v>
      </c>
      <c r="U11" s="13">
        <v>62.54</v>
      </c>
      <c r="V11" s="13">
        <v>74.311000000000007</v>
      </c>
      <c r="W11" s="13">
        <v>125.19</v>
      </c>
      <c r="X11" s="13">
        <v>126.605</v>
      </c>
      <c r="Y11" s="13">
        <v>107.563</v>
      </c>
      <c r="Z11" s="13">
        <v>89.73</v>
      </c>
      <c r="AA11" s="13">
        <v>149.238</v>
      </c>
      <c r="AB11" s="13">
        <v>86.108000000000004</v>
      </c>
      <c r="AC11" s="13">
        <v>94.983999999999995</v>
      </c>
      <c r="AD11" s="13">
        <v>84.736999999999995</v>
      </c>
      <c r="AE11" s="13">
        <v>55.843000000000004</v>
      </c>
      <c r="AF11" s="13">
        <v>84.19</v>
      </c>
      <c r="AG11" s="13">
        <v>54.65</v>
      </c>
      <c r="AH11" s="13">
        <v>62.866999999999997</v>
      </c>
      <c r="AI11" s="13">
        <v>69.799000000000007</v>
      </c>
      <c r="AJ11" s="13">
        <v>111.875</v>
      </c>
      <c r="AK11" s="13">
        <v>162.38900000000001</v>
      </c>
      <c r="AL11" s="13">
        <v>92.409000000000006</v>
      </c>
      <c r="AM11" s="13">
        <v>68.664000000000001</v>
      </c>
      <c r="AN11" s="13">
        <v>74.572999999999993</v>
      </c>
      <c r="AO11" s="13">
        <v>68.188000000000002</v>
      </c>
      <c r="AP11" s="13">
        <v>90.852999999999994</v>
      </c>
      <c r="AQ11" s="13">
        <v>149.80699999999999</v>
      </c>
      <c r="AR11" s="13">
        <v>123.58199999999999</v>
      </c>
      <c r="AS11" s="13">
        <v>174.19300000000001</v>
      </c>
      <c r="AT11" s="13">
        <v>133.54400000000001</v>
      </c>
      <c r="AU11" s="13">
        <v>50.826000000000001</v>
      </c>
      <c r="AV11" s="13">
        <v>104.855</v>
      </c>
      <c r="AW11" s="13">
        <v>141.24299999999999</v>
      </c>
      <c r="AX11" s="13">
        <v>75.117000000000004</v>
      </c>
      <c r="AY11" s="13">
        <v>47.481000000000002</v>
      </c>
      <c r="AZ11" s="13">
        <v>74.438999999999993</v>
      </c>
      <c r="BA11" s="13">
        <v>76.909000000000006</v>
      </c>
      <c r="BB11" s="13">
        <v>49.58</v>
      </c>
      <c r="BC11" s="13">
        <v>33.741</v>
      </c>
      <c r="BD11" s="13">
        <v>31.288</v>
      </c>
      <c r="BE11" s="13">
        <v>10.768000000000001</v>
      </c>
      <c r="BF11" s="13">
        <v>0</v>
      </c>
      <c r="BG11" s="13">
        <v>28.145</v>
      </c>
      <c r="BH11" s="13">
        <v>34.53</v>
      </c>
      <c r="BI11" s="13">
        <f>48919/1000</f>
        <v>48.918999999999997</v>
      </c>
      <c r="BJ11" s="13">
        <f>93973/1000</f>
        <v>93.972999999999999</v>
      </c>
    </row>
    <row r="12" spans="1:62" s="14" customFormat="1" ht="12.75">
      <c r="A12" s="46" t="s">
        <v>25</v>
      </c>
      <c r="B12" s="83">
        <f t="shared" si="23"/>
        <v>1.258</v>
      </c>
      <c r="C12" s="13">
        <f t="shared" si="24"/>
        <v>2.3519999999999999</v>
      </c>
      <c r="D12" s="13">
        <f t="shared" si="25"/>
        <v>1.397</v>
      </c>
      <c r="E12" s="13">
        <f t="shared" si="26"/>
        <v>2.2109999999999999</v>
      </c>
      <c r="F12" s="13">
        <f t="shared" si="27"/>
        <v>0.68300000000000005</v>
      </c>
      <c r="G12" s="13">
        <f t="shared" si="29"/>
        <v>1.625</v>
      </c>
      <c r="H12" s="13">
        <f t="shared" si="18"/>
        <v>1.343</v>
      </c>
      <c r="I12" s="13">
        <f t="shared" si="19"/>
        <v>1.0189999999999999</v>
      </c>
      <c r="J12" s="13">
        <f t="shared" si="20"/>
        <v>1.5029999999999999</v>
      </c>
      <c r="K12" s="13">
        <f t="shared" si="21"/>
        <v>1.2230000000000001</v>
      </c>
      <c r="L12" s="13">
        <f t="shared" si="22"/>
        <v>0.86599999999999999</v>
      </c>
      <c r="M12" s="82">
        <f t="shared" si="28"/>
        <v>0.72699999999999998</v>
      </c>
      <c r="N12" s="49">
        <v>1.655</v>
      </c>
      <c r="O12" s="13">
        <v>1.3959999999999999</v>
      </c>
      <c r="P12" s="13">
        <v>1.179</v>
      </c>
      <c r="Q12" s="13">
        <v>1.258</v>
      </c>
      <c r="R12" s="13">
        <v>1.2809999999999999</v>
      </c>
      <c r="S12" s="13">
        <v>1.3320000000000001</v>
      </c>
      <c r="T12" s="13">
        <v>2.4140000000000001</v>
      </c>
      <c r="U12" s="13">
        <v>2.3519999999999999</v>
      </c>
      <c r="V12" s="13">
        <v>1.9570000000000001</v>
      </c>
      <c r="W12" s="13">
        <v>1.843</v>
      </c>
      <c r="X12" s="13">
        <v>1.675</v>
      </c>
      <c r="Y12" s="13">
        <v>1.397</v>
      </c>
      <c r="Z12" s="13">
        <v>2.036</v>
      </c>
      <c r="AA12" s="13">
        <v>1.6839999999999999</v>
      </c>
      <c r="AB12" s="13">
        <v>2.0209999999999999</v>
      </c>
      <c r="AC12" s="13">
        <v>2.2109999999999999</v>
      </c>
      <c r="AD12" s="13">
        <v>2.3759999999999999</v>
      </c>
      <c r="AE12" s="13">
        <v>2.6019999999999999</v>
      </c>
      <c r="AF12" s="13">
        <v>2.653</v>
      </c>
      <c r="AG12" s="13">
        <v>0.68300000000000005</v>
      </c>
      <c r="AH12" s="13">
        <v>2.0939999999999999</v>
      </c>
      <c r="AI12" s="13">
        <v>1.0209999999999999</v>
      </c>
      <c r="AJ12" s="13">
        <v>1.714</v>
      </c>
      <c r="AK12" s="13">
        <v>1.625</v>
      </c>
      <c r="AL12" s="13">
        <v>3.0920000000000001</v>
      </c>
      <c r="AM12" s="13">
        <v>2.302</v>
      </c>
      <c r="AN12" s="13">
        <v>2.0590000000000002</v>
      </c>
      <c r="AO12" s="13">
        <v>1.343</v>
      </c>
      <c r="AP12" s="13">
        <v>1.7549999999999999</v>
      </c>
      <c r="AQ12" s="13">
        <v>1.7170000000000001</v>
      </c>
      <c r="AR12" s="13">
        <v>1.0609999999999999</v>
      </c>
      <c r="AS12" s="13">
        <v>1.0189999999999999</v>
      </c>
      <c r="AT12" s="13">
        <v>0.93100000000000005</v>
      </c>
      <c r="AU12" s="13">
        <v>0.88600000000000001</v>
      </c>
      <c r="AV12" s="13">
        <v>1.4890000000000001</v>
      </c>
      <c r="AW12" s="13">
        <v>1.5029999999999999</v>
      </c>
      <c r="AX12" s="13">
        <v>1.3009999999999999</v>
      </c>
      <c r="AY12" s="13">
        <v>1.5660000000000001</v>
      </c>
      <c r="AZ12" s="13">
        <v>1.262</v>
      </c>
      <c r="BA12" s="13">
        <v>1.2230000000000001</v>
      </c>
      <c r="BB12" s="13">
        <v>1.0640000000000001</v>
      </c>
      <c r="BC12" s="13">
        <v>1.0369999999999999</v>
      </c>
      <c r="BD12" s="13">
        <v>1.0149999999999999</v>
      </c>
      <c r="BE12" s="13">
        <v>0.86599999999999999</v>
      </c>
      <c r="BF12" s="13">
        <v>0.91</v>
      </c>
      <c r="BG12" s="13">
        <v>0.84299999999999997</v>
      </c>
      <c r="BH12" s="13">
        <v>0.97899999999999998</v>
      </c>
      <c r="BI12" s="13">
        <f>727/1000</f>
        <v>0.72699999999999998</v>
      </c>
      <c r="BJ12" s="13">
        <f>8002/1000</f>
        <v>8.0020000000000007</v>
      </c>
    </row>
    <row r="13" spans="1:62" s="14" customFormat="1" ht="12.75">
      <c r="A13" s="46" t="s">
        <v>26</v>
      </c>
      <c r="B13" s="83">
        <f t="shared" si="23"/>
        <v>14.458</v>
      </c>
      <c r="C13" s="13">
        <f t="shared" si="24"/>
        <v>13.180999999999999</v>
      </c>
      <c r="D13" s="13">
        <f t="shared" si="25"/>
        <v>20.512</v>
      </c>
      <c r="E13" s="13">
        <f t="shared" si="26"/>
        <v>24.013999999999999</v>
      </c>
      <c r="F13" s="13">
        <f t="shared" si="27"/>
        <v>33.457999999999998</v>
      </c>
      <c r="G13" s="13">
        <f t="shared" si="29"/>
        <v>35.39</v>
      </c>
      <c r="H13" s="13">
        <f t="shared" si="18"/>
        <v>24.032</v>
      </c>
      <c r="I13" s="13">
        <f t="shared" si="19"/>
        <v>24.576000000000001</v>
      </c>
      <c r="J13" s="13">
        <f t="shared" si="20"/>
        <v>18.056999999999999</v>
      </c>
      <c r="K13" s="13">
        <f t="shared" si="21"/>
        <v>19.228000000000002</v>
      </c>
      <c r="L13" s="13">
        <f t="shared" si="22"/>
        <v>25.518000000000001</v>
      </c>
      <c r="M13" s="82">
        <f t="shared" si="28"/>
        <v>23.773</v>
      </c>
      <c r="N13" s="49">
        <v>14.85</v>
      </c>
      <c r="O13" s="13">
        <v>12.785</v>
      </c>
      <c r="P13" s="13">
        <v>14.496</v>
      </c>
      <c r="Q13" s="13">
        <v>14.458</v>
      </c>
      <c r="R13" s="13">
        <v>15.419</v>
      </c>
      <c r="S13" s="13">
        <v>10.269</v>
      </c>
      <c r="T13" s="13">
        <v>13.968</v>
      </c>
      <c r="U13" s="13">
        <v>13.180999999999999</v>
      </c>
      <c r="V13" s="13">
        <v>14.577</v>
      </c>
      <c r="W13" s="13">
        <v>13.272</v>
      </c>
      <c r="X13" s="13">
        <v>16.116</v>
      </c>
      <c r="Y13" s="13">
        <v>20.512</v>
      </c>
      <c r="Z13" s="13">
        <v>22</v>
      </c>
      <c r="AA13" s="13">
        <v>23.036000000000001</v>
      </c>
      <c r="AB13" s="13">
        <v>22.102</v>
      </c>
      <c r="AC13" s="13">
        <v>24.013999999999999</v>
      </c>
      <c r="AD13" s="13">
        <v>25.286999999999999</v>
      </c>
      <c r="AE13" s="13">
        <v>25.297000000000001</v>
      </c>
      <c r="AF13" s="13">
        <v>28.827999999999999</v>
      </c>
      <c r="AG13" s="13">
        <v>33.457999999999998</v>
      </c>
      <c r="AH13" s="13">
        <v>34.064</v>
      </c>
      <c r="AI13" s="13">
        <v>30.175000000000001</v>
      </c>
      <c r="AJ13" s="13">
        <v>37.043999999999997</v>
      </c>
      <c r="AK13" s="13">
        <v>35.39</v>
      </c>
      <c r="AL13" s="13">
        <v>31.620999999999999</v>
      </c>
      <c r="AM13" s="13">
        <v>30.187999999999999</v>
      </c>
      <c r="AN13" s="13">
        <v>31.911000000000001</v>
      </c>
      <c r="AO13" s="13">
        <v>24.032</v>
      </c>
      <c r="AP13" s="13">
        <v>27.83</v>
      </c>
      <c r="AQ13" s="13">
        <v>23.933</v>
      </c>
      <c r="AR13" s="13">
        <v>24.135999999999999</v>
      </c>
      <c r="AS13" s="13">
        <v>24.576000000000001</v>
      </c>
      <c r="AT13" s="13">
        <v>24.501999999999999</v>
      </c>
      <c r="AU13" s="13">
        <v>26.276</v>
      </c>
      <c r="AV13" s="13">
        <v>28.068000000000001</v>
      </c>
      <c r="AW13" s="13">
        <v>18.056999999999999</v>
      </c>
      <c r="AX13" s="13">
        <v>16.712</v>
      </c>
      <c r="AY13" s="13">
        <v>19.143999999999998</v>
      </c>
      <c r="AZ13" s="13">
        <v>19.722000000000001</v>
      </c>
      <c r="BA13" s="13">
        <v>19.228000000000002</v>
      </c>
      <c r="BB13" s="13">
        <v>23.712</v>
      </c>
      <c r="BC13" s="13">
        <v>24.295000000000002</v>
      </c>
      <c r="BD13" s="13">
        <v>24.2</v>
      </c>
      <c r="BE13" s="13">
        <v>25.518000000000001</v>
      </c>
      <c r="BF13" s="13">
        <v>26.969000000000001</v>
      </c>
      <c r="BG13" s="13">
        <v>30.91</v>
      </c>
      <c r="BH13" s="13">
        <v>31.045000000000002</v>
      </c>
      <c r="BI13" s="13">
        <f>23773/1000</f>
        <v>23.773</v>
      </c>
      <c r="BJ13" s="13">
        <f>26998/1000</f>
        <v>26.998000000000001</v>
      </c>
    </row>
    <row r="14" spans="1:62" s="14" customFormat="1" ht="12.75">
      <c r="A14" s="46" t="s">
        <v>27</v>
      </c>
      <c r="B14" s="83">
        <f t="shared" si="23"/>
        <v>4.8920000000000003</v>
      </c>
      <c r="C14" s="13">
        <f t="shared" si="24"/>
        <v>7.508</v>
      </c>
      <c r="D14" s="13">
        <f t="shared" si="25"/>
        <v>8.8360000000000003</v>
      </c>
      <c r="E14" s="13">
        <f t="shared" si="26"/>
        <v>38.423000000000002</v>
      </c>
      <c r="F14" s="13">
        <f t="shared" si="27"/>
        <v>7.5670000000000002</v>
      </c>
      <c r="G14" s="13">
        <f t="shared" si="29"/>
        <v>26.824999999999999</v>
      </c>
      <c r="H14" s="13">
        <f t="shared" si="18"/>
        <v>14.497</v>
      </c>
      <c r="I14" s="13">
        <f t="shared" si="19"/>
        <v>11.379</v>
      </c>
      <c r="J14" s="13">
        <f t="shared" si="20"/>
        <v>36.121000000000002</v>
      </c>
      <c r="K14" s="13">
        <f t="shared" si="21"/>
        <v>6.5990000000000002</v>
      </c>
      <c r="L14" s="13">
        <f t="shared" si="22"/>
        <v>4.7720000000000002</v>
      </c>
      <c r="M14" s="82">
        <f t="shared" si="28"/>
        <v>4.0179999999999998</v>
      </c>
      <c r="N14" s="49">
        <v>18.952000000000002</v>
      </c>
      <c r="O14" s="13">
        <v>10.888999999999999</v>
      </c>
      <c r="P14" s="13">
        <v>7.2329999999999997</v>
      </c>
      <c r="Q14" s="13">
        <v>4.8920000000000003</v>
      </c>
      <c r="R14" s="13">
        <v>13.762</v>
      </c>
      <c r="S14" s="13">
        <v>6.85</v>
      </c>
      <c r="T14" s="13">
        <v>29</v>
      </c>
      <c r="U14" s="13">
        <v>7.508</v>
      </c>
      <c r="V14" s="13">
        <v>17.172999999999998</v>
      </c>
      <c r="W14" s="13">
        <v>19.427</v>
      </c>
      <c r="X14" s="13">
        <v>14.855</v>
      </c>
      <c r="Y14" s="13">
        <v>8.8360000000000003</v>
      </c>
      <c r="Z14" s="13">
        <v>26.96</v>
      </c>
      <c r="AA14" s="13">
        <v>26.013000000000002</v>
      </c>
      <c r="AB14" s="13">
        <v>32.926000000000002</v>
      </c>
      <c r="AC14" s="13">
        <v>38.423000000000002</v>
      </c>
      <c r="AD14" s="13">
        <v>30.887</v>
      </c>
      <c r="AE14" s="13">
        <v>17.585000000000001</v>
      </c>
      <c r="AF14" s="13">
        <v>11.557</v>
      </c>
      <c r="AG14" s="13">
        <v>7.5670000000000002</v>
      </c>
      <c r="AH14" s="13">
        <v>10.032999999999999</v>
      </c>
      <c r="AI14" s="13">
        <v>6.7430000000000003</v>
      </c>
      <c r="AJ14" s="13">
        <v>13.407</v>
      </c>
      <c r="AK14" s="13">
        <v>26.824999999999999</v>
      </c>
      <c r="AL14" s="13">
        <v>21.178000000000001</v>
      </c>
      <c r="AM14" s="13">
        <v>19.006</v>
      </c>
      <c r="AN14" s="13">
        <v>15.882999999999999</v>
      </c>
      <c r="AO14" s="13">
        <v>14.497</v>
      </c>
      <c r="AP14" s="13">
        <v>11.535</v>
      </c>
      <c r="AQ14" s="13">
        <v>38.159999999999997</v>
      </c>
      <c r="AR14" s="13">
        <v>37.192</v>
      </c>
      <c r="AS14" s="13">
        <v>11.379</v>
      </c>
      <c r="AT14" s="13">
        <v>14.436999999999999</v>
      </c>
      <c r="AU14" s="13">
        <v>13.678000000000001</v>
      </c>
      <c r="AV14" s="13">
        <v>19.088000000000001</v>
      </c>
      <c r="AW14" s="13">
        <v>36.121000000000002</v>
      </c>
      <c r="AX14" s="13">
        <v>11.092000000000001</v>
      </c>
      <c r="AY14" s="13">
        <v>8.4039999999999999</v>
      </c>
      <c r="AZ14" s="13">
        <v>6.5650000000000004</v>
      </c>
      <c r="BA14" s="13">
        <v>6.5990000000000002</v>
      </c>
      <c r="BB14" s="13">
        <v>7.3170000000000002</v>
      </c>
      <c r="BC14" s="13">
        <v>7.4649999999999999</v>
      </c>
      <c r="BD14" s="13">
        <v>6.3040000000000003</v>
      </c>
      <c r="BE14" s="13">
        <v>4.7720000000000002</v>
      </c>
      <c r="BF14" s="13">
        <v>4.2279999999999998</v>
      </c>
      <c r="BG14" s="13">
        <v>3.9550000000000001</v>
      </c>
      <c r="BH14" s="13">
        <v>3.9220000000000002</v>
      </c>
      <c r="BI14" s="13">
        <f>4018/1000</f>
        <v>4.0179999999999998</v>
      </c>
      <c r="BJ14" s="13">
        <f>6460/1000</f>
        <v>6.46</v>
      </c>
    </row>
    <row r="15" spans="1:62" s="14" customFormat="1" ht="12.75">
      <c r="A15" s="46" t="s">
        <v>99</v>
      </c>
      <c r="B15" s="83">
        <f t="shared" si="23"/>
        <v>34.692999999999998</v>
      </c>
      <c r="C15" s="13">
        <f t="shared" si="24"/>
        <v>52.52</v>
      </c>
      <c r="D15" s="13">
        <f t="shared" si="25"/>
        <v>23.56</v>
      </c>
      <c r="E15" s="13">
        <f t="shared" si="26"/>
        <v>57.006999999999998</v>
      </c>
      <c r="F15" s="13">
        <f t="shared" si="27"/>
        <v>13.811</v>
      </c>
      <c r="G15" s="13">
        <f t="shared" si="29"/>
        <v>73.225999999999999</v>
      </c>
      <c r="H15" s="13">
        <f t="shared" si="18"/>
        <v>25.43</v>
      </c>
      <c r="I15" s="13">
        <f t="shared" si="19"/>
        <v>37.372</v>
      </c>
      <c r="J15" s="13">
        <f t="shared" si="20"/>
        <v>29.841999999999999</v>
      </c>
      <c r="K15" s="13">
        <f t="shared" si="21"/>
        <v>36.613999999999997</v>
      </c>
      <c r="L15" s="13">
        <f t="shared" si="22"/>
        <v>0</v>
      </c>
      <c r="M15" s="82">
        <f t="shared" si="28"/>
        <v>24.402999999999999</v>
      </c>
      <c r="N15" s="49">
        <v>37.817999999999998</v>
      </c>
      <c r="O15" s="13">
        <v>27.033000000000001</v>
      </c>
      <c r="P15" s="13">
        <v>42.62</v>
      </c>
      <c r="Q15" s="13">
        <v>34.692999999999998</v>
      </c>
      <c r="R15" s="13">
        <v>54.436999999999998</v>
      </c>
      <c r="S15" s="13">
        <v>21.782</v>
      </c>
      <c r="T15" s="13">
        <v>42.546999999999997</v>
      </c>
      <c r="U15" s="13">
        <v>52.52</v>
      </c>
      <c r="V15" s="13">
        <v>69.340999999999994</v>
      </c>
      <c r="W15" s="13">
        <v>96.39</v>
      </c>
      <c r="X15" s="13">
        <v>139.19</v>
      </c>
      <c r="Y15" s="13">
        <v>23.56</v>
      </c>
      <c r="Z15" s="13">
        <v>21.452999999999999</v>
      </c>
      <c r="AA15" s="13">
        <v>43.133000000000003</v>
      </c>
      <c r="AB15" s="13">
        <v>73.55</v>
      </c>
      <c r="AC15" s="13">
        <v>57.006999999999998</v>
      </c>
      <c r="AD15" s="13">
        <v>85.173000000000002</v>
      </c>
      <c r="AE15" s="13">
        <v>62.911000000000001</v>
      </c>
      <c r="AF15" s="13">
        <v>32.606000000000002</v>
      </c>
      <c r="AG15" s="13">
        <v>13.811</v>
      </c>
      <c r="AH15" s="13">
        <v>30.545999999999999</v>
      </c>
      <c r="AI15" s="13">
        <v>34.08</v>
      </c>
      <c r="AJ15" s="13">
        <v>45.412999999999997</v>
      </c>
      <c r="AK15" s="13">
        <v>73.225999999999999</v>
      </c>
      <c r="AL15" s="13">
        <v>47.290999999999997</v>
      </c>
      <c r="AM15" s="13">
        <v>27.597999999999999</v>
      </c>
      <c r="AN15" s="13">
        <v>27.91</v>
      </c>
      <c r="AO15" s="13">
        <v>25.43</v>
      </c>
      <c r="AP15" s="13">
        <v>65.491</v>
      </c>
      <c r="AQ15" s="13">
        <v>40.841000000000001</v>
      </c>
      <c r="AR15" s="13">
        <v>40.034999999999997</v>
      </c>
      <c r="AS15" s="13">
        <v>37.372</v>
      </c>
      <c r="AT15" s="13">
        <v>35.195</v>
      </c>
      <c r="AU15" s="13">
        <v>88.876000000000005</v>
      </c>
      <c r="AV15" s="13">
        <v>116.367</v>
      </c>
      <c r="AW15" s="13">
        <v>29.841999999999999</v>
      </c>
      <c r="AX15" s="13">
        <v>57.063000000000002</v>
      </c>
      <c r="AY15" s="13">
        <v>14.78</v>
      </c>
      <c r="AZ15" s="13">
        <v>15.055</v>
      </c>
      <c r="BA15" s="13">
        <v>36.613999999999997</v>
      </c>
      <c r="BB15" s="13">
        <v>70.959999999999994</v>
      </c>
      <c r="BC15" s="13">
        <v>68.388000000000005</v>
      </c>
      <c r="BD15" s="13">
        <v>64.906999999999996</v>
      </c>
      <c r="BE15" s="13">
        <v>0</v>
      </c>
      <c r="BF15" s="13">
        <v>3.5259999999999998</v>
      </c>
      <c r="BG15" s="13">
        <v>21.962</v>
      </c>
      <c r="BH15" s="13">
        <v>25.271999999999998</v>
      </c>
      <c r="BI15" s="13">
        <f>24403/1000</f>
        <v>24.402999999999999</v>
      </c>
      <c r="BJ15" s="13">
        <f>29949/1000</f>
        <v>29.949000000000002</v>
      </c>
    </row>
    <row r="16" spans="1:62" s="14" customFormat="1" ht="12.75">
      <c r="A16" s="46" t="s">
        <v>28</v>
      </c>
      <c r="B16" s="83">
        <f t="shared" si="23"/>
        <v>3.0369999999999999</v>
      </c>
      <c r="C16" s="13">
        <f t="shared" si="24"/>
        <v>5.6760000000000002</v>
      </c>
      <c r="D16" s="13">
        <f t="shared" si="25"/>
        <v>5.7089999999999996</v>
      </c>
      <c r="E16" s="13">
        <f t="shared" si="26"/>
        <v>8.3379999999999992</v>
      </c>
      <c r="F16" s="13">
        <f t="shared" si="27"/>
        <v>5.641</v>
      </c>
      <c r="G16" s="13">
        <f t="shared" si="29"/>
        <v>7.4619999999999997</v>
      </c>
      <c r="H16" s="13">
        <f t="shared" si="18"/>
        <v>6.7359999999999998</v>
      </c>
      <c r="I16" s="13">
        <f t="shared" si="19"/>
        <v>19.170999999999999</v>
      </c>
      <c r="J16" s="13">
        <f t="shared" si="20"/>
        <v>31.597000000000001</v>
      </c>
      <c r="K16" s="13">
        <f t="shared" si="21"/>
        <v>5.2910000000000004</v>
      </c>
      <c r="L16" s="13">
        <f t="shared" si="22"/>
        <v>12.743</v>
      </c>
      <c r="M16" s="82">
        <f t="shared" si="28"/>
        <v>5.0359999999999996</v>
      </c>
      <c r="N16" s="49">
        <f>4.642+8.437+2.443</f>
        <v>15.522</v>
      </c>
      <c r="O16" s="13">
        <f>2.784+0.545+2.302</f>
        <v>5.6310000000000002</v>
      </c>
      <c r="P16" s="13">
        <f>6.062+2.302+0.525</f>
        <v>8.8890000000000011</v>
      </c>
      <c r="Q16" s="13">
        <v>3.0369999999999999</v>
      </c>
      <c r="R16" s="13">
        <v>2.0720000000000001</v>
      </c>
      <c r="S16" s="13">
        <v>1.1319999999999999</v>
      </c>
      <c r="T16" s="13">
        <v>2.2799999999999998</v>
      </c>
      <c r="U16" s="13">
        <v>5.6760000000000002</v>
      </c>
      <c r="V16" s="13">
        <v>2.1240000000000001</v>
      </c>
      <c r="W16" s="13">
        <v>11.948</v>
      </c>
      <c r="X16" s="13">
        <v>10.484999999999999</v>
      </c>
      <c r="Y16" s="13">
        <v>5.7089999999999996</v>
      </c>
      <c r="Z16" s="13">
        <v>9.6340000000000003</v>
      </c>
      <c r="AA16" s="13">
        <v>12.135999999999999</v>
      </c>
      <c r="AB16" s="13">
        <v>10.782</v>
      </c>
      <c r="AC16" s="13">
        <v>8.3379999999999992</v>
      </c>
      <c r="AD16" s="13">
        <v>6.7060000000000004</v>
      </c>
      <c r="AE16" s="13">
        <v>6.798</v>
      </c>
      <c r="AF16" s="13">
        <v>7.6849999999999996</v>
      </c>
      <c r="AG16" s="13">
        <v>5.641</v>
      </c>
      <c r="AH16" s="13">
        <v>9.0109999999999992</v>
      </c>
      <c r="AI16" s="13">
        <v>12.925000000000001</v>
      </c>
      <c r="AJ16" s="13">
        <v>15.662000000000001</v>
      </c>
      <c r="AK16" s="13">
        <v>7.4619999999999997</v>
      </c>
      <c r="AL16" s="13">
        <v>8.968</v>
      </c>
      <c r="AM16" s="13">
        <v>6.8789999999999996</v>
      </c>
      <c r="AN16" s="13">
        <v>14.996</v>
      </c>
      <c r="AO16" s="13">
        <v>6.7359999999999998</v>
      </c>
      <c r="AP16" s="13">
        <v>15.736000000000001</v>
      </c>
      <c r="AQ16" s="13">
        <v>13.279</v>
      </c>
      <c r="AR16" s="13">
        <v>15.564</v>
      </c>
      <c r="AS16" s="13">
        <v>19.170999999999999</v>
      </c>
      <c r="AT16" s="13">
        <v>23.498999999999999</v>
      </c>
      <c r="AU16" s="13">
        <v>23.824999999999999</v>
      </c>
      <c r="AV16" s="13">
        <v>23.024000000000001</v>
      </c>
      <c r="AW16" s="13">
        <v>31.597000000000001</v>
      </c>
      <c r="AX16" s="13">
        <v>4.9180000000000001</v>
      </c>
      <c r="AY16" s="13">
        <v>5.2969999999999997</v>
      </c>
      <c r="AZ16" s="13">
        <v>5.2770000000000001</v>
      </c>
      <c r="BA16" s="13">
        <v>5.2910000000000004</v>
      </c>
      <c r="BB16" s="13">
        <v>1.6220000000000001</v>
      </c>
      <c r="BC16" s="13">
        <v>1.663</v>
      </c>
      <c r="BD16" s="13">
        <v>22.696999999999999</v>
      </c>
      <c r="BE16" s="13">
        <v>12.743</v>
      </c>
      <c r="BF16" s="13">
        <v>13.907</v>
      </c>
      <c r="BG16" s="13">
        <v>12.84</v>
      </c>
      <c r="BH16" s="13">
        <v>4.3579999999999997</v>
      </c>
      <c r="BI16" s="13">
        <f>5036/1000</f>
        <v>5.0359999999999996</v>
      </c>
      <c r="BJ16" s="13">
        <f>9922/1000</f>
        <v>9.9220000000000006</v>
      </c>
    </row>
    <row r="17" spans="1:62" s="19" customFormat="1" ht="12.75">
      <c r="A17" s="45" t="s">
        <v>29</v>
      </c>
      <c r="B17" s="84">
        <f t="shared" ref="B17:AG17" si="30">SUM(B18,B26,B28,B27)</f>
        <v>269.839</v>
      </c>
      <c r="C17" s="18">
        <f t="shared" si="30"/>
        <v>252.387</v>
      </c>
      <c r="D17" s="18">
        <f t="shared" si="30"/>
        <v>288.89200000000005</v>
      </c>
      <c r="E17" s="18">
        <f t="shared" si="30"/>
        <v>289.93600000000004</v>
      </c>
      <c r="F17" s="18">
        <f t="shared" si="30"/>
        <v>268.12400000000002</v>
      </c>
      <c r="G17" s="18">
        <f t="shared" si="30"/>
        <v>276.68200000000002</v>
      </c>
      <c r="H17" s="18">
        <f t="shared" si="30"/>
        <v>254.97899999999998</v>
      </c>
      <c r="I17" s="18">
        <f t="shared" si="30"/>
        <v>224.98599999999999</v>
      </c>
      <c r="J17" s="18">
        <f t="shared" si="30"/>
        <v>217.38499999999999</v>
      </c>
      <c r="K17" s="18">
        <f t="shared" si="30"/>
        <v>234.00700000000001</v>
      </c>
      <c r="L17" s="18">
        <f t="shared" si="30"/>
        <v>272.66800000000001</v>
      </c>
      <c r="M17" s="162">
        <f t="shared" si="30"/>
        <v>209.173</v>
      </c>
      <c r="N17" s="48">
        <f t="shared" si="30"/>
        <v>276.47400000000005</v>
      </c>
      <c r="O17" s="18">
        <f t="shared" si="30"/>
        <v>280.77</v>
      </c>
      <c r="P17" s="18">
        <f t="shared" si="30"/>
        <v>278.89499999999998</v>
      </c>
      <c r="Q17" s="18">
        <f t="shared" si="30"/>
        <v>269.839</v>
      </c>
      <c r="R17" s="18">
        <f t="shared" si="30"/>
        <v>262.255</v>
      </c>
      <c r="S17" s="18">
        <f t="shared" si="30"/>
        <v>248.495</v>
      </c>
      <c r="T17" s="18">
        <f t="shared" si="30"/>
        <v>255.60500000000002</v>
      </c>
      <c r="U17" s="18">
        <f t="shared" si="30"/>
        <v>252.387</v>
      </c>
      <c r="V17" s="18">
        <f t="shared" si="30"/>
        <v>264.16899999999998</v>
      </c>
      <c r="W17" s="18">
        <f t="shared" si="30"/>
        <v>261.11699999999996</v>
      </c>
      <c r="X17" s="18">
        <f t="shared" si="30"/>
        <v>258.59000000000003</v>
      </c>
      <c r="Y17" s="18">
        <f t="shared" si="30"/>
        <v>288.89200000000005</v>
      </c>
      <c r="Z17" s="18">
        <f t="shared" si="30"/>
        <v>289.93889999999999</v>
      </c>
      <c r="AA17" s="18">
        <f t="shared" si="30"/>
        <v>287.16900000000004</v>
      </c>
      <c r="AB17" s="18">
        <f t="shared" si="30"/>
        <v>288.25299999999999</v>
      </c>
      <c r="AC17" s="18">
        <f t="shared" si="30"/>
        <v>289.93600000000004</v>
      </c>
      <c r="AD17" s="18">
        <f t="shared" si="30"/>
        <v>297.66800000000001</v>
      </c>
      <c r="AE17" s="18">
        <f t="shared" si="30"/>
        <v>297.38700000000006</v>
      </c>
      <c r="AF17" s="18">
        <f t="shared" si="30"/>
        <v>297.43799999999999</v>
      </c>
      <c r="AG17" s="18">
        <f t="shared" si="30"/>
        <v>268.12400000000002</v>
      </c>
      <c r="AH17" s="18">
        <f t="shared" ref="AH17:BJ17" si="31">SUM(AH18,AH26,AH28,AH27)</f>
        <v>279.93700000000001</v>
      </c>
      <c r="AI17" s="18">
        <f t="shared" si="31"/>
        <v>274.29700000000003</v>
      </c>
      <c r="AJ17" s="18">
        <f t="shared" si="31"/>
        <v>280.161</v>
      </c>
      <c r="AK17" s="18">
        <f t="shared" si="31"/>
        <v>276.68200000000002</v>
      </c>
      <c r="AL17" s="18">
        <f t="shared" si="31"/>
        <v>264.75300000000004</v>
      </c>
      <c r="AM17" s="18">
        <f t="shared" si="31"/>
        <v>265.13299999999998</v>
      </c>
      <c r="AN17" s="18">
        <f t="shared" si="31"/>
        <v>259.21799999999996</v>
      </c>
      <c r="AO17" s="18">
        <f t="shared" si="31"/>
        <v>254.97899999999998</v>
      </c>
      <c r="AP17" s="18">
        <f t="shared" si="31"/>
        <v>250.089</v>
      </c>
      <c r="AQ17" s="18">
        <f t="shared" si="31"/>
        <v>239.91899999999998</v>
      </c>
      <c r="AR17" s="18">
        <f t="shared" si="31"/>
        <v>227.87</v>
      </c>
      <c r="AS17" s="18">
        <f t="shared" si="31"/>
        <v>224.98599999999999</v>
      </c>
      <c r="AT17" s="18">
        <f t="shared" si="31"/>
        <v>221.04400000000001</v>
      </c>
      <c r="AU17" s="18">
        <f t="shared" si="31"/>
        <v>213.631</v>
      </c>
      <c r="AV17" s="18">
        <f t="shared" si="31"/>
        <v>216.78400000000002</v>
      </c>
      <c r="AW17" s="18">
        <f t="shared" si="31"/>
        <v>217.38499999999999</v>
      </c>
      <c r="AX17" s="18">
        <f t="shared" si="31"/>
        <v>283.41399999999999</v>
      </c>
      <c r="AY17" s="18">
        <f t="shared" si="31"/>
        <v>273.7</v>
      </c>
      <c r="AZ17" s="18">
        <f t="shared" si="31"/>
        <v>271.32800000000003</v>
      </c>
      <c r="BA17" s="18">
        <f t="shared" si="31"/>
        <v>267.76</v>
      </c>
      <c r="BB17" s="18">
        <f t="shared" si="31"/>
        <v>278.68399999999997</v>
      </c>
      <c r="BC17" s="18">
        <f t="shared" si="31"/>
        <v>270.43600000000004</v>
      </c>
      <c r="BD17" s="18">
        <f t="shared" si="31"/>
        <v>258.70400000000001</v>
      </c>
      <c r="BE17" s="18">
        <f t="shared" si="31"/>
        <v>272.66800000000001</v>
      </c>
      <c r="BF17" s="18">
        <f t="shared" si="31"/>
        <v>258.41900000000004</v>
      </c>
      <c r="BG17" s="18">
        <f t="shared" si="31"/>
        <v>194.67899999999997</v>
      </c>
      <c r="BH17" s="18">
        <f t="shared" si="31"/>
        <v>196.39399999999998</v>
      </c>
      <c r="BI17" s="18">
        <f t="shared" si="31"/>
        <v>209.173</v>
      </c>
      <c r="BJ17" s="18">
        <f t="shared" si="31"/>
        <v>201.36100000000002</v>
      </c>
    </row>
    <row r="18" spans="1:62" s="19" customFormat="1" ht="12.75">
      <c r="A18" s="45" t="s">
        <v>30</v>
      </c>
      <c r="B18" s="84">
        <f t="shared" ref="B18:AG18" si="32">SUM(B20:B25)</f>
        <v>109.15199999999999</v>
      </c>
      <c r="C18" s="18">
        <f t="shared" si="32"/>
        <v>74.118999999999986</v>
      </c>
      <c r="D18" s="18">
        <f t="shared" si="32"/>
        <v>99.263000000000005</v>
      </c>
      <c r="E18" s="18">
        <f t="shared" si="32"/>
        <v>99.516000000000005</v>
      </c>
      <c r="F18" s="18">
        <f t="shared" si="32"/>
        <v>108.90599999999999</v>
      </c>
      <c r="G18" s="18">
        <f t="shared" si="32"/>
        <v>116.697</v>
      </c>
      <c r="H18" s="18">
        <f t="shared" si="32"/>
        <v>104.35499999999999</v>
      </c>
      <c r="I18" s="18">
        <f t="shared" si="32"/>
        <v>92.181999999999988</v>
      </c>
      <c r="J18" s="18">
        <f t="shared" si="32"/>
        <v>87.103999999999999</v>
      </c>
      <c r="K18" s="18">
        <f t="shared" si="32"/>
        <v>92.789000000000001</v>
      </c>
      <c r="L18" s="18">
        <f t="shared" si="32"/>
        <v>142.62899999999999</v>
      </c>
      <c r="M18" s="85">
        <f>SUM(M19:M25)</f>
        <v>84.792999999999992</v>
      </c>
      <c r="N18" s="48">
        <f t="shared" si="32"/>
        <v>115.721</v>
      </c>
      <c r="O18" s="18">
        <f t="shared" si="32"/>
        <v>119.113</v>
      </c>
      <c r="P18" s="18">
        <f t="shared" si="32"/>
        <v>117.732</v>
      </c>
      <c r="Q18" s="18">
        <f t="shared" si="32"/>
        <v>109.15199999999999</v>
      </c>
      <c r="R18" s="18">
        <f t="shared" si="32"/>
        <v>101.124</v>
      </c>
      <c r="S18" s="18">
        <f t="shared" si="32"/>
        <v>86.293999999999997</v>
      </c>
      <c r="T18" s="18">
        <f t="shared" si="32"/>
        <v>84.606999999999999</v>
      </c>
      <c r="U18" s="18">
        <f t="shared" si="32"/>
        <v>74.118999999999986</v>
      </c>
      <c r="V18" s="18">
        <f t="shared" si="32"/>
        <v>72.284999999999997</v>
      </c>
      <c r="W18" s="18">
        <f t="shared" si="32"/>
        <v>69.230999999999995</v>
      </c>
      <c r="X18" s="18">
        <f t="shared" si="32"/>
        <v>67.381</v>
      </c>
      <c r="Y18" s="18">
        <f t="shared" si="32"/>
        <v>99.263000000000005</v>
      </c>
      <c r="Z18" s="18">
        <f t="shared" si="32"/>
        <v>101.114</v>
      </c>
      <c r="AA18" s="18">
        <f t="shared" si="32"/>
        <v>98.05</v>
      </c>
      <c r="AB18" s="18">
        <f t="shared" si="32"/>
        <v>100.27</v>
      </c>
      <c r="AC18" s="18">
        <f t="shared" si="32"/>
        <v>99.516000000000005</v>
      </c>
      <c r="AD18" s="18">
        <f t="shared" si="32"/>
        <v>110.645</v>
      </c>
      <c r="AE18" s="18">
        <f t="shared" si="32"/>
        <v>112.938</v>
      </c>
      <c r="AF18" s="18">
        <f t="shared" si="32"/>
        <v>115.268</v>
      </c>
      <c r="AG18" s="18">
        <f t="shared" si="32"/>
        <v>108.90599999999999</v>
      </c>
      <c r="AH18" s="18">
        <f t="shared" ref="AH18:BJ18" si="33">SUM(AH20:AH25)</f>
        <v>120.35300000000001</v>
      </c>
      <c r="AI18" s="18">
        <f t="shared" si="33"/>
        <v>116.90800000000002</v>
      </c>
      <c r="AJ18" s="18">
        <f t="shared" si="33"/>
        <v>116.16499999999999</v>
      </c>
      <c r="AK18" s="18">
        <f t="shared" si="33"/>
        <v>116.697</v>
      </c>
      <c r="AL18" s="18">
        <f t="shared" si="33"/>
        <v>107.47200000000001</v>
      </c>
      <c r="AM18" s="18">
        <f t="shared" si="33"/>
        <v>110.764</v>
      </c>
      <c r="AN18" s="18">
        <f t="shared" si="33"/>
        <v>106.51100000000001</v>
      </c>
      <c r="AO18" s="18">
        <f t="shared" si="33"/>
        <v>104.35499999999999</v>
      </c>
      <c r="AP18" s="18">
        <f t="shared" si="33"/>
        <v>101.229</v>
      </c>
      <c r="AQ18" s="18">
        <f t="shared" si="33"/>
        <v>92.578999999999994</v>
      </c>
      <c r="AR18" s="18">
        <f t="shared" si="33"/>
        <v>89.054000000000002</v>
      </c>
      <c r="AS18" s="18">
        <f t="shared" si="33"/>
        <v>92.181999999999988</v>
      </c>
      <c r="AT18" s="18">
        <f t="shared" si="33"/>
        <v>89.225999999999999</v>
      </c>
      <c r="AU18" s="18">
        <f t="shared" si="33"/>
        <v>83.64</v>
      </c>
      <c r="AV18" s="18">
        <f t="shared" si="33"/>
        <v>88.673000000000002</v>
      </c>
      <c r="AW18" s="18">
        <f t="shared" si="33"/>
        <v>87.103999999999999</v>
      </c>
      <c r="AX18" s="18">
        <f t="shared" si="33"/>
        <v>103.018</v>
      </c>
      <c r="AY18" s="18">
        <f t="shared" si="33"/>
        <v>97.017999999999986</v>
      </c>
      <c r="AZ18" s="18">
        <f t="shared" si="33"/>
        <v>94.170000000000016</v>
      </c>
      <c r="BA18" s="18">
        <f t="shared" si="33"/>
        <v>92.789000000000001</v>
      </c>
      <c r="BB18" s="18">
        <f t="shared" si="33"/>
        <v>94.609999999999985</v>
      </c>
      <c r="BC18" s="18">
        <f t="shared" si="33"/>
        <v>91.16</v>
      </c>
      <c r="BD18" s="18">
        <f t="shared" si="33"/>
        <v>90.311000000000007</v>
      </c>
      <c r="BE18" s="18">
        <f t="shared" si="33"/>
        <v>142.62899999999999</v>
      </c>
      <c r="BF18" s="18">
        <f t="shared" si="33"/>
        <v>138.471</v>
      </c>
      <c r="BG18" s="18">
        <f t="shared" si="33"/>
        <v>72.846000000000004</v>
      </c>
      <c r="BH18" s="18">
        <f t="shared" si="33"/>
        <v>71.072000000000003</v>
      </c>
      <c r="BI18" s="18">
        <f>SUM(BI19:BI25)</f>
        <v>84.792999999999992</v>
      </c>
      <c r="BJ18" s="18">
        <f>SUM(BJ19:BJ25)</f>
        <v>79.663000000000011</v>
      </c>
    </row>
    <row r="19" spans="1:62" s="19" customFormat="1" ht="12.75">
      <c r="A19" s="163" t="s">
        <v>161</v>
      </c>
      <c r="B19" s="79">
        <v>0</v>
      </c>
      <c r="C19" s="13">
        <v>0</v>
      </c>
      <c r="D19" s="13">
        <v>0</v>
      </c>
      <c r="E19" s="13">
        <v>0</v>
      </c>
      <c r="F19" s="13">
        <v>0</v>
      </c>
      <c r="G19" s="13">
        <v>0</v>
      </c>
      <c r="H19" s="13">
        <v>0</v>
      </c>
      <c r="I19" s="13">
        <v>0</v>
      </c>
      <c r="J19" s="13">
        <v>0</v>
      </c>
      <c r="K19" s="13">
        <v>0</v>
      </c>
      <c r="L19" s="13">
        <v>0</v>
      </c>
      <c r="M19" s="82">
        <f>BI19</f>
        <v>3.8109999999999999</v>
      </c>
      <c r="N19" s="49">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3">
        <v>0</v>
      </c>
      <c r="AO19" s="13">
        <v>0</v>
      </c>
      <c r="AP19" s="13">
        <v>0</v>
      </c>
      <c r="AQ19" s="13">
        <v>0</v>
      </c>
      <c r="AR19" s="13">
        <v>0</v>
      </c>
      <c r="AS19" s="13">
        <v>0</v>
      </c>
      <c r="AT19" s="13">
        <v>0</v>
      </c>
      <c r="AU19" s="13">
        <v>0</v>
      </c>
      <c r="AV19" s="13">
        <v>0</v>
      </c>
      <c r="AW19" s="13">
        <v>0</v>
      </c>
      <c r="AX19" s="13">
        <v>0</v>
      </c>
      <c r="AY19" s="13">
        <v>0</v>
      </c>
      <c r="AZ19" s="13">
        <v>0</v>
      </c>
      <c r="BA19" s="13">
        <v>0</v>
      </c>
      <c r="BB19" s="13">
        <v>0</v>
      </c>
      <c r="BC19" s="13">
        <v>0</v>
      </c>
      <c r="BD19" s="13">
        <v>0</v>
      </c>
      <c r="BE19" s="13">
        <v>0</v>
      </c>
      <c r="BF19" s="13">
        <v>0</v>
      </c>
      <c r="BG19" s="13">
        <v>0</v>
      </c>
      <c r="BH19" s="13">
        <v>0</v>
      </c>
      <c r="BI19" s="13">
        <f>3811/1000</f>
        <v>3.8109999999999999</v>
      </c>
      <c r="BJ19" s="13">
        <f>3904/1000</f>
        <v>3.9039999999999999</v>
      </c>
    </row>
    <row r="20" spans="1:62" s="19" customFormat="1" ht="12.75">
      <c r="A20" s="46" t="s">
        <v>24</v>
      </c>
      <c r="B20" s="83">
        <f t="shared" ref="B20" si="34">Q20</f>
        <v>0</v>
      </c>
      <c r="C20" s="13">
        <f t="shared" ref="C20" si="35">U20</f>
        <v>0</v>
      </c>
      <c r="D20" s="13">
        <f t="shared" ref="D20" si="36">Y20</f>
        <v>0</v>
      </c>
      <c r="E20" s="13">
        <f t="shared" ref="E20" si="37">AC20</f>
        <v>0</v>
      </c>
      <c r="F20" s="13">
        <f t="shared" ref="F20" si="38">AG20</f>
        <v>0</v>
      </c>
      <c r="G20" s="13">
        <f t="shared" ref="G20" si="39">AK20</f>
        <v>0</v>
      </c>
      <c r="H20" s="13">
        <f t="shared" ref="H20" si="40">AO20</f>
        <v>0</v>
      </c>
      <c r="I20" s="13">
        <f t="shared" ref="I20" si="41">AS20</f>
        <v>0</v>
      </c>
      <c r="J20" s="13">
        <f t="shared" ref="J20" si="42">AW20</f>
        <v>0</v>
      </c>
      <c r="K20" s="13">
        <f t="shared" ref="K20" si="43">BA20</f>
        <v>0</v>
      </c>
      <c r="L20" s="13">
        <f>BE20</f>
        <v>23.614000000000001</v>
      </c>
      <c r="M20" s="82">
        <f>BI20</f>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49">
        <v>0</v>
      </c>
      <c r="AK20" s="49">
        <v>0</v>
      </c>
      <c r="AL20" s="49">
        <v>0</v>
      </c>
      <c r="AM20" s="49">
        <v>0</v>
      </c>
      <c r="AN20" s="49">
        <v>0</v>
      </c>
      <c r="AO20" s="49">
        <v>0</v>
      </c>
      <c r="AP20" s="49">
        <v>0</v>
      </c>
      <c r="AQ20" s="49">
        <v>0</v>
      </c>
      <c r="AR20" s="49">
        <v>0</v>
      </c>
      <c r="AS20" s="49">
        <v>0</v>
      </c>
      <c r="AT20" s="49">
        <v>0</v>
      </c>
      <c r="AU20" s="49">
        <v>0</v>
      </c>
      <c r="AV20" s="49">
        <v>0</v>
      </c>
      <c r="AW20" s="49">
        <v>0</v>
      </c>
      <c r="AX20" s="49">
        <v>0</v>
      </c>
      <c r="AY20" s="49">
        <v>0</v>
      </c>
      <c r="AZ20" s="49">
        <v>0</v>
      </c>
      <c r="BA20" s="49">
        <v>0</v>
      </c>
      <c r="BB20" s="49">
        <v>0</v>
      </c>
      <c r="BC20" s="49">
        <v>0</v>
      </c>
      <c r="BD20" s="49">
        <v>0</v>
      </c>
      <c r="BE20" s="13">
        <v>23.614000000000001</v>
      </c>
      <c r="BF20" s="13">
        <v>27.585000000000001</v>
      </c>
      <c r="BG20" s="13">
        <v>0</v>
      </c>
      <c r="BH20" s="13">
        <v>0</v>
      </c>
      <c r="BI20" s="13">
        <v>0</v>
      </c>
      <c r="BJ20" s="13">
        <v>0</v>
      </c>
    </row>
    <row r="21" spans="1:62" s="14" customFormat="1" ht="12.75">
      <c r="A21" s="46" t="s">
        <v>31</v>
      </c>
      <c r="B21" s="83">
        <f>Q21</f>
        <v>92.602999999999994</v>
      </c>
      <c r="C21" s="13">
        <f>U21</f>
        <v>62.061999999999998</v>
      </c>
      <c r="D21" s="13">
        <f>Y21</f>
        <v>81.066000000000003</v>
      </c>
      <c r="E21" s="13">
        <f>AC21</f>
        <v>81.441000000000003</v>
      </c>
      <c r="F21" s="13">
        <f>AG21</f>
        <v>86.725999999999999</v>
      </c>
      <c r="G21" s="13">
        <f>AK21</f>
        <v>87.587000000000003</v>
      </c>
      <c r="H21" s="13">
        <f>AO21</f>
        <v>73.138999999999996</v>
      </c>
      <c r="I21" s="13">
        <f>AS21</f>
        <v>59.527000000000001</v>
      </c>
      <c r="J21" s="13">
        <f>AW21</f>
        <v>53.850999999999999</v>
      </c>
      <c r="K21" s="13">
        <f>BA21</f>
        <v>62.529000000000003</v>
      </c>
      <c r="L21" s="13">
        <f t="shared" ref="L21:L27" si="44">BE21</f>
        <v>48.942</v>
      </c>
      <c r="M21" s="82">
        <f t="shared" ref="M21:M30" si="45">BI21</f>
        <v>51.476999999999997</v>
      </c>
      <c r="N21" s="49">
        <v>96.245000000000005</v>
      </c>
      <c r="O21" s="13">
        <v>101.541</v>
      </c>
      <c r="P21" s="13">
        <v>100.905</v>
      </c>
      <c r="Q21" s="13">
        <v>92.602999999999994</v>
      </c>
      <c r="R21" s="13">
        <v>92.394999999999996</v>
      </c>
      <c r="S21" s="13">
        <v>77.340999999999994</v>
      </c>
      <c r="T21" s="13">
        <v>72.728999999999999</v>
      </c>
      <c r="U21" s="13">
        <v>62.061999999999998</v>
      </c>
      <c r="V21" s="13">
        <v>59.365000000000002</v>
      </c>
      <c r="W21" s="13">
        <v>55.902999999999999</v>
      </c>
      <c r="X21" s="13">
        <v>54.587000000000003</v>
      </c>
      <c r="Y21" s="13">
        <v>81.066000000000003</v>
      </c>
      <c r="Z21" s="13">
        <v>83.165999999999997</v>
      </c>
      <c r="AA21" s="13">
        <v>78.221999999999994</v>
      </c>
      <c r="AB21" s="13">
        <v>81.418999999999997</v>
      </c>
      <c r="AC21" s="13">
        <v>81.441000000000003</v>
      </c>
      <c r="AD21" s="13">
        <v>90.647000000000006</v>
      </c>
      <c r="AE21" s="13">
        <v>92.147000000000006</v>
      </c>
      <c r="AF21" s="13">
        <v>93.718000000000004</v>
      </c>
      <c r="AG21" s="13">
        <v>86.725999999999999</v>
      </c>
      <c r="AH21" s="13">
        <v>93.099000000000004</v>
      </c>
      <c r="AI21" s="13">
        <v>88.888000000000005</v>
      </c>
      <c r="AJ21" s="13">
        <v>88.305000000000007</v>
      </c>
      <c r="AK21" s="13">
        <v>87.587000000000003</v>
      </c>
      <c r="AL21" s="13">
        <v>77.924000000000007</v>
      </c>
      <c r="AM21" s="13">
        <v>78.078999999999994</v>
      </c>
      <c r="AN21" s="13">
        <v>77.049000000000007</v>
      </c>
      <c r="AO21" s="13">
        <v>73.138999999999996</v>
      </c>
      <c r="AP21" s="13">
        <v>70.352999999999994</v>
      </c>
      <c r="AQ21" s="13">
        <v>65.826999999999998</v>
      </c>
      <c r="AR21" s="13">
        <v>61.305999999999997</v>
      </c>
      <c r="AS21" s="13">
        <v>59.527000000000001</v>
      </c>
      <c r="AT21" s="13">
        <v>59.704999999999998</v>
      </c>
      <c r="AU21" s="13">
        <v>56.697000000000003</v>
      </c>
      <c r="AV21" s="13">
        <v>56.148000000000003</v>
      </c>
      <c r="AW21" s="13">
        <v>53.850999999999999</v>
      </c>
      <c r="AX21" s="13">
        <v>61.372999999999998</v>
      </c>
      <c r="AY21" s="13">
        <v>64.843999999999994</v>
      </c>
      <c r="AZ21" s="13">
        <v>64.356999999999999</v>
      </c>
      <c r="BA21" s="13">
        <v>62.529000000000003</v>
      </c>
      <c r="BB21" s="13">
        <v>63.774000000000001</v>
      </c>
      <c r="BC21" s="13">
        <v>63.865000000000002</v>
      </c>
      <c r="BD21" s="13">
        <v>63.792999999999999</v>
      </c>
      <c r="BE21" s="13">
        <v>48.942</v>
      </c>
      <c r="BF21" s="13">
        <v>49.796999999999997</v>
      </c>
      <c r="BG21" s="13">
        <v>50.009</v>
      </c>
      <c r="BH21" s="13">
        <v>50.591000000000001</v>
      </c>
      <c r="BI21" s="13">
        <f>51477/1000</f>
        <v>51.476999999999997</v>
      </c>
      <c r="BJ21" s="13">
        <f>7074/1000</f>
        <v>7.0739999999999998</v>
      </c>
    </row>
    <row r="22" spans="1:62" s="19" customFormat="1" ht="12.75">
      <c r="A22" s="46" t="s">
        <v>199</v>
      </c>
      <c r="B22" s="83">
        <v>0</v>
      </c>
      <c r="C22" s="13">
        <v>0</v>
      </c>
      <c r="D22" s="13">
        <v>0</v>
      </c>
      <c r="E22" s="13">
        <v>0</v>
      </c>
      <c r="F22" s="13">
        <v>0</v>
      </c>
      <c r="G22" s="13">
        <v>0</v>
      </c>
      <c r="H22" s="13">
        <v>0</v>
      </c>
      <c r="I22" s="13">
        <v>0</v>
      </c>
      <c r="J22" s="13">
        <v>0</v>
      </c>
      <c r="K22" s="13">
        <v>0</v>
      </c>
      <c r="L22" s="13">
        <v>0</v>
      </c>
      <c r="M22" s="82">
        <f>BI22</f>
        <v>7.1920000000000002</v>
      </c>
      <c r="N22" s="49">
        <v>0</v>
      </c>
      <c r="O22" s="49">
        <v>0</v>
      </c>
      <c r="P22" s="49">
        <v>0</v>
      </c>
      <c r="Q22" s="49">
        <v>0</v>
      </c>
      <c r="R22" s="49">
        <v>0</v>
      </c>
      <c r="S22" s="49">
        <v>0</v>
      </c>
      <c r="T22" s="49">
        <v>0</v>
      </c>
      <c r="U22" s="49">
        <v>0</v>
      </c>
      <c r="V22" s="49">
        <v>0</v>
      </c>
      <c r="W22" s="49">
        <v>0</v>
      </c>
      <c r="X22" s="49">
        <v>0</v>
      </c>
      <c r="Y22" s="49">
        <v>0</v>
      </c>
      <c r="Z22" s="49">
        <v>0</v>
      </c>
      <c r="AA22" s="49">
        <v>0</v>
      </c>
      <c r="AB22" s="49">
        <v>0</v>
      </c>
      <c r="AC22" s="49">
        <v>0</v>
      </c>
      <c r="AD22" s="49">
        <v>0</v>
      </c>
      <c r="AE22" s="49">
        <v>0</v>
      </c>
      <c r="AF22" s="49">
        <v>0</v>
      </c>
      <c r="AG22" s="49">
        <v>0</v>
      </c>
      <c r="AH22" s="49">
        <v>0</v>
      </c>
      <c r="AI22" s="49">
        <v>0</v>
      </c>
      <c r="AJ22" s="49">
        <v>0</v>
      </c>
      <c r="AK22" s="49">
        <v>0</v>
      </c>
      <c r="AL22" s="49">
        <v>0</v>
      </c>
      <c r="AM22" s="49">
        <v>0</v>
      </c>
      <c r="AN22" s="49">
        <v>0</v>
      </c>
      <c r="AO22" s="49">
        <v>0</v>
      </c>
      <c r="AP22" s="49">
        <v>0</v>
      </c>
      <c r="AQ22" s="49">
        <v>0</v>
      </c>
      <c r="AR22" s="49">
        <v>0</v>
      </c>
      <c r="AS22" s="49">
        <v>0</v>
      </c>
      <c r="AT22" s="49">
        <v>0</v>
      </c>
      <c r="AU22" s="49">
        <v>0</v>
      </c>
      <c r="AV22" s="49">
        <v>0</v>
      </c>
      <c r="AW22" s="49">
        <v>0</v>
      </c>
      <c r="AX22" s="49">
        <v>0</v>
      </c>
      <c r="AY22" s="49">
        <v>0</v>
      </c>
      <c r="AZ22" s="49">
        <v>0</v>
      </c>
      <c r="BA22" s="49">
        <v>0</v>
      </c>
      <c r="BB22" s="49">
        <v>0</v>
      </c>
      <c r="BC22" s="49">
        <v>0</v>
      </c>
      <c r="BD22" s="49">
        <v>0</v>
      </c>
      <c r="BE22" s="49">
        <v>0</v>
      </c>
      <c r="BF22" s="49">
        <v>0</v>
      </c>
      <c r="BG22" s="49">
        <v>0</v>
      </c>
      <c r="BH22" s="49">
        <v>0</v>
      </c>
      <c r="BI22" s="13">
        <f>7192/1000</f>
        <v>7.1920000000000002</v>
      </c>
      <c r="BJ22" s="13">
        <f>9376/1000</f>
        <v>9.3759999999999994</v>
      </c>
    </row>
    <row r="23" spans="1:62" s="14" customFormat="1" ht="12.75">
      <c r="A23" s="46" t="s">
        <v>32</v>
      </c>
      <c r="B23" s="83">
        <f>Q23</f>
        <v>2.8460000000000001</v>
      </c>
      <c r="C23" s="13">
        <f>U23</f>
        <v>4.101</v>
      </c>
      <c r="D23" s="13">
        <f>Y23</f>
        <v>5.7460000000000004</v>
      </c>
      <c r="E23" s="13">
        <f>AC23</f>
        <v>6.7030000000000003</v>
      </c>
      <c r="F23" s="13">
        <f>AG23</f>
        <v>9.2149999999999999</v>
      </c>
      <c r="G23" s="13">
        <f>AK23</f>
        <v>23.56</v>
      </c>
      <c r="H23" s="13">
        <f>AO23</f>
        <v>24.78</v>
      </c>
      <c r="I23" s="13">
        <f>AS23</f>
        <v>24.698</v>
      </c>
      <c r="J23" s="13">
        <f>AW23</f>
        <v>10.477</v>
      </c>
      <c r="K23" s="13">
        <f>BA23</f>
        <v>10.179</v>
      </c>
      <c r="L23" s="13">
        <f t="shared" si="44"/>
        <v>8.1319999999999997</v>
      </c>
      <c r="M23" s="82">
        <f t="shared" si="45"/>
        <v>9.3049999999999997</v>
      </c>
      <c r="N23" s="49">
        <v>1.9119999999999999</v>
      </c>
      <c r="O23" s="13">
        <v>2.5059999999999998</v>
      </c>
      <c r="P23" s="13">
        <v>2.645</v>
      </c>
      <c r="Q23" s="13">
        <v>2.8460000000000001</v>
      </c>
      <c r="R23" s="13">
        <v>3.1949999999999998</v>
      </c>
      <c r="S23" s="13">
        <v>3.8849999999999998</v>
      </c>
      <c r="T23" s="13">
        <v>4.4859999999999998</v>
      </c>
      <c r="U23" s="13">
        <v>4.101</v>
      </c>
      <c r="V23" s="13">
        <v>4.0190000000000001</v>
      </c>
      <c r="W23" s="13">
        <v>4.1050000000000004</v>
      </c>
      <c r="X23" s="13">
        <v>4.9249999999999998</v>
      </c>
      <c r="Y23" s="13">
        <v>5.7460000000000004</v>
      </c>
      <c r="Z23" s="13">
        <v>5.68</v>
      </c>
      <c r="AA23" s="13">
        <v>5.7480000000000002</v>
      </c>
      <c r="AB23" s="13">
        <v>6.4850000000000003</v>
      </c>
      <c r="AC23" s="13">
        <v>6.7030000000000003</v>
      </c>
      <c r="AD23" s="13">
        <v>9.6539999999999999</v>
      </c>
      <c r="AE23" s="13">
        <v>10.012</v>
      </c>
      <c r="AF23" s="13">
        <v>10.154999999999999</v>
      </c>
      <c r="AG23" s="13">
        <v>9.2149999999999999</v>
      </c>
      <c r="AH23" s="13">
        <v>23.111000000000001</v>
      </c>
      <c r="AI23" s="13">
        <v>22.96</v>
      </c>
      <c r="AJ23" s="13">
        <v>22.277999999999999</v>
      </c>
      <c r="AK23" s="13">
        <v>23.56</v>
      </c>
      <c r="AL23" s="13">
        <v>24.532</v>
      </c>
      <c r="AM23" s="13">
        <v>24.696000000000002</v>
      </c>
      <c r="AN23" s="13">
        <v>24.885000000000002</v>
      </c>
      <c r="AO23" s="13">
        <v>24.78</v>
      </c>
      <c r="AP23" s="13">
        <v>25.12</v>
      </c>
      <c r="AQ23" s="13">
        <v>25.033000000000001</v>
      </c>
      <c r="AR23" s="13">
        <v>24.271999999999998</v>
      </c>
      <c r="AS23" s="13">
        <v>24.698</v>
      </c>
      <c r="AT23" s="13">
        <v>24.478000000000002</v>
      </c>
      <c r="AU23" s="13">
        <v>26.045999999999999</v>
      </c>
      <c r="AV23" s="13">
        <v>10.130000000000001</v>
      </c>
      <c r="AW23" s="13">
        <v>10.477</v>
      </c>
      <c r="AX23" s="13">
        <v>10.81</v>
      </c>
      <c r="AY23" s="13">
        <v>10.606999999999999</v>
      </c>
      <c r="AZ23" s="13">
        <v>10.144</v>
      </c>
      <c r="BA23" s="13">
        <v>10.179</v>
      </c>
      <c r="BB23" s="13">
        <v>10.244</v>
      </c>
      <c r="BC23" s="13">
        <v>10.499000000000001</v>
      </c>
      <c r="BD23" s="13">
        <v>9.2010000000000005</v>
      </c>
      <c r="BE23" s="13">
        <v>8.1319999999999997</v>
      </c>
      <c r="BF23" s="13">
        <v>8.3339999999999996</v>
      </c>
      <c r="BG23" s="13">
        <v>8.2279999999999998</v>
      </c>
      <c r="BH23" s="13">
        <v>8.4499999999999993</v>
      </c>
      <c r="BI23" s="13">
        <f>9305/1000</f>
        <v>9.3049999999999997</v>
      </c>
      <c r="BJ23" s="13">
        <f>50142/1000</f>
        <v>50.142000000000003</v>
      </c>
    </row>
    <row r="24" spans="1:62" s="14" customFormat="1" ht="12.75">
      <c r="A24" s="46" t="s">
        <v>99</v>
      </c>
      <c r="B24" s="83">
        <f>Q24</f>
        <v>0.63900000000000001</v>
      </c>
      <c r="C24" s="13">
        <f>U24</f>
        <v>0.627</v>
      </c>
      <c r="D24" s="13">
        <f>Y24</f>
        <v>3.5249999999999999</v>
      </c>
      <c r="E24" s="13">
        <f>AC24</f>
        <v>1.3580000000000001</v>
      </c>
      <c r="F24" s="13">
        <f>AG24</f>
        <v>0.109</v>
      </c>
      <c r="G24" s="13">
        <f>AK24</f>
        <v>0.05</v>
      </c>
      <c r="H24" s="13">
        <f>AO24</f>
        <v>0</v>
      </c>
      <c r="I24" s="13">
        <f>AS24</f>
        <v>0</v>
      </c>
      <c r="J24" s="13">
        <f>AW24</f>
        <v>15.387</v>
      </c>
      <c r="K24" s="13">
        <f>BA24</f>
        <v>11.571999999999999</v>
      </c>
      <c r="L24" s="13">
        <f t="shared" si="44"/>
        <v>54.472000000000001</v>
      </c>
      <c r="M24" s="82">
        <f t="shared" si="45"/>
        <v>4.758</v>
      </c>
      <c r="N24" s="49">
        <v>0.91</v>
      </c>
      <c r="O24" s="13">
        <v>0.80300000000000005</v>
      </c>
      <c r="P24" s="13">
        <v>1.371</v>
      </c>
      <c r="Q24" s="13">
        <v>0.63900000000000001</v>
      </c>
      <c r="R24" s="13">
        <v>0.51300000000000001</v>
      </c>
      <c r="S24" s="13">
        <v>0.45500000000000002</v>
      </c>
      <c r="T24" s="13">
        <v>0.89</v>
      </c>
      <c r="U24" s="13">
        <v>0.627</v>
      </c>
      <c r="V24" s="13">
        <v>0.34100000000000003</v>
      </c>
      <c r="W24" s="13">
        <v>0.10199999999999999</v>
      </c>
      <c r="X24" s="13">
        <v>0.10100000000000001</v>
      </c>
      <c r="Y24" s="13">
        <v>3.5249999999999999</v>
      </c>
      <c r="Z24" s="13">
        <v>3.1970000000000001</v>
      </c>
      <c r="AA24" s="13">
        <v>4.1159999999999997</v>
      </c>
      <c r="AB24" s="13">
        <v>2.7360000000000002</v>
      </c>
      <c r="AC24" s="13">
        <v>1.3580000000000001</v>
      </c>
      <c r="AD24" s="13">
        <v>0</v>
      </c>
      <c r="AE24" s="13">
        <v>0</v>
      </c>
      <c r="AF24" s="13">
        <v>0</v>
      </c>
      <c r="AG24" s="13">
        <v>0.109</v>
      </c>
      <c r="AH24" s="13">
        <v>0</v>
      </c>
      <c r="AI24" s="13">
        <v>0</v>
      </c>
      <c r="AJ24" s="13">
        <v>0</v>
      </c>
      <c r="AK24" s="13">
        <v>0.05</v>
      </c>
      <c r="AL24" s="13">
        <v>0</v>
      </c>
      <c r="AM24" s="13">
        <v>0.54600000000000004</v>
      </c>
      <c r="AN24" s="13">
        <v>0</v>
      </c>
      <c r="AO24" s="13">
        <v>0</v>
      </c>
      <c r="AP24" s="13">
        <v>0</v>
      </c>
      <c r="AQ24" s="13">
        <v>0</v>
      </c>
      <c r="AR24" s="13">
        <v>0</v>
      </c>
      <c r="AS24" s="13">
        <v>0</v>
      </c>
      <c r="AT24" s="13">
        <v>0</v>
      </c>
      <c r="AU24" s="13">
        <v>0</v>
      </c>
      <c r="AV24" s="13">
        <v>15.387</v>
      </c>
      <c r="AW24" s="13">
        <v>15.387</v>
      </c>
      <c r="AX24" s="13">
        <v>15.387</v>
      </c>
      <c r="AY24" s="13">
        <v>11.54</v>
      </c>
      <c r="AZ24" s="13">
        <v>11.561</v>
      </c>
      <c r="BA24" s="13">
        <v>11.571999999999999</v>
      </c>
      <c r="BB24" s="13">
        <v>11.54</v>
      </c>
      <c r="BC24" s="13">
        <v>7.6890000000000001</v>
      </c>
      <c r="BD24" s="13">
        <v>7.694</v>
      </c>
      <c r="BE24" s="13">
        <v>54.472000000000001</v>
      </c>
      <c r="BF24" s="13">
        <v>44.973999999999997</v>
      </c>
      <c r="BG24" s="13">
        <v>6.9669999999999996</v>
      </c>
      <c r="BH24" s="13">
        <v>4.0110000000000001</v>
      </c>
      <c r="BI24" s="13">
        <f>4758/1000</f>
        <v>4.758</v>
      </c>
      <c r="BJ24" s="13">
        <f>747/1000</f>
        <v>0.747</v>
      </c>
    </row>
    <row r="25" spans="1:62" s="14" customFormat="1" ht="12.75">
      <c r="A25" s="46" t="s">
        <v>33</v>
      </c>
      <c r="B25" s="83">
        <f>Q25</f>
        <v>13.064</v>
      </c>
      <c r="C25" s="13">
        <f>U25</f>
        <v>7.3289999999999997</v>
      </c>
      <c r="D25" s="13">
        <f>Y25</f>
        <v>8.9260000000000002</v>
      </c>
      <c r="E25" s="13">
        <f>AC25</f>
        <v>10.013999999999999</v>
      </c>
      <c r="F25" s="13">
        <f>AG25</f>
        <v>12.856</v>
      </c>
      <c r="G25" s="13">
        <f>AK25</f>
        <v>5.5</v>
      </c>
      <c r="H25" s="13">
        <f>AO25</f>
        <v>6.4359999999999999</v>
      </c>
      <c r="I25" s="13">
        <f>AS25</f>
        <v>7.9569999999999999</v>
      </c>
      <c r="J25" s="13">
        <f>AW25</f>
        <v>7.3890000000000002</v>
      </c>
      <c r="K25" s="13">
        <f>BA25</f>
        <v>8.5090000000000003</v>
      </c>
      <c r="L25" s="13">
        <f t="shared" si="44"/>
        <v>7.4690000000000003</v>
      </c>
      <c r="M25" s="82">
        <f t="shared" si="45"/>
        <v>8.25</v>
      </c>
      <c r="N25" s="49">
        <v>16.654</v>
      </c>
      <c r="O25" s="13">
        <v>14.263</v>
      </c>
      <c r="P25" s="13">
        <v>12.811</v>
      </c>
      <c r="Q25" s="13">
        <v>13.064</v>
      </c>
      <c r="R25" s="13">
        <v>5.0209999999999999</v>
      </c>
      <c r="S25" s="13">
        <v>4.6130000000000004</v>
      </c>
      <c r="T25" s="13">
        <v>6.5019999999999998</v>
      </c>
      <c r="U25" s="13">
        <v>7.3289999999999997</v>
      </c>
      <c r="V25" s="13">
        <v>8.56</v>
      </c>
      <c r="W25" s="13">
        <v>9.1210000000000004</v>
      </c>
      <c r="X25" s="13">
        <v>7.7679999999999998</v>
      </c>
      <c r="Y25" s="13">
        <v>8.9260000000000002</v>
      </c>
      <c r="Z25" s="13">
        <v>9.0709999999999997</v>
      </c>
      <c r="AA25" s="13">
        <v>9.9640000000000004</v>
      </c>
      <c r="AB25" s="13">
        <v>9.6300000000000008</v>
      </c>
      <c r="AC25" s="13">
        <v>10.013999999999999</v>
      </c>
      <c r="AD25" s="13">
        <v>10.343999999999999</v>
      </c>
      <c r="AE25" s="13">
        <v>10.779</v>
      </c>
      <c r="AF25" s="13">
        <v>11.395</v>
      </c>
      <c r="AG25" s="13">
        <v>12.856</v>
      </c>
      <c r="AH25" s="13">
        <v>4.1429999999999998</v>
      </c>
      <c r="AI25" s="13">
        <v>5.0599999999999996</v>
      </c>
      <c r="AJ25" s="13">
        <v>5.5819999999999999</v>
      </c>
      <c r="AK25" s="13">
        <v>5.5</v>
      </c>
      <c r="AL25" s="13">
        <v>5.016</v>
      </c>
      <c r="AM25" s="13">
        <v>7.4429999999999996</v>
      </c>
      <c r="AN25" s="13">
        <v>4.577</v>
      </c>
      <c r="AO25" s="13">
        <v>6.4359999999999999</v>
      </c>
      <c r="AP25" s="13">
        <v>5.7560000000000002</v>
      </c>
      <c r="AQ25" s="13">
        <v>1.7190000000000001</v>
      </c>
      <c r="AR25" s="13">
        <v>3.476</v>
      </c>
      <c r="AS25" s="13">
        <v>7.9569999999999999</v>
      </c>
      <c r="AT25" s="13">
        <v>5.0430000000000001</v>
      </c>
      <c r="AU25" s="13">
        <v>0.89700000000000002</v>
      </c>
      <c r="AV25" s="13">
        <v>7.008</v>
      </c>
      <c r="AW25" s="13">
        <v>7.3890000000000002</v>
      </c>
      <c r="AX25" s="13">
        <v>15.448</v>
      </c>
      <c r="AY25" s="13">
        <v>10.026999999999999</v>
      </c>
      <c r="AZ25" s="13">
        <v>8.1080000000000005</v>
      </c>
      <c r="BA25" s="13">
        <v>8.5090000000000003</v>
      </c>
      <c r="BB25" s="13">
        <v>9.0519999999999996</v>
      </c>
      <c r="BC25" s="13">
        <v>9.1069999999999993</v>
      </c>
      <c r="BD25" s="13">
        <v>9.6229999999999993</v>
      </c>
      <c r="BE25" s="13">
        <v>7.4690000000000003</v>
      </c>
      <c r="BF25" s="13">
        <v>7.7809999999999997</v>
      </c>
      <c r="BG25" s="13">
        <v>7.6420000000000003</v>
      </c>
      <c r="BH25" s="13">
        <v>8.02</v>
      </c>
      <c r="BI25" s="13">
        <f>8250/1000</f>
        <v>8.25</v>
      </c>
      <c r="BJ25" s="13">
        <f>8420/1000</f>
        <v>8.42</v>
      </c>
    </row>
    <row r="26" spans="1:62" s="14" customFormat="1" ht="12.75">
      <c r="A26" s="45" t="s">
        <v>34</v>
      </c>
      <c r="B26" s="84">
        <f>Q26</f>
        <v>23.452000000000002</v>
      </c>
      <c r="C26" s="18">
        <f>U26</f>
        <v>39.590000000000003</v>
      </c>
      <c r="D26" s="18">
        <f>Y26</f>
        <v>48.83</v>
      </c>
      <c r="E26" s="18">
        <f>AC26</f>
        <v>50.593000000000004</v>
      </c>
      <c r="F26" s="18">
        <f>AG26</f>
        <v>41.253999999999998</v>
      </c>
      <c r="G26" s="18">
        <f>AK26</f>
        <v>37.79</v>
      </c>
      <c r="H26" s="18">
        <f>AO26</f>
        <v>31.675999999999998</v>
      </c>
      <c r="I26" s="18">
        <f>AS26</f>
        <v>15.696999999999999</v>
      </c>
      <c r="J26" s="18">
        <f>AW26</f>
        <v>15.991</v>
      </c>
      <c r="K26" s="18">
        <f>BA26</f>
        <v>14.07</v>
      </c>
      <c r="L26" s="18">
        <f t="shared" si="44"/>
        <v>9.6300000000000008</v>
      </c>
      <c r="M26" s="85">
        <f t="shared" si="45"/>
        <v>7.1980000000000004</v>
      </c>
      <c r="N26" s="48">
        <v>23.126000000000001</v>
      </c>
      <c r="O26" s="18">
        <v>24.036000000000001</v>
      </c>
      <c r="P26" s="18">
        <v>23.837</v>
      </c>
      <c r="Q26" s="18">
        <f>23452/1000</f>
        <v>23.452000000000002</v>
      </c>
      <c r="R26" s="18">
        <f>24091/1000</f>
        <v>24.091000000000001</v>
      </c>
      <c r="S26" s="18">
        <f>25501/1000</f>
        <v>25.501000000000001</v>
      </c>
      <c r="T26" s="18">
        <f>33281/1000</f>
        <v>33.280999999999999</v>
      </c>
      <c r="U26" s="18">
        <v>39.590000000000003</v>
      </c>
      <c r="V26" s="18">
        <v>51.52</v>
      </c>
      <c r="W26" s="18">
        <v>51.066000000000003</v>
      </c>
      <c r="X26" s="18">
        <v>50.375</v>
      </c>
      <c r="Y26" s="18">
        <v>48.83</v>
      </c>
      <c r="Z26" s="18">
        <v>48.493000000000002</v>
      </c>
      <c r="AA26" s="18">
        <v>48.334000000000003</v>
      </c>
      <c r="AB26" s="18">
        <v>47.713000000000001</v>
      </c>
      <c r="AC26" s="18">
        <v>50.593000000000004</v>
      </c>
      <c r="AD26" s="18">
        <v>48.813000000000002</v>
      </c>
      <c r="AE26" s="18">
        <v>46.707000000000001</v>
      </c>
      <c r="AF26" s="18">
        <v>44.366</v>
      </c>
      <c r="AG26" s="18">
        <v>41.253999999999998</v>
      </c>
      <c r="AH26" s="18">
        <v>40.914000000000001</v>
      </c>
      <c r="AI26" s="18">
        <v>39.174999999999997</v>
      </c>
      <c r="AJ26" s="18">
        <v>40.209000000000003</v>
      </c>
      <c r="AK26" s="18">
        <v>37.79</v>
      </c>
      <c r="AL26" s="18">
        <v>36.597000000000001</v>
      </c>
      <c r="AM26" s="18">
        <v>34.332999999999998</v>
      </c>
      <c r="AN26" s="18">
        <v>33.250999999999998</v>
      </c>
      <c r="AO26" s="18">
        <v>31.675999999999998</v>
      </c>
      <c r="AP26" s="18">
        <v>30.312000000000001</v>
      </c>
      <c r="AQ26" s="18">
        <v>29.120999999999999</v>
      </c>
      <c r="AR26" s="18">
        <v>21.225999999999999</v>
      </c>
      <c r="AS26" s="18">
        <v>15.696999999999999</v>
      </c>
      <c r="AT26" s="18">
        <v>15.176</v>
      </c>
      <c r="AU26" s="18">
        <v>14.086</v>
      </c>
      <c r="AV26" s="18">
        <v>13.031000000000001</v>
      </c>
      <c r="AW26" s="18">
        <v>15.991</v>
      </c>
      <c r="AX26" s="18">
        <v>49.968000000000004</v>
      </c>
      <c r="AY26" s="18">
        <v>46.491</v>
      </c>
      <c r="AZ26" s="18">
        <v>49.829000000000001</v>
      </c>
      <c r="BA26" s="18">
        <v>14.07</v>
      </c>
      <c r="BB26" s="18">
        <v>14.234999999999999</v>
      </c>
      <c r="BC26" s="18">
        <v>13.335000000000001</v>
      </c>
      <c r="BD26" s="18">
        <v>12.315</v>
      </c>
      <c r="BE26" s="18">
        <v>9.6300000000000008</v>
      </c>
      <c r="BF26" s="18">
        <v>7.8940000000000001</v>
      </c>
      <c r="BG26" s="18">
        <v>7.7850000000000001</v>
      </c>
      <c r="BH26" s="18">
        <v>8.0709999999999997</v>
      </c>
      <c r="BI26" s="18">
        <f>7198/1000</f>
        <v>7.1980000000000004</v>
      </c>
      <c r="BJ26" s="13">
        <f>6115/1000</f>
        <v>6.1150000000000002</v>
      </c>
    </row>
    <row r="27" spans="1:62" s="14" customFormat="1" ht="12.75">
      <c r="A27" s="45" t="s">
        <v>179</v>
      </c>
      <c r="B27" s="84">
        <v>0</v>
      </c>
      <c r="C27" s="18">
        <v>0</v>
      </c>
      <c r="D27" s="18">
        <v>0</v>
      </c>
      <c r="E27" s="18">
        <v>0</v>
      </c>
      <c r="F27" s="18">
        <v>0</v>
      </c>
      <c r="G27" s="18">
        <v>0</v>
      </c>
      <c r="H27" s="18">
        <v>0</v>
      </c>
      <c r="I27" s="18">
        <v>0</v>
      </c>
      <c r="J27" s="18">
        <v>0</v>
      </c>
      <c r="K27" s="18">
        <v>0</v>
      </c>
      <c r="L27" s="18">
        <f t="shared" si="44"/>
        <v>17.175000000000001</v>
      </c>
      <c r="M27" s="85">
        <f t="shared" si="45"/>
        <v>7.649</v>
      </c>
      <c r="N27" s="48">
        <v>0</v>
      </c>
      <c r="O27" s="18">
        <v>0</v>
      </c>
      <c r="P27" s="18">
        <v>0</v>
      </c>
      <c r="Q27" s="18">
        <v>0</v>
      </c>
      <c r="R27" s="18">
        <v>0</v>
      </c>
      <c r="S27" s="18">
        <v>0</v>
      </c>
      <c r="T27" s="18">
        <v>0</v>
      </c>
      <c r="U27" s="18">
        <v>0</v>
      </c>
      <c r="V27" s="18">
        <v>0</v>
      </c>
      <c r="W27" s="18">
        <v>0</v>
      </c>
      <c r="X27" s="18">
        <v>0</v>
      </c>
      <c r="Y27" s="18">
        <v>0</v>
      </c>
      <c r="Z27" s="18">
        <v>0</v>
      </c>
      <c r="AA27" s="18">
        <v>0</v>
      </c>
      <c r="AB27" s="18">
        <v>0</v>
      </c>
      <c r="AC27" s="18">
        <v>0</v>
      </c>
      <c r="AD27" s="18">
        <v>0</v>
      </c>
      <c r="AE27" s="18">
        <v>0</v>
      </c>
      <c r="AF27" s="18">
        <v>0</v>
      </c>
      <c r="AG27" s="18">
        <v>0</v>
      </c>
      <c r="AH27" s="18">
        <v>0</v>
      </c>
      <c r="AI27" s="18">
        <v>0</v>
      </c>
      <c r="AJ27" s="18">
        <v>0</v>
      </c>
      <c r="AK27" s="18">
        <v>0</v>
      </c>
      <c r="AL27" s="18">
        <v>0</v>
      </c>
      <c r="AM27" s="18">
        <v>0</v>
      </c>
      <c r="AN27" s="18">
        <v>0</v>
      </c>
      <c r="AO27" s="18">
        <v>0</v>
      </c>
      <c r="AP27" s="18">
        <v>0</v>
      </c>
      <c r="AQ27" s="18">
        <v>0</v>
      </c>
      <c r="AR27" s="18">
        <v>0</v>
      </c>
      <c r="AS27" s="18">
        <v>0</v>
      </c>
      <c r="AT27" s="18">
        <v>0</v>
      </c>
      <c r="AU27" s="18">
        <v>0</v>
      </c>
      <c r="AV27" s="18">
        <v>0</v>
      </c>
      <c r="AW27" s="18">
        <v>0</v>
      </c>
      <c r="AX27" s="18">
        <v>0</v>
      </c>
      <c r="AY27" s="18">
        <v>0</v>
      </c>
      <c r="AZ27" s="18">
        <v>0</v>
      </c>
      <c r="BA27" s="18">
        <v>33.753</v>
      </c>
      <c r="BB27" s="18">
        <v>38.994999999999997</v>
      </c>
      <c r="BC27" s="18">
        <v>35.024000000000001</v>
      </c>
      <c r="BD27" s="18">
        <v>31.41</v>
      </c>
      <c r="BE27" s="18">
        <v>17.175000000000001</v>
      </c>
      <c r="BF27" s="18">
        <v>6.3209999999999997</v>
      </c>
      <c r="BG27" s="18">
        <v>9.0120000000000005</v>
      </c>
      <c r="BH27" s="18">
        <v>8.3309999999999995</v>
      </c>
      <c r="BI27" s="18">
        <f>7649/1000</f>
        <v>7.649</v>
      </c>
      <c r="BJ27" s="13">
        <f>8062/1000</f>
        <v>8.0619999999999994</v>
      </c>
    </row>
    <row r="28" spans="1:62" s="14" customFormat="1" ht="12.75">
      <c r="A28" s="45" t="s">
        <v>109</v>
      </c>
      <c r="B28" s="84">
        <f t="shared" ref="B28:L28" si="46">B29+B30</f>
        <v>137.23500000000001</v>
      </c>
      <c r="C28" s="18">
        <f t="shared" si="46"/>
        <v>138.678</v>
      </c>
      <c r="D28" s="18">
        <f t="shared" si="46"/>
        <v>140.79900000000001</v>
      </c>
      <c r="E28" s="18">
        <f t="shared" si="46"/>
        <v>139.827</v>
      </c>
      <c r="F28" s="18">
        <f t="shared" si="46"/>
        <v>117.964</v>
      </c>
      <c r="G28" s="18">
        <f t="shared" si="46"/>
        <v>122.19499999999999</v>
      </c>
      <c r="H28" s="18">
        <f t="shared" si="46"/>
        <v>118.94799999999999</v>
      </c>
      <c r="I28" s="18">
        <f t="shared" si="46"/>
        <v>117.107</v>
      </c>
      <c r="J28" s="18">
        <f t="shared" si="46"/>
        <v>114.29</v>
      </c>
      <c r="K28" s="18">
        <f t="shared" si="46"/>
        <v>127.148</v>
      </c>
      <c r="L28" s="18">
        <f t="shared" si="46"/>
        <v>103.23400000000001</v>
      </c>
      <c r="M28" s="85">
        <f t="shared" si="45"/>
        <v>109.533</v>
      </c>
      <c r="N28" s="48">
        <f>N29+N30</f>
        <v>137.62700000000001</v>
      </c>
      <c r="O28" s="18">
        <f t="shared" ref="O28:Z28" si="47">O29+O30</f>
        <v>137.62099999999998</v>
      </c>
      <c r="P28" s="18">
        <f t="shared" si="47"/>
        <v>137.32600000000002</v>
      </c>
      <c r="Q28" s="18">
        <f t="shared" si="47"/>
        <v>137.23500000000001</v>
      </c>
      <c r="R28" s="18">
        <f t="shared" si="47"/>
        <v>137.04</v>
      </c>
      <c r="S28" s="18">
        <f t="shared" si="47"/>
        <v>136.69999999999999</v>
      </c>
      <c r="T28" s="18">
        <f t="shared" si="47"/>
        <v>137.71700000000001</v>
      </c>
      <c r="U28" s="18">
        <f t="shared" si="47"/>
        <v>138.678</v>
      </c>
      <c r="V28" s="18">
        <f t="shared" si="47"/>
        <v>140.364</v>
      </c>
      <c r="W28" s="18">
        <f t="shared" si="47"/>
        <v>140.82</v>
      </c>
      <c r="X28" s="18">
        <f t="shared" si="47"/>
        <v>140.834</v>
      </c>
      <c r="Y28" s="18">
        <f t="shared" si="47"/>
        <v>140.79900000000001</v>
      </c>
      <c r="Z28" s="18">
        <f t="shared" si="47"/>
        <v>140.33189999999999</v>
      </c>
      <c r="AA28" s="18">
        <f t="shared" ref="AA28:AB28" si="48">AA29+AA30</f>
        <v>140.78500000000003</v>
      </c>
      <c r="AB28" s="18">
        <f t="shared" si="48"/>
        <v>140.26999999999998</v>
      </c>
      <c r="AC28" s="18">
        <f t="shared" ref="AC28:AD28" si="49">AC29+AC30</f>
        <v>139.827</v>
      </c>
      <c r="AD28" s="18">
        <f t="shared" si="49"/>
        <v>138.21</v>
      </c>
      <c r="AE28" s="18">
        <f t="shared" ref="AE28" si="50">AE29+AE30</f>
        <v>137.74200000000002</v>
      </c>
      <c r="AF28" s="18">
        <f t="shared" ref="AF28:AK28" si="51">AF29+AF30</f>
        <v>137.804</v>
      </c>
      <c r="AG28" s="18">
        <f t="shared" si="51"/>
        <v>117.964</v>
      </c>
      <c r="AH28" s="18">
        <f t="shared" si="51"/>
        <v>118.67</v>
      </c>
      <c r="AI28" s="18">
        <f t="shared" si="51"/>
        <v>118.214</v>
      </c>
      <c r="AJ28" s="18">
        <f t="shared" si="51"/>
        <v>123.78700000000001</v>
      </c>
      <c r="AK28" s="18">
        <f t="shared" si="51"/>
        <v>122.19499999999999</v>
      </c>
      <c r="AL28" s="18">
        <f t="shared" ref="AL28:AM28" si="52">AL29+AL30</f>
        <v>120.68400000000001</v>
      </c>
      <c r="AM28" s="18">
        <f t="shared" si="52"/>
        <v>120.036</v>
      </c>
      <c r="AN28" s="18">
        <f t="shared" ref="AN28:AO28" si="53">AN29+AN30</f>
        <v>119.45599999999999</v>
      </c>
      <c r="AO28" s="18">
        <f t="shared" si="53"/>
        <v>118.94799999999999</v>
      </c>
      <c r="AP28" s="18">
        <f t="shared" ref="AP28:AQ28" si="54">AP29+AP30</f>
        <v>118.548</v>
      </c>
      <c r="AQ28" s="18">
        <f t="shared" si="54"/>
        <v>118.21899999999999</v>
      </c>
      <c r="AR28" s="18">
        <f t="shared" ref="AR28:AS28" si="55">AR29+AR30</f>
        <v>117.58999999999999</v>
      </c>
      <c r="AS28" s="18">
        <f t="shared" si="55"/>
        <v>117.107</v>
      </c>
      <c r="AT28" s="18">
        <f t="shared" ref="AT28:AY28" si="56">AT29+AT30</f>
        <v>116.64200000000001</v>
      </c>
      <c r="AU28" s="18">
        <f t="shared" si="56"/>
        <v>115.905</v>
      </c>
      <c r="AV28" s="18">
        <f t="shared" si="56"/>
        <v>115.08000000000001</v>
      </c>
      <c r="AW28" s="18">
        <f t="shared" si="56"/>
        <v>114.29</v>
      </c>
      <c r="AX28" s="18">
        <f t="shared" si="56"/>
        <v>130.428</v>
      </c>
      <c r="AY28" s="18">
        <f t="shared" si="56"/>
        <v>130.191</v>
      </c>
      <c r="AZ28" s="18">
        <f t="shared" ref="AZ28:BA28" si="57">AZ29+AZ30</f>
        <v>127.32899999999999</v>
      </c>
      <c r="BA28" s="18">
        <f t="shared" si="57"/>
        <v>127.148</v>
      </c>
      <c r="BB28" s="18">
        <f t="shared" ref="BB28" si="58">BB29+BB30</f>
        <v>130.84399999999999</v>
      </c>
      <c r="BC28" s="18">
        <f t="shared" ref="BC28:BE28" si="59">BC29+BC30</f>
        <v>130.917</v>
      </c>
      <c r="BD28" s="18">
        <f t="shared" si="59"/>
        <v>124.66799999999999</v>
      </c>
      <c r="BE28" s="18">
        <f t="shared" si="59"/>
        <v>103.23400000000001</v>
      </c>
      <c r="BF28" s="18">
        <f t="shared" ref="BF28:BJ28" si="60">BF29+BF30</f>
        <v>105.733</v>
      </c>
      <c r="BG28" s="18">
        <f t="shared" si="60"/>
        <v>105.03599999999999</v>
      </c>
      <c r="BH28" s="18">
        <f t="shared" si="60"/>
        <v>108.92</v>
      </c>
      <c r="BI28" s="18">
        <f t="shared" si="60"/>
        <v>109.533</v>
      </c>
      <c r="BJ28" s="18">
        <f t="shared" si="60"/>
        <v>107.521</v>
      </c>
    </row>
    <row r="29" spans="1:62" s="14" customFormat="1" ht="12.75">
      <c r="A29" s="46" t="s">
        <v>35</v>
      </c>
      <c r="B29" s="83">
        <f>Q29</f>
        <v>135.07400000000001</v>
      </c>
      <c r="C29" s="13">
        <f>U29</f>
        <v>135.32499999999999</v>
      </c>
      <c r="D29" s="13">
        <f>Y29</f>
        <v>136.79300000000001</v>
      </c>
      <c r="E29" s="13">
        <f>AC29</f>
        <v>135.93600000000001</v>
      </c>
      <c r="F29" s="13">
        <f>AG29</f>
        <v>115.294</v>
      </c>
      <c r="G29" s="13">
        <f>AK29</f>
        <v>115.059</v>
      </c>
      <c r="H29" s="13">
        <f>AO29</f>
        <v>113.60299999999999</v>
      </c>
      <c r="I29" s="13">
        <f>AS29</f>
        <v>113.008</v>
      </c>
      <c r="J29" s="13">
        <f>AW29</f>
        <v>111.17700000000001</v>
      </c>
      <c r="K29" s="13">
        <f>BA29</f>
        <v>123.767</v>
      </c>
      <c r="L29" s="13">
        <f>BE29</f>
        <v>99.519000000000005</v>
      </c>
      <c r="M29" s="82">
        <f t="shared" si="45"/>
        <v>104.244</v>
      </c>
      <c r="N29" s="49">
        <v>135.68</v>
      </c>
      <c r="O29" s="13">
        <v>135.66499999999999</v>
      </c>
      <c r="P29" s="13">
        <v>135.20400000000001</v>
      </c>
      <c r="Q29" s="13">
        <v>135.07400000000001</v>
      </c>
      <c r="R29" s="13">
        <v>134.81</v>
      </c>
      <c r="S29" s="13">
        <v>134.47999999999999</v>
      </c>
      <c r="T29" s="13">
        <v>135.40600000000001</v>
      </c>
      <c r="U29" s="13">
        <v>135.32499999999999</v>
      </c>
      <c r="V29" s="13">
        <v>137.04</v>
      </c>
      <c r="W29" s="13">
        <v>137.5</v>
      </c>
      <c r="X29" s="13">
        <v>137.28700000000001</v>
      </c>
      <c r="Y29" s="13">
        <v>136.79300000000001</v>
      </c>
      <c r="Z29" s="13">
        <v>136.44489999999999</v>
      </c>
      <c r="AA29" s="13">
        <v>136.72300000000001</v>
      </c>
      <c r="AB29" s="13">
        <v>136.32499999999999</v>
      </c>
      <c r="AC29" s="13">
        <v>135.93600000000001</v>
      </c>
      <c r="AD29" s="13">
        <v>134.76900000000001</v>
      </c>
      <c r="AE29" s="13">
        <v>134.59200000000001</v>
      </c>
      <c r="AF29" s="13">
        <v>134.87100000000001</v>
      </c>
      <c r="AG29" s="13">
        <v>115.294</v>
      </c>
      <c r="AH29" s="13">
        <v>115.999</v>
      </c>
      <c r="AI29" s="13">
        <v>115.658</v>
      </c>
      <c r="AJ29" s="13">
        <v>116.88200000000001</v>
      </c>
      <c r="AK29" s="13">
        <v>115.059</v>
      </c>
      <c r="AL29" s="13">
        <v>114.18300000000001</v>
      </c>
      <c r="AM29" s="13">
        <v>113.742</v>
      </c>
      <c r="AN29" s="13">
        <v>113.71599999999999</v>
      </c>
      <c r="AO29" s="13">
        <v>113.60299999999999</v>
      </c>
      <c r="AP29" s="13">
        <v>113.60899999999999</v>
      </c>
      <c r="AQ29" s="13">
        <v>113.509</v>
      </c>
      <c r="AR29" s="13">
        <v>113.255</v>
      </c>
      <c r="AS29" s="13">
        <v>113.008</v>
      </c>
      <c r="AT29" s="13">
        <v>112.861</v>
      </c>
      <c r="AU29" s="13">
        <v>112.39700000000001</v>
      </c>
      <c r="AV29" s="13">
        <v>111.90300000000001</v>
      </c>
      <c r="AW29" s="13">
        <v>111.17700000000001</v>
      </c>
      <c r="AX29" s="13">
        <v>127.676</v>
      </c>
      <c r="AY29" s="13">
        <v>127.688</v>
      </c>
      <c r="AZ29" s="13">
        <v>125.23399999999999</v>
      </c>
      <c r="BA29" s="13">
        <v>123.767</v>
      </c>
      <c r="BB29" s="13">
        <v>127.645</v>
      </c>
      <c r="BC29" s="13">
        <v>128.017</v>
      </c>
      <c r="BD29" s="13">
        <v>121.45699999999999</v>
      </c>
      <c r="BE29" s="13">
        <v>99.519000000000005</v>
      </c>
      <c r="BF29" s="13">
        <v>101.578</v>
      </c>
      <c r="BG29" s="13">
        <v>100.57</v>
      </c>
      <c r="BH29" s="13">
        <v>104.209</v>
      </c>
      <c r="BI29" s="13">
        <f>104244/1000</f>
        <v>104.244</v>
      </c>
      <c r="BJ29" s="13">
        <f>101781/1000</f>
        <v>101.78100000000001</v>
      </c>
    </row>
    <row r="30" spans="1:62" s="14" customFormat="1" ht="12.75">
      <c r="A30" s="46" t="s">
        <v>36</v>
      </c>
      <c r="B30" s="83">
        <f>Q30</f>
        <v>2.161</v>
      </c>
      <c r="C30" s="13">
        <f>U30</f>
        <v>3.3530000000000002</v>
      </c>
      <c r="D30" s="13">
        <f>Y30</f>
        <v>4.0060000000000002</v>
      </c>
      <c r="E30" s="13">
        <f>AC30</f>
        <v>3.891</v>
      </c>
      <c r="F30" s="13">
        <f>AG30</f>
        <v>2.67</v>
      </c>
      <c r="G30" s="13">
        <f>AK30</f>
        <v>7.1360000000000001</v>
      </c>
      <c r="H30" s="13">
        <f>AO30</f>
        <v>5.3449999999999998</v>
      </c>
      <c r="I30" s="13">
        <f>AS30</f>
        <v>4.0990000000000002</v>
      </c>
      <c r="J30" s="13">
        <f>AW30</f>
        <v>3.113</v>
      </c>
      <c r="K30" s="13">
        <f>BA30</f>
        <v>3.3809999999999998</v>
      </c>
      <c r="L30" s="13">
        <f>BE30</f>
        <v>3.7149999999999999</v>
      </c>
      <c r="M30" s="82">
        <f t="shared" si="45"/>
        <v>5.2889999999999997</v>
      </c>
      <c r="N30" s="49">
        <v>1.9470000000000001</v>
      </c>
      <c r="O30" s="13">
        <v>1.956</v>
      </c>
      <c r="P30" s="13">
        <v>2.1219999999999999</v>
      </c>
      <c r="Q30" s="13">
        <v>2.161</v>
      </c>
      <c r="R30" s="13">
        <v>2.23</v>
      </c>
      <c r="S30" s="13">
        <v>2.2200000000000002</v>
      </c>
      <c r="T30" s="13">
        <v>2.3109999999999999</v>
      </c>
      <c r="U30" s="13">
        <v>3.3530000000000002</v>
      </c>
      <c r="V30" s="13">
        <v>3.3239999999999998</v>
      </c>
      <c r="W30" s="13">
        <v>3.32</v>
      </c>
      <c r="X30" s="13">
        <v>3.5470000000000002</v>
      </c>
      <c r="Y30" s="13">
        <v>4.0060000000000002</v>
      </c>
      <c r="Z30" s="13">
        <v>3.887</v>
      </c>
      <c r="AA30" s="13">
        <v>4.0620000000000003</v>
      </c>
      <c r="AB30" s="13">
        <v>3.9449999999999998</v>
      </c>
      <c r="AC30" s="13">
        <v>3.891</v>
      </c>
      <c r="AD30" s="13">
        <v>3.4409999999999998</v>
      </c>
      <c r="AE30" s="13">
        <v>3.15</v>
      </c>
      <c r="AF30" s="13">
        <v>2.9329999999999998</v>
      </c>
      <c r="AG30" s="13">
        <v>2.67</v>
      </c>
      <c r="AH30" s="13">
        <v>2.6709999999999998</v>
      </c>
      <c r="AI30" s="13">
        <v>2.556</v>
      </c>
      <c r="AJ30" s="13">
        <v>6.9050000000000002</v>
      </c>
      <c r="AK30" s="13">
        <v>7.1360000000000001</v>
      </c>
      <c r="AL30" s="13">
        <v>6.5010000000000003</v>
      </c>
      <c r="AM30" s="13">
        <v>6.2939999999999996</v>
      </c>
      <c r="AN30" s="13">
        <v>5.74</v>
      </c>
      <c r="AO30" s="13">
        <v>5.3449999999999998</v>
      </c>
      <c r="AP30" s="13">
        <v>4.9390000000000001</v>
      </c>
      <c r="AQ30" s="13">
        <v>4.71</v>
      </c>
      <c r="AR30" s="13">
        <v>4.335</v>
      </c>
      <c r="AS30" s="13">
        <v>4.0990000000000002</v>
      </c>
      <c r="AT30" s="13">
        <v>3.7810000000000001</v>
      </c>
      <c r="AU30" s="13">
        <v>3.508</v>
      </c>
      <c r="AV30" s="13">
        <v>3.177</v>
      </c>
      <c r="AW30" s="13">
        <v>3.113</v>
      </c>
      <c r="AX30" s="13">
        <v>2.7519999999999998</v>
      </c>
      <c r="AY30" s="13">
        <v>2.5030000000000001</v>
      </c>
      <c r="AZ30" s="13">
        <v>2.0950000000000002</v>
      </c>
      <c r="BA30" s="13">
        <v>3.3809999999999998</v>
      </c>
      <c r="BB30" s="13">
        <v>3.1989999999999998</v>
      </c>
      <c r="BC30" s="13">
        <v>2.9</v>
      </c>
      <c r="BD30" s="13">
        <v>3.2109999999999999</v>
      </c>
      <c r="BE30" s="13">
        <v>3.7149999999999999</v>
      </c>
      <c r="BF30" s="13">
        <v>4.1550000000000002</v>
      </c>
      <c r="BG30" s="13">
        <v>4.4660000000000002</v>
      </c>
      <c r="BH30" s="13">
        <v>4.7110000000000003</v>
      </c>
      <c r="BI30" s="13">
        <f>5289/1000</f>
        <v>5.2889999999999997</v>
      </c>
      <c r="BJ30" s="13">
        <f>5740/1000</f>
        <v>5.74</v>
      </c>
    </row>
    <row r="31" spans="1:62" s="19" customFormat="1" ht="12.75">
      <c r="A31" s="45" t="s">
        <v>37</v>
      </c>
      <c r="B31" s="84">
        <f t="shared" ref="B31:Y31" si="61">SUM(B17,B7)</f>
        <v>521.803</v>
      </c>
      <c r="C31" s="18">
        <f t="shared" si="61"/>
        <v>673.89799999999991</v>
      </c>
      <c r="D31" s="18">
        <f t="shared" si="61"/>
        <v>619.75500000000011</v>
      </c>
      <c r="E31" s="18">
        <f t="shared" si="61"/>
        <v>678.85000000000014</v>
      </c>
      <c r="F31" s="18">
        <f t="shared" si="61"/>
        <v>480.38200000000006</v>
      </c>
      <c r="G31" s="18">
        <f t="shared" si="61"/>
        <v>836.38400000000001</v>
      </c>
      <c r="H31" s="18">
        <f t="shared" si="61"/>
        <v>538.39</v>
      </c>
      <c r="I31" s="18">
        <f t="shared" si="61"/>
        <v>697.48400000000004</v>
      </c>
      <c r="J31" s="18">
        <f t="shared" si="61"/>
        <v>681.87099999999987</v>
      </c>
      <c r="K31" s="18">
        <f t="shared" si="61"/>
        <v>589.52099999999996</v>
      </c>
      <c r="L31" s="18">
        <f t="shared" si="61"/>
        <v>529.24900000000002</v>
      </c>
      <c r="M31" s="85">
        <f>SUM(M17,M7)</f>
        <v>541.29399999999998</v>
      </c>
      <c r="N31" s="48">
        <f t="shared" si="61"/>
        <v>503.76700000000005</v>
      </c>
      <c r="O31" s="18">
        <f t="shared" si="61"/>
        <v>440.11699999999996</v>
      </c>
      <c r="P31" s="18">
        <f t="shared" si="61"/>
        <v>470.96600000000001</v>
      </c>
      <c r="Q31" s="18">
        <f t="shared" si="61"/>
        <v>521.803</v>
      </c>
      <c r="R31" s="18">
        <f t="shared" si="61"/>
        <v>520.726</v>
      </c>
      <c r="S31" s="18">
        <f t="shared" si="61"/>
        <v>622.33500000000004</v>
      </c>
      <c r="T31" s="18">
        <f t="shared" si="61"/>
        <v>717.73900000000003</v>
      </c>
      <c r="U31" s="18">
        <f t="shared" si="61"/>
        <v>673.89799999999991</v>
      </c>
      <c r="V31" s="18">
        <f t="shared" si="61"/>
        <v>661.34699999999998</v>
      </c>
      <c r="W31" s="18">
        <f t="shared" si="61"/>
        <v>749.03499999999997</v>
      </c>
      <c r="X31" s="18">
        <f t="shared" si="61"/>
        <v>782.41100000000006</v>
      </c>
      <c r="Y31" s="18">
        <f t="shared" si="61"/>
        <v>619.75500000000011</v>
      </c>
      <c r="Z31" s="18">
        <f>SUM(Z17,Z7)+0.1</f>
        <v>601.74789999999996</v>
      </c>
      <c r="AA31" s="18">
        <f>SUM(AA17,AA7)+0.1</f>
        <v>709.1350000000001</v>
      </c>
      <c r="AB31" s="18">
        <f t="shared" ref="AB31:BJ31" si="62">SUM(AB17,AB7)</f>
        <v>692.97399999999993</v>
      </c>
      <c r="AC31" s="18">
        <f t="shared" si="62"/>
        <v>678.85000000000014</v>
      </c>
      <c r="AD31" s="18">
        <f t="shared" si="62"/>
        <v>651.12900000000002</v>
      </c>
      <c r="AE31" s="18">
        <f t="shared" si="62"/>
        <v>551.91100000000006</v>
      </c>
      <c r="AF31" s="18">
        <f t="shared" si="62"/>
        <v>533.90599999999995</v>
      </c>
      <c r="AG31" s="18">
        <f t="shared" si="62"/>
        <v>480.38200000000006</v>
      </c>
      <c r="AH31" s="18">
        <f t="shared" si="62"/>
        <v>509.02799999999996</v>
      </c>
      <c r="AI31" s="18">
        <f t="shared" si="62"/>
        <v>535.53500000000008</v>
      </c>
      <c r="AJ31" s="18">
        <f t="shared" si="62"/>
        <v>658.577</v>
      </c>
      <c r="AK31" s="18">
        <f t="shared" si="62"/>
        <v>836.38400000000001</v>
      </c>
      <c r="AL31" s="18">
        <f t="shared" si="62"/>
        <v>651.99099999999999</v>
      </c>
      <c r="AM31" s="18">
        <f t="shared" si="62"/>
        <v>547.06799999999998</v>
      </c>
      <c r="AN31" s="18">
        <f t="shared" si="62"/>
        <v>541.64899999999989</v>
      </c>
      <c r="AO31" s="18">
        <f t="shared" si="62"/>
        <v>538.39</v>
      </c>
      <c r="AP31" s="18">
        <f t="shared" si="62"/>
        <v>593.39</v>
      </c>
      <c r="AQ31" s="18">
        <f t="shared" si="62"/>
        <v>687.12499999999989</v>
      </c>
      <c r="AR31" s="18">
        <f t="shared" si="62"/>
        <v>692.81899999999996</v>
      </c>
      <c r="AS31" s="18">
        <f t="shared" si="62"/>
        <v>697.48400000000004</v>
      </c>
      <c r="AT31" s="18">
        <f t="shared" si="62"/>
        <v>698.81200000000013</v>
      </c>
      <c r="AU31" s="18">
        <f t="shared" si="62"/>
        <v>591.65200000000004</v>
      </c>
      <c r="AV31" s="18">
        <f t="shared" si="62"/>
        <v>625.23200000000008</v>
      </c>
      <c r="AW31" s="18">
        <f t="shared" si="62"/>
        <v>681.87099999999987</v>
      </c>
      <c r="AX31" s="58">
        <f t="shared" si="62"/>
        <v>713.16200000000003</v>
      </c>
      <c r="AY31" s="18">
        <f t="shared" si="62"/>
        <v>594.48199999999997</v>
      </c>
      <c r="AZ31" s="18">
        <f t="shared" si="62"/>
        <v>629.63</v>
      </c>
      <c r="BA31" s="18">
        <f t="shared" si="62"/>
        <v>623.274</v>
      </c>
      <c r="BB31" s="18">
        <f t="shared" si="62"/>
        <v>655.44599999999991</v>
      </c>
      <c r="BC31" s="18">
        <f t="shared" si="62"/>
        <v>624.96300000000008</v>
      </c>
      <c r="BD31" s="18">
        <f t="shared" si="62"/>
        <v>620.86099999999999</v>
      </c>
      <c r="BE31" s="18">
        <f t="shared" si="62"/>
        <v>529.24900000000002</v>
      </c>
      <c r="BF31" s="18">
        <f t="shared" si="62"/>
        <v>512.92500000000007</v>
      </c>
      <c r="BG31" s="18">
        <f t="shared" si="62"/>
        <v>487.73999999999995</v>
      </c>
      <c r="BH31" s="18">
        <f t="shared" si="62"/>
        <v>497.20100000000002</v>
      </c>
      <c r="BI31" s="18">
        <f t="shared" si="62"/>
        <v>541.29399999999998</v>
      </c>
      <c r="BJ31" s="18">
        <f t="shared" si="62"/>
        <v>565.83199999999999</v>
      </c>
    </row>
    <row r="32" spans="1:62" s="19" customFormat="1" ht="12.75">
      <c r="A32" s="45" t="s">
        <v>38</v>
      </c>
      <c r="B32" s="84">
        <f t="shared" ref="B32:M32" si="63">SUM(B33:B43)</f>
        <v>219.46100000000001</v>
      </c>
      <c r="C32" s="18">
        <f t="shared" si="63"/>
        <v>213.31399999999996</v>
      </c>
      <c r="D32" s="18">
        <f t="shared" si="63"/>
        <v>179.65299999999999</v>
      </c>
      <c r="E32" s="18">
        <f t="shared" si="63"/>
        <v>299.74700000000007</v>
      </c>
      <c r="F32" s="18">
        <f t="shared" si="63"/>
        <v>193.642</v>
      </c>
      <c r="G32" s="18">
        <f t="shared" si="63"/>
        <v>491.346</v>
      </c>
      <c r="H32" s="18">
        <f t="shared" si="63"/>
        <v>194.006</v>
      </c>
      <c r="I32" s="18">
        <f t="shared" si="63"/>
        <v>329.16199999999998</v>
      </c>
      <c r="J32" s="18">
        <f t="shared" si="63"/>
        <v>207.89600000000002</v>
      </c>
      <c r="K32" s="18">
        <f t="shared" si="63"/>
        <v>222.506</v>
      </c>
      <c r="L32" s="18">
        <f t="shared" si="63"/>
        <v>182.76599999999999</v>
      </c>
      <c r="M32" s="85">
        <f t="shared" si="63"/>
        <v>271.34300000000002</v>
      </c>
      <c r="N32" s="48">
        <f t="shared" ref="N32:Y32" si="64">SUM(N33:N43)</f>
        <v>178.91200000000001</v>
      </c>
      <c r="O32" s="18">
        <f t="shared" si="64"/>
        <v>126.688</v>
      </c>
      <c r="P32" s="18">
        <f t="shared" si="64"/>
        <v>185.89800000000002</v>
      </c>
      <c r="Q32" s="18">
        <f t="shared" si="64"/>
        <v>219.46100000000001</v>
      </c>
      <c r="R32" s="18">
        <f t="shared" si="64"/>
        <v>268.71900000000005</v>
      </c>
      <c r="S32" s="18">
        <f t="shared" si="64"/>
        <v>184.45200000000006</v>
      </c>
      <c r="T32" s="18">
        <f t="shared" si="64"/>
        <v>278.53499999999997</v>
      </c>
      <c r="U32" s="18">
        <f t="shared" si="64"/>
        <v>213.31399999999996</v>
      </c>
      <c r="V32" s="18">
        <f t="shared" si="64"/>
        <v>209.21</v>
      </c>
      <c r="W32" s="18">
        <f t="shared" si="64"/>
        <v>276.20999999999998</v>
      </c>
      <c r="X32" s="18">
        <f t="shared" si="64"/>
        <v>306.51599999999991</v>
      </c>
      <c r="Y32" s="18">
        <f t="shared" si="64"/>
        <v>179.65299999999999</v>
      </c>
      <c r="Z32" s="18">
        <f t="shared" ref="Z32:AA32" si="65">SUM(Z33:Z43)</f>
        <v>198.011</v>
      </c>
      <c r="AA32" s="18">
        <f t="shared" si="65"/>
        <v>295.38900000000001</v>
      </c>
      <c r="AB32" s="18">
        <f t="shared" ref="AB32" si="66">SUM(AB33:AB43)</f>
        <v>302.53900000000004</v>
      </c>
      <c r="AC32" s="18">
        <f t="shared" ref="AC32:AD32" si="67">SUM(AC33:AC43)</f>
        <v>299.74700000000007</v>
      </c>
      <c r="AD32" s="18">
        <f t="shared" si="67"/>
        <v>320.37000000000006</v>
      </c>
      <c r="AE32" s="18">
        <f t="shared" ref="AE32:AF32" si="68">SUM(AE33:AE43)</f>
        <v>221.09199999999998</v>
      </c>
      <c r="AF32" s="18">
        <f t="shared" si="68"/>
        <v>205.86</v>
      </c>
      <c r="AG32" s="18">
        <f t="shared" ref="AG32:AH32" si="69">SUM(AG33:AG43)</f>
        <v>193.642</v>
      </c>
      <c r="AH32" s="18">
        <f t="shared" si="69"/>
        <v>172.26600000000005</v>
      </c>
      <c r="AI32" s="18">
        <f t="shared" ref="AI32:AO32" si="70">SUM(AI33:AI43)</f>
        <v>198.89400000000001</v>
      </c>
      <c r="AJ32" s="18">
        <f t="shared" si="70"/>
        <v>319.25300000000004</v>
      </c>
      <c r="AK32" s="18">
        <f t="shared" si="70"/>
        <v>491.346</v>
      </c>
      <c r="AL32" s="18">
        <f t="shared" si="70"/>
        <v>296.46499999999997</v>
      </c>
      <c r="AM32" s="18">
        <f t="shared" si="70"/>
        <v>201.06799999999998</v>
      </c>
      <c r="AN32" s="18">
        <f t="shared" si="70"/>
        <v>197.22200000000001</v>
      </c>
      <c r="AO32" s="18">
        <f t="shared" si="70"/>
        <v>194.006</v>
      </c>
      <c r="AP32" s="18">
        <f t="shared" ref="AP32:AQ32" si="71">SUM(AP33:AP43)</f>
        <v>247.935</v>
      </c>
      <c r="AQ32" s="18">
        <f t="shared" si="71"/>
        <v>331.30499999999995</v>
      </c>
      <c r="AR32" s="18">
        <f t="shared" ref="AR32:AS32" si="72">SUM(AR33:AR43)</f>
        <v>336.53800000000001</v>
      </c>
      <c r="AS32" s="18">
        <f t="shared" si="72"/>
        <v>329.16199999999998</v>
      </c>
      <c r="AT32" s="18">
        <f t="shared" ref="AT32:AU32" si="73">SUM(AT33:AT43)</f>
        <v>342.51599999999996</v>
      </c>
      <c r="AU32" s="18">
        <f t="shared" si="73"/>
        <v>233.90900000000002</v>
      </c>
      <c r="AV32" s="18">
        <f t="shared" ref="AV32:AW32" si="74">SUM(AV33:AV43)</f>
        <v>267.99600000000004</v>
      </c>
      <c r="AW32" s="18">
        <f t="shared" si="74"/>
        <v>207.89600000000002</v>
      </c>
      <c r="AX32" s="18">
        <f t="shared" ref="AX32:AY32" si="75">SUM(AX33:AX43)</f>
        <v>207.221</v>
      </c>
      <c r="AY32" s="18">
        <f t="shared" si="75"/>
        <v>133.04400000000001</v>
      </c>
      <c r="AZ32" s="18">
        <f t="shared" ref="AZ32:BE32" si="76">SUM(AZ33:AZ43)</f>
        <v>168.59799999999998</v>
      </c>
      <c r="BA32" s="18">
        <f t="shared" si="76"/>
        <v>222.506</v>
      </c>
      <c r="BB32" s="18">
        <f t="shared" si="76"/>
        <v>252.84699999999998</v>
      </c>
      <c r="BC32" s="18">
        <f t="shared" si="76"/>
        <v>246.976</v>
      </c>
      <c r="BD32" s="18">
        <f t="shared" si="76"/>
        <v>249.08199999999999</v>
      </c>
      <c r="BE32" s="18">
        <f t="shared" si="76"/>
        <v>182.76599999999999</v>
      </c>
      <c r="BF32" s="18">
        <f t="shared" ref="BF32:BH32" si="77">SUM(BF33:BF43)</f>
        <v>174.56099999999998</v>
      </c>
      <c r="BG32" s="18">
        <f t="shared" si="77"/>
        <v>188.00400000000002</v>
      </c>
      <c r="BH32" s="18">
        <f t="shared" si="77"/>
        <v>205.83799999999999</v>
      </c>
      <c r="BI32" s="18">
        <f t="shared" ref="BI32:BJ32" si="78">SUM(BI33:BI43)</f>
        <v>271.34300000000002</v>
      </c>
      <c r="BJ32" s="18">
        <f t="shared" si="78"/>
        <v>290.61</v>
      </c>
    </row>
    <row r="33" spans="1:62" s="14" customFormat="1" ht="12.75">
      <c r="A33" s="46" t="s">
        <v>39</v>
      </c>
      <c r="B33" s="83">
        <f>Q33</f>
        <v>36.475000000000001</v>
      </c>
      <c r="C33" s="13">
        <f>U33</f>
        <v>45.378999999999998</v>
      </c>
      <c r="D33" s="13">
        <f>Y33</f>
        <v>60.255000000000003</v>
      </c>
      <c r="E33" s="13">
        <f>AC33</f>
        <v>89.206000000000003</v>
      </c>
      <c r="F33" s="13">
        <f>AG33</f>
        <v>51.11</v>
      </c>
      <c r="G33" s="13">
        <f>AK33</f>
        <v>93.402000000000001</v>
      </c>
      <c r="H33" s="13">
        <f>AO33</f>
        <v>52.707999999999998</v>
      </c>
      <c r="I33" s="13">
        <f>AS33</f>
        <v>69.076999999999998</v>
      </c>
      <c r="J33" s="13">
        <f>AW33</f>
        <v>64.575000000000003</v>
      </c>
      <c r="K33" s="13">
        <f>BA33</f>
        <v>42.33</v>
      </c>
      <c r="L33" s="13">
        <f>BE33</f>
        <v>22.059000000000001</v>
      </c>
      <c r="M33" s="82">
        <f>BI33</f>
        <v>41.121000000000002</v>
      </c>
      <c r="N33" s="49">
        <v>68.195999999999998</v>
      </c>
      <c r="O33" s="13">
        <v>45.267000000000003</v>
      </c>
      <c r="P33" s="13">
        <v>59.871000000000002</v>
      </c>
      <c r="Q33" s="13">
        <v>36.475000000000001</v>
      </c>
      <c r="R33" s="13">
        <v>45.396000000000001</v>
      </c>
      <c r="S33" s="13">
        <v>45.484000000000002</v>
      </c>
      <c r="T33" s="13">
        <v>55.444000000000003</v>
      </c>
      <c r="U33" s="13">
        <v>45.378999999999998</v>
      </c>
      <c r="V33" s="13">
        <v>49.517000000000003</v>
      </c>
      <c r="W33" s="13">
        <v>50.259</v>
      </c>
      <c r="X33" s="13">
        <v>59</v>
      </c>
      <c r="Y33" s="13">
        <v>60.255000000000003</v>
      </c>
      <c r="Z33" s="13">
        <v>51.250999999999998</v>
      </c>
      <c r="AA33" s="13">
        <v>70.846000000000004</v>
      </c>
      <c r="AB33" s="13">
        <v>70.372</v>
      </c>
      <c r="AC33" s="13">
        <v>89.206000000000003</v>
      </c>
      <c r="AD33" s="13">
        <v>91.025000000000006</v>
      </c>
      <c r="AE33" s="13">
        <v>95.796000000000006</v>
      </c>
      <c r="AF33" s="13">
        <v>79.983999999999995</v>
      </c>
      <c r="AG33" s="13">
        <v>51.11</v>
      </c>
      <c r="AH33" s="13">
        <v>70.606999999999999</v>
      </c>
      <c r="AI33" s="13">
        <v>68.231999999999999</v>
      </c>
      <c r="AJ33" s="13">
        <v>77.894000000000005</v>
      </c>
      <c r="AK33" s="13">
        <v>93.402000000000001</v>
      </c>
      <c r="AL33" s="13">
        <v>134.982</v>
      </c>
      <c r="AM33" s="13">
        <v>86.97</v>
      </c>
      <c r="AN33" s="13">
        <v>70.933000000000007</v>
      </c>
      <c r="AO33" s="13">
        <v>52.707999999999998</v>
      </c>
      <c r="AP33" s="13">
        <v>80.679000000000002</v>
      </c>
      <c r="AQ33" s="13">
        <v>137.797</v>
      </c>
      <c r="AR33" s="13">
        <v>73.873999999999995</v>
      </c>
      <c r="AS33" s="13">
        <v>69.076999999999998</v>
      </c>
      <c r="AT33" s="13">
        <v>115.328</v>
      </c>
      <c r="AU33" s="13">
        <v>68.858000000000004</v>
      </c>
      <c r="AV33" s="13">
        <v>78.616</v>
      </c>
      <c r="AW33" s="13">
        <v>64.575000000000003</v>
      </c>
      <c r="AX33" s="13">
        <v>59.484999999999999</v>
      </c>
      <c r="AY33" s="13">
        <v>47.493000000000002</v>
      </c>
      <c r="AZ33" s="13">
        <v>50.884</v>
      </c>
      <c r="BA33" s="13">
        <v>42.33</v>
      </c>
      <c r="BB33" s="13">
        <v>40.667000000000002</v>
      </c>
      <c r="BC33" s="13">
        <v>29.628</v>
      </c>
      <c r="BD33" s="13">
        <v>34.103999999999999</v>
      </c>
      <c r="BE33" s="13">
        <v>22.059000000000001</v>
      </c>
      <c r="BF33" s="13">
        <v>27.963000000000001</v>
      </c>
      <c r="BG33" s="13">
        <v>22.161999999999999</v>
      </c>
      <c r="BH33" s="13">
        <v>34.423999999999999</v>
      </c>
      <c r="BI33" s="13">
        <f>41121/1000</f>
        <v>41.121000000000002</v>
      </c>
      <c r="BJ33" s="13">
        <f>148605/1000</f>
        <v>148.60499999999999</v>
      </c>
    </row>
    <row r="34" spans="1:62" s="14" customFormat="1" ht="12.75">
      <c r="A34" s="46" t="s">
        <v>40</v>
      </c>
      <c r="B34" s="83">
        <f t="shared" ref="B34:B63" si="79">Q34</f>
        <v>19.026</v>
      </c>
      <c r="C34" s="13">
        <f t="shared" ref="C34:C63" si="80">U34</f>
        <v>41.930999999999997</v>
      </c>
      <c r="D34" s="13">
        <f t="shared" ref="D34:D63" si="81">Y34</f>
        <v>54.1</v>
      </c>
      <c r="E34" s="13">
        <f>AC34</f>
        <v>48.875</v>
      </c>
      <c r="F34" s="13">
        <f>AG34</f>
        <v>43.473999999999997</v>
      </c>
      <c r="G34" s="13">
        <f>AK34</f>
        <v>18.763999999999999</v>
      </c>
      <c r="H34" s="13">
        <f>AO34</f>
        <v>18.462</v>
      </c>
      <c r="I34" s="13">
        <f>AS34</f>
        <v>17.376000000000001</v>
      </c>
      <c r="J34" s="13">
        <f>AW34</f>
        <v>0.89600000000000002</v>
      </c>
      <c r="K34" s="13">
        <f>BA34</f>
        <v>52.627000000000002</v>
      </c>
      <c r="L34" s="13">
        <f t="shared" ref="L34:L43" si="82">BE34</f>
        <v>0.96699999999999997</v>
      </c>
      <c r="M34" s="82">
        <f t="shared" ref="M34:M43" si="83">BI34</f>
        <v>42.106000000000002</v>
      </c>
      <c r="N34" s="49">
        <v>1.25</v>
      </c>
      <c r="O34" s="13">
        <v>1.8859999999999999</v>
      </c>
      <c r="P34" s="13">
        <v>19.818000000000001</v>
      </c>
      <c r="Q34" s="13">
        <v>19.026</v>
      </c>
      <c r="R34" s="13">
        <v>37.804000000000002</v>
      </c>
      <c r="S34" s="13">
        <v>37.735999999999997</v>
      </c>
      <c r="T34" s="13">
        <v>37.774000000000001</v>
      </c>
      <c r="U34" s="13">
        <v>41.930999999999997</v>
      </c>
      <c r="V34" s="13">
        <v>37.697000000000003</v>
      </c>
      <c r="W34" s="13">
        <v>51.280999999999999</v>
      </c>
      <c r="X34" s="13">
        <v>55.57</v>
      </c>
      <c r="Y34" s="13">
        <v>54.1</v>
      </c>
      <c r="Z34" s="13">
        <v>59.975999999999999</v>
      </c>
      <c r="AA34" s="13">
        <v>56.142000000000003</v>
      </c>
      <c r="AB34" s="13">
        <v>38.771999999999998</v>
      </c>
      <c r="AC34" s="13">
        <v>48.875</v>
      </c>
      <c r="AD34" s="13">
        <v>46.877000000000002</v>
      </c>
      <c r="AE34" s="13">
        <v>49.476999999999997</v>
      </c>
      <c r="AF34" s="13">
        <v>36.701000000000001</v>
      </c>
      <c r="AG34" s="13">
        <v>43.473999999999997</v>
      </c>
      <c r="AH34" s="13">
        <v>31.963999999999999</v>
      </c>
      <c r="AI34" s="13">
        <v>26.143999999999998</v>
      </c>
      <c r="AJ34" s="13">
        <v>27.687999999999999</v>
      </c>
      <c r="AK34" s="13">
        <v>18.763999999999999</v>
      </c>
      <c r="AL34" s="13">
        <v>11.07</v>
      </c>
      <c r="AM34" s="13">
        <v>18.835999999999999</v>
      </c>
      <c r="AN34" s="13">
        <v>16.856000000000002</v>
      </c>
      <c r="AO34" s="13">
        <v>18.462</v>
      </c>
      <c r="AP34" s="13">
        <v>16.826000000000001</v>
      </c>
      <c r="AQ34" s="13">
        <v>17.873999999999999</v>
      </c>
      <c r="AR34" s="13">
        <v>16.753</v>
      </c>
      <c r="AS34" s="13">
        <v>17.376000000000001</v>
      </c>
      <c r="AT34" s="13">
        <v>16.739999999999998</v>
      </c>
      <c r="AU34" s="13">
        <v>17.074000000000002</v>
      </c>
      <c r="AV34" s="13">
        <v>8.3490000000000002</v>
      </c>
      <c r="AW34" s="13">
        <v>0.89600000000000002</v>
      </c>
      <c r="AX34" s="13">
        <v>12.891</v>
      </c>
      <c r="AY34" s="13">
        <v>28.821000000000002</v>
      </c>
      <c r="AZ34" s="13">
        <v>29.998999999999999</v>
      </c>
      <c r="BA34" s="13">
        <v>52.627000000000002</v>
      </c>
      <c r="BB34" s="13">
        <v>42.85</v>
      </c>
      <c r="BC34" s="13">
        <v>48.859000000000002</v>
      </c>
      <c r="BD34" s="13">
        <v>50.064</v>
      </c>
      <c r="BE34" s="13">
        <v>0.96699999999999997</v>
      </c>
      <c r="BF34" s="13">
        <v>2.5310000000000001</v>
      </c>
      <c r="BG34" s="13">
        <v>21.72</v>
      </c>
      <c r="BH34" s="13">
        <v>23.803000000000001</v>
      </c>
      <c r="BI34" s="13">
        <f>42106/1000</f>
        <v>42.106000000000002</v>
      </c>
      <c r="BJ34" s="13">
        <f>46088/1000</f>
        <v>46.088000000000001</v>
      </c>
    </row>
    <row r="35" spans="1:62" s="14" customFormat="1" ht="12.75">
      <c r="A35" s="46" t="s">
        <v>180</v>
      </c>
      <c r="B35" s="83">
        <v>0</v>
      </c>
      <c r="C35" s="13">
        <v>0</v>
      </c>
      <c r="D35" s="13">
        <v>0</v>
      </c>
      <c r="E35" s="13">
        <v>0</v>
      </c>
      <c r="F35" s="13">
        <v>0</v>
      </c>
      <c r="G35" s="13">
        <v>0</v>
      </c>
      <c r="H35" s="13">
        <v>0</v>
      </c>
      <c r="I35" s="13">
        <v>0</v>
      </c>
      <c r="J35" s="13">
        <v>0</v>
      </c>
      <c r="K35" s="13">
        <v>0</v>
      </c>
      <c r="L35" s="13">
        <f t="shared" si="82"/>
        <v>16.515999999999998</v>
      </c>
      <c r="M35" s="82">
        <f t="shared" si="83"/>
        <v>5.4109999999999996</v>
      </c>
      <c r="N35" s="49">
        <v>0</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c r="AH35" s="13">
        <v>0</v>
      </c>
      <c r="AI35" s="13">
        <v>0</v>
      </c>
      <c r="AJ35" s="13">
        <v>0</v>
      </c>
      <c r="AK35" s="13">
        <v>0</v>
      </c>
      <c r="AL35" s="13">
        <v>0</v>
      </c>
      <c r="AM35" s="13">
        <v>0</v>
      </c>
      <c r="AN35" s="13">
        <v>0</v>
      </c>
      <c r="AO35" s="13">
        <v>0</v>
      </c>
      <c r="AP35" s="13">
        <v>0</v>
      </c>
      <c r="AQ35" s="13">
        <v>0</v>
      </c>
      <c r="AR35" s="13">
        <v>0</v>
      </c>
      <c r="AS35" s="13">
        <v>0</v>
      </c>
      <c r="AT35" s="13">
        <v>0</v>
      </c>
      <c r="AU35" s="13">
        <v>0</v>
      </c>
      <c r="AV35" s="13">
        <v>0</v>
      </c>
      <c r="AW35" s="13">
        <v>0</v>
      </c>
      <c r="AX35" s="13">
        <v>0</v>
      </c>
      <c r="AY35" s="13">
        <v>0</v>
      </c>
      <c r="AZ35" s="13">
        <v>0</v>
      </c>
      <c r="BA35" s="13">
        <v>0</v>
      </c>
      <c r="BB35" s="13">
        <v>15.324999999999999</v>
      </c>
      <c r="BC35" s="13">
        <v>17.71</v>
      </c>
      <c r="BD35" s="13">
        <v>20.315000000000001</v>
      </c>
      <c r="BE35" s="13">
        <v>16.515999999999998</v>
      </c>
      <c r="BF35" s="13">
        <v>3.6659999999999999</v>
      </c>
      <c r="BG35" s="13">
        <v>4.3620000000000001</v>
      </c>
      <c r="BH35" s="13">
        <v>5.0579999999999998</v>
      </c>
      <c r="BI35" s="13">
        <f>5411/1000</f>
        <v>5.4109999999999996</v>
      </c>
      <c r="BJ35" s="13">
        <f>5973/1000</f>
        <v>5.9729999999999999</v>
      </c>
    </row>
    <row r="36" spans="1:62" s="14" customFormat="1" ht="12.75">
      <c r="A36" s="46" t="s">
        <v>41</v>
      </c>
      <c r="B36" s="83">
        <f t="shared" si="79"/>
        <v>9.2910000000000004</v>
      </c>
      <c r="C36" s="13">
        <f t="shared" si="80"/>
        <v>10.465999999999999</v>
      </c>
      <c r="D36" s="13">
        <f t="shared" si="81"/>
        <v>5.7809999999999997</v>
      </c>
      <c r="E36" s="13">
        <f t="shared" ref="E36:E43" si="84">AC36</f>
        <v>5.2720000000000002</v>
      </c>
      <c r="F36" s="13">
        <f t="shared" ref="F36:F43" si="85">AG36</f>
        <v>5.0919999999999996</v>
      </c>
      <c r="G36" s="13">
        <f t="shared" ref="G36:G43" si="86">AK36</f>
        <v>7.5350000000000001</v>
      </c>
      <c r="H36" s="13">
        <f t="shared" ref="H36:H43" si="87">AO36</f>
        <v>5.4619999999999997</v>
      </c>
      <c r="I36" s="13">
        <f t="shared" ref="I36:I43" si="88">AS36</f>
        <v>5.3209999999999997</v>
      </c>
      <c r="J36" s="13">
        <f t="shared" ref="J36:J43" si="89">AW36</f>
        <v>5.4569999999999999</v>
      </c>
      <c r="K36" s="13">
        <f t="shared" ref="K36:K43" si="90">BA36</f>
        <v>6.6760000000000002</v>
      </c>
      <c r="L36" s="13">
        <f t="shared" si="82"/>
        <v>2.04</v>
      </c>
      <c r="M36" s="82">
        <f t="shared" si="83"/>
        <v>1.476</v>
      </c>
      <c r="N36" s="49">
        <v>7.9059999999999997</v>
      </c>
      <c r="O36" s="13">
        <v>8.6530000000000005</v>
      </c>
      <c r="P36" s="13">
        <v>9.1359999999999992</v>
      </c>
      <c r="Q36" s="13">
        <v>9.2910000000000004</v>
      </c>
      <c r="R36" s="13">
        <v>7.1349999999999998</v>
      </c>
      <c r="S36" s="13">
        <v>9.23</v>
      </c>
      <c r="T36" s="13">
        <v>11.010999999999999</v>
      </c>
      <c r="U36" s="13">
        <v>10.465999999999999</v>
      </c>
      <c r="V36" s="13">
        <v>10.157999999999999</v>
      </c>
      <c r="W36" s="13">
        <v>7.5229999999999997</v>
      </c>
      <c r="X36" s="13">
        <v>8.3209999999999997</v>
      </c>
      <c r="Y36" s="13">
        <v>5.7809999999999997</v>
      </c>
      <c r="Z36" s="13">
        <v>6.4210000000000003</v>
      </c>
      <c r="AA36" s="13">
        <v>6.9749999999999996</v>
      </c>
      <c r="AB36" s="13">
        <v>7.891</v>
      </c>
      <c r="AC36" s="13">
        <v>5.2720000000000002</v>
      </c>
      <c r="AD36" s="13">
        <v>5.8239999999999998</v>
      </c>
      <c r="AE36" s="13">
        <v>6.6760000000000002</v>
      </c>
      <c r="AF36" s="13">
        <v>6.5490000000000004</v>
      </c>
      <c r="AG36" s="13">
        <v>5.0919999999999996</v>
      </c>
      <c r="AH36" s="13">
        <v>5.5220000000000002</v>
      </c>
      <c r="AI36" s="13">
        <v>5.1040000000000001</v>
      </c>
      <c r="AJ36" s="13">
        <v>7.2080000000000002</v>
      </c>
      <c r="AK36" s="13">
        <v>7.5350000000000001</v>
      </c>
      <c r="AL36" s="13">
        <v>7.7809999999999997</v>
      </c>
      <c r="AM36" s="13">
        <v>7.34</v>
      </c>
      <c r="AN36" s="13">
        <v>5.1539999999999999</v>
      </c>
      <c r="AO36" s="13">
        <v>5.4619999999999997</v>
      </c>
      <c r="AP36" s="13">
        <v>7.3739999999999997</v>
      </c>
      <c r="AQ36" s="13">
        <v>6.9109999999999996</v>
      </c>
      <c r="AR36" s="13">
        <v>7.2480000000000002</v>
      </c>
      <c r="AS36" s="13">
        <v>5.3209999999999997</v>
      </c>
      <c r="AT36" s="13">
        <v>6.8890000000000002</v>
      </c>
      <c r="AU36" s="13">
        <v>6.0170000000000003</v>
      </c>
      <c r="AV36" s="13">
        <v>6.4359999999999999</v>
      </c>
      <c r="AW36" s="13">
        <v>5.4569999999999999</v>
      </c>
      <c r="AX36" s="13">
        <v>2.8530000000000002</v>
      </c>
      <c r="AY36" s="13">
        <v>5.2240000000000002</v>
      </c>
      <c r="AZ36" s="13">
        <v>5.274</v>
      </c>
      <c r="BA36" s="13">
        <v>6.6760000000000002</v>
      </c>
      <c r="BB36" s="13">
        <v>7.1820000000000004</v>
      </c>
      <c r="BC36" s="13">
        <v>5</v>
      </c>
      <c r="BD36" s="13">
        <v>3.968</v>
      </c>
      <c r="BE36" s="13">
        <v>2.04</v>
      </c>
      <c r="BF36" s="13">
        <v>1.526</v>
      </c>
      <c r="BG36" s="13">
        <v>1.298</v>
      </c>
      <c r="BH36" s="13">
        <v>1.72</v>
      </c>
      <c r="BI36" s="13">
        <f>1476/1000</f>
        <v>1.476</v>
      </c>
      <c r="BJ36" s="13">
        <f>1565/1000</f>
        <v>1.5649999999999999</v>
      </c>
    </row>
    <row r="37" spans="1:62" s="14" customFormat="1" ht="12.75">
      <c r="A37" s="46" t="s">
        <v>42</v>
      </c>
      <c r="B37" s="83">
        <f t="shared" si="79"/>
        <v>2.5489999999999999</v>
      </c>
      <c r="C37" s="13">
        <f t="shared" si="80"/>
        <v>0</v>
      </c>
      <c r="D37" s="13">
        <f t="shared" si="81"/>
        <v>0</v>
      </c>
      <c r="E37" s="13">
        <f t="shared" si="84"/>
        <v>0</v>
      </c>
      <c r="F37" s="13">
        <f t="shared" si="85"/>
        <v>0</v>
      </c>
      <c r="G37" s="13">
        <f t="shared" si="86"/>
        <v>0</v>
      </c>
      <c r="H37" s="13">
        <f t="shared" si="87"/>
        <v>0</v>
      </c>
      <c r="I37" s="13">
        <f t="shared" si="88"/>
        <v>0</v>
      </c>
      <c r="J37" s="13">
        <f t="shared" si="89"/>
        <v>0</v>
      </c>
      <c r="K37" s="13">
        <f t="shared" si="90"/>
        <v>0</v>
      </c>
      <c r="L37" s="13">
        <f t="shared" si="82"/>
        <v>0</v>
      </c>
      <c r="M37" s="82">
        <f t="shared" si="83"/>
        <v>0</v>
      </c>
      <c r="N37" s="49">
        <v>0</v>
      </c>
      <c r="O37" s="13">
        <v>0</v>
      </c>
      <c r="P37" s="13">
        <v>0</v>
      </c>
      <c r="Q37" s="13">
        <v>2.5489999999999999</v>
      </c>
      <c r="R37" s="13">
        <v>2.9319999999999999</v>
      </c>
      <c r="S37" s="13">
        <v>0</v>
      </c>
      <c r="T37" s="13">
        <v>0</v>
      </c>
      <c r="U37" s="13">
        <v>0</v>
      </c>
      <c r="V37" s="13">
        <v>4</v>
      </c>
      <c r="W37" s="13">
        <v>0</v>
      </c>
      <c r="X37" s="13">
        <v>0</v>
      </c>
      <c r="Y37" s="13">
        <v>0</v>
      </c>
      <c r="Z37" s="13">
        <v>0</v>
      </c>
      <c r="AA37" s="13">
        <v>0</v>
      </c>
      <c r="AB37" s="13">
        <v>0</v>
      </c>
      <c r="AC37" s="13">
        <v>0</v>
      </c>
      <c r="AD37" s="13">
        <v>0</v>
      </c>
      <c r="AE37" s="13">
        <v>0</v>
      </c>
      <c r="AF37" s="13">
        <v>0</v>
      </c>
      <c r="AG37" s="13">
        <v>0</v>
      </c>
      <c r="AH37" s="13">
        <v>0</v>
      </c>
      <c r="AI37" s="13">
        <v>0</v>
      </c>
      <c r="AJ37" s="13">
        <v>0</v>
      </c>
      <c r="AK37" s="13">
        <v>0</v>
      </c>
      <c r="AL37" s="13">
        <v>0</v>
      </c>
      <c r="AM37" s="13">
        <v>0</v>
      </c>
      <c r="AN37" s="13">
        <v>0</v>
      </c>
      <c r="AO37" s="13">
        <v>0</v>
      </c>
      <c r="AP37" s="13">
        <v>0</v>
      </c>
      <c r="AQ37" s="13">
        <v>0</v>
      </c>
      <c r="AR37" s="13">
        <v>0</v>
      </c>
      <c r="AS37" s="13">
        <v>0</v>
      </c>
      <c r="AT37" s="13">
        <v>0</v>
      </c>
      <c r="AU37" s="13">
        <v>0</v>
      </c>
      <c r="AV37" s="13">
        <v>0</v>
      </c>
      <c r="AW37" s="13">
        <v>0</v>
      </c>
      <c r="AX37" s="13">
        <v>0</v>
      </c>
      <c r="AY37" s="13">
        <v>0</v>
      </c>
      <c r="AZ37" s="13">
        <v>0</v>
      </c>
      <c r="BA37" s="13">
        <v>0</v>
      </c>
      <c r="BB37" s="13">
        <v>0</v>
      </c>
      <c r="BC37" s="13">
        <v>0</v>
      </c>
      <c r="BD37" s="13">
        <v>0</v>
      </c>
      <c r="BE37" s="13">
        <v>0</v>
      </c>
      <c r="BF37" s="13">
        <v>0</v>
      </c>
      <c r="BG37" s="13">
        <v>0</v>
      </c>
      <c r="BH37" s="13">
        <v>0</v>
      </c>
      <c r="BI37" s="13">
        <v>0</v>
      </c>
      <c r="BJ37" s="13">
        <v>0</v>
      </c>
    </row>
    <row r="38" spans="1:62" s="14" customFormat="1" ht="12.75">
      <c r="A38" s="46" t="s">
        <v>43</v>
      </c>
      <c r="B38" s="83">
        <f t="shared" si="79"/>
        <v>17.422999999999998</v>
      </c>
      <c r="C38" s="13">
        <f t="shared" si="80"/>
        <v>16.196999999999999</v>
      </c>
      <c r="D38" s="13">
        <f t="shared" si="81"/>
        <v>20.245999999999999</v>
      </c>
      <c r="E38" s="13">
        <f t="shared" si="84"/>
        <v>21.568000000000001</v>
      </c>
      <c r="F38" s="13">
        <f t="shared" si="85"/>
        <v>8.641</v>
      </c>
      <c r="G38" s="13">
        <f t="shared" si="86"/>
        <v>15.406000000000001</v>
      </c>
      <c r="H38" s="13">
        <f t="shared" si="87"/>
        <v>10.579000000000001</v>
      </c>
      <c r="I38" s="13">
        <f t="shared" si="88"/>
        <v>15.103999999999999</v>
      </c>
      <c r="J38" s="13">
        <f t="shared" si="89"/>
        <v>9.8309999999999995</v>
      </c>
      <c r="K38" s="13">
        <f t="shared" si="90"/>
        <v>4.4669999999999996</v>
      </c>
      <c r="L38" s="13">
        <f t="shared" si="82"/>
        <v>2.1309999999999998</v>
      </c>
      <c r="M38" s="82">
        <f t="shared" si="83"/>
        <v>4.9039999999999999</v>
      </c>
      <c r="N38" s="49">
        <v>18.488</v>
      </c>
      <c r="O38" s="13">
        <v>13.077</v>
      </c>
      <c r="P38" s="13">
        <v>13.335000000000001</v>
      </c>
      <c r="Q38" s="13">
        <v>17.422999999999998</v>
      </c>
      <c r="R38" s="13">
        <v>14.487</v>
      </c>
      <c r="S38" s="13">
        <v>11.988</v>
      </c>
      <c r="T38" s="13">
        <v>11.766999999999999</v>
      </c>
      <c r="U38" s="13">
        <v>16.196999999999999</v>
      </c>
      <c r="V38" s="13">
        <v>15.948</v>
      </c>
      <c r="W38" s="13">
        <v>13.91</v>
      </c>
      <c r="X38" s="13">
        <v>13.634</v>
      </c>
      <c r="Y38" s="13">
        <v>20.245999999999999</v>
      </c>
      <c r="Z38" s="13">
        <v>13.346</v>
      </c>
      <c r="AA38" s="13">
        <v>13.901999999999999</v>
      </c>
      <c r="AB38" s="13">
        <v>11.188000000000001</v>
      </c>
      <c r="AC38" s="13">
        <v>21.568000000000001</v>
      </c>
      <c r="AD38" s="13">
        <v>13.018000000000001</v>
      </c>
      <c r="AE38" s="13">
        <v>11.598000000000001</v>
      </c>
      <c r="AF38" s="13">
        <v>14.502000000000001</v>
      </c>
      <c r="AG38" s="13">
        <v>8.641</v>
      </c>
      <c r="AH38" s="13">
        <v>11.361000000000001</v>
      </c>
      <c r="AI38" s="13">
        <v>9.4909999999999997</v>
      </c>
      <c r="AJ38" s="13">
        <v>10.746</v>
      </c>
      <c r="AK38" s="13">
        <v>15.406000000000001</v>
      </c>
      <c r="AL38" s="13">
        <v>21.58</v>
      </c>
      <c r="AM38" s="13">
        <v>10.930999999999999</v>
      </c>
      <c r="AN38" s="13">
        <v>15.385999999999999</v>
      </c>
      <c r="AO38" s="13">
        <v>10.579000000000001</v>
      </c>
      <c r="AP38" s="13">
        <v>15.648999999999999</v>
      </c>
      <c r="AQ38" s="13">
        <v>12.584</v>
      </c>
      <c r="AR38" s="13">
        <v>13.313000000000001</v>
      </c>
      <c r="AS38" s="13">
        <v>15.103999999999999</v>
      </c>
      <c r="AT38" s="13">
        <v>27.945</v>
      </c>
      <c r="AU38" s="13">
        <v>5.9029999999999996</v>
      </c>
      <c r="AV38" s="13">
        <v>8.2639999999999993</v>
      </c>
      <c r="AW38" s="13">
        <v>9.8309999999999995</v>
      </c>
      <c r="AX38" s="13">
        <v>16.094999999999999</v>
      </c>
      <c r="AY38" s="13">
        <v>4.0519999999999996</v>
      </c>
      <c r="AZ38" s="13">
        <v>6.3739999999999997</v>
      </c>
      <c r="BA38" s="13">
        <v>4.4669999999999996</v>
      </c>
      <c r="BB38" s="13">
        <v>4.1719999999999997</v>
      </c>
      <c r="BC38" s="13">
        <v>3.415</v>
      </c>
      <c r="BD38" s="13">
        <v>2.4119999999999999</v>
      </c>
      <c r="BE38" s="13">
        <v>2.1309999999999998</v>
      </c>
      <c r="BF38" s="13">
        <v>1.9850000000000001</v>
      </c>
      <c r="BG38" s="13">
        <v>1.764</v>
      </c>
      <c r="BH38" s="13">
        <v>2.2109999999999999</v>
      </c>
      <c r="BI38" s="13">
        <f>4904/1000</f>
        <v>4.9039999999999999</v>
      </c>
      <c r="BJ38" s="13">
        <f>12229/1000</f>
        <v>12.228999999999999</v>
      </c>
    </row>
    <row r="39" spans="1:62" s="14" customFormat="1" ht="12.75">
      <c r="A39" s="46" t="s">
        <v>44</v>
      </c>
      <c r="B39" s="83">
        <f t="shared" si="79"/>
        <v>113.29</v>
      </c>
      <c r="C39" s="13">
        <f t="shared" si="80"/>
        <v>69.385999999999996</v>
      </c>
      <c r="D39" s="13">
        <f t="shared" si="81"/>
        <v>28.74</v>
      </c>
      <c r="E39" s="13">
        <f t="shared" si="84"/>
        <v>117.75</v>
      </c>
      <c r="F39" s="13">
        <f t="shared" si="85"/>
        <v>63.088000000000001</v>
      </c>
      <c r="G39" s="13">
        <f t="shared" si="86"/>
        <v>338.24200000000002</v>
      </c>
      <c r="H39" s="13">
        <f t="shared" si="87"/>
        <v>96.491</v>
      </c>
      <c r="I39" s="13">
        <f t="shared" si="88"/>
        <v>195.959</v>
      </c>
      <c r="J39" s="13">
        <f t="shared" si="89"/>
        <v>119.64400000000001</v>
      </c>
      <c r="K39" s="13">
        <f t="shared" si="90"/>
        <v>107.551</v>
      </c>
      <c r="L39" s="13">
        <f t="shared" si="82"/>
        <v>134.298</v>
      </c>
      <c r="M39" s="82">
        <f t="shared" si="83"/>
        <v>168.20699999999999</v>
      </c>
      <c r="N39" s="49">
        <v>73.317999999999998</v>
      </c>
      <c r="O39" s="13">
        <v>47.198999999999998</v>
      </c>
      <c r="P39" s="13">
        <v>75.227000000000004</v>
      </c>
      <c r="Q39" s="13">
        <v>113.29</v>
      </c>
      <c r="R39" s="13">
        <v>148.27600000000001</v>
      </c>
      <c r="S39" s="13">
        <v>65.231999999999999</v>
      </c>
      <c r="T39" s="13">
        <v>146.01599999999999</v>
      </c>
      <c r="U39" s="13">
        <v>69.385999999999996</v>
      </c>
      <c r="V39" s="13">
        <v>67.763000000000005</v>
      </c>
      <c r="W39" s="13">
        <v>126.35599999999999</v>
      </c>
      <c r="X39" s="13">
        <v>159.19300000000001</v>
      </c>
      <c r="Y39" s="13">
        <v>28.74</v>
      </c>
      <c r="Z39" s="13">
        <v>56.963000000000001</v>
      </c>
      <c r="AA39" s="13">
        <v>131.40899999999999</v>
      </c>
      <c r="AB39" s="13">
        <v>165.22800000000001</v>
      </c>
      <c r="AC39" s="13">
        <v>117.75</v>
      </c>
      <c r="AD39" s="13">
        <v>150.792</v>
      </c>
      <c r="AE39" s="13">
        <v>46.145000000000003</v>
      </c>
      <c r="AF39" s="13">
        <v>55.709000000000003</v>
      </c>
      <c r="AG39" s="13">
        <v>63.088000000000001</v>
      </c>
      <c r="AH39" s="13">
        <v>29.388000000000002</v>
      </c>
      <c r="AI39" s="13">
        <v>70.177999999999997</v>
      </c>
      <c r="AJ39" s="13">
        <v>173.48599999999999</v>
      </c>
      <c r="AK39" s="13">
        <v>338.24200000000002</v>
      </c>
      <c r="AL39" s="13">
        <v>106.336</v>
      </c>
      <c r="AM39" s="13">
        <v>66.171999999999997</v>
      </c>
      <c r="AN39" s="13">
        <v>73.676000000000002</v>
      </c>
      <c r="AO39" s="13">
        <v>96.491</v>
      </c>
      <c r="AP39" s="13">
        <v>112.637</v>
      </c>
      <c r="AQ39" s="13">
        <v>121.72</v>
      </c>
      <c r="AR39" s="13">
        <v>167.58600000000001</v>
      </c>
      <c r="AS39" s="13">
        <v>195.959</v>
      </c>
      <c r="AT39" s="13">
        <v>121.99299999999999</v>
      </c>
      <c r="AU39" s="13">
        <v>125.27</v>
      </c>
      <c r="AV39" s="13">
        <v>156.73500000000001</v>
      </c>
      <c r="AW39" s="13">
        <v>119.64400000000001</v>
      </c>
      <c r="AX39" s="13">
        <v>105.10299999999999</v>
      </c>
      <c r="AY39" s="13">
        <v>35.033000000000001</v>
      </c>
      <c r="AZ39" s="13">
        <v>61.546999999999997</v>
      </c>
      <c r="BA39" s="13">
        <v>107.551</v>
      </c>
      <c r="BB39" s="13">
        <v>137.70599999999999</v>
      </c>
      <c r="BC39" s="13">
        <v>138.76499999999999</v>
      </c>
      <c r="BD39" s="13">
        <v>134.649</v>
      </c>
      <c r="BE39" s="13">
        <v>134.298</v>
      </c>
      <c r="BF39" s="13">
        <v>131.845</v>
      </c>
      <c r="BG39" s="13">
        <v>131.922</v>
      </c>
      <c r="BH39" s="13">
        <v>130.88999999999999</v>
      </c>
      <c r="BI39" s="13">
        <f>168207/1000</f>
        <v>168.20699999999999</v>
      </c>
      <c r="BJ39" s="13">
        <f>69381/1000</f>
        <v>69.381</v>
      </c>
    </row>
    <row r="40" spans="1:62" s="14" customFormat="1" ht="12.75">
      <c r="A40" s="46" t="s">
        <v>45</v>
      </c>
      <c r="B40" s="83">
        <f t="shared" si="79"/>
        <v>3.4660000000000002</v>
      </c>
      <c r="C40" s="13">
        <f t="shared" si="80"/>
        <v>11.33</v>
      </c>
      <c r="D40" s="13">
        <f t="shared" si="81"/>
        <v>8.0350000000000001</v>
      </c>
      <c r="E40" s="13">
        <f t="shared" si="84"/>
        <v>13.1</v>
      </c>
      <c r="F40" s="13">
        <f t="shared" si="85"/>
        <v>19.349</v>
      </c>
      <c r="G40" s="13">
        <f t="shared" si="86"/>
        <v>9.2149999999999999</v>
      </c>
      <c r="H40" s="13">
        <f t="shared" si="87"/>
        <v>0.249</v>
      </c>
      <c r="I40" s="13">
        <f t="shared" si="88"/>
        <v>4.282</v>
      </c>
      <c r="J40" s="13">
        <f t="shared" si="89"/>
        <v>0</v>
      </c>
      <c r="K40" s="13">
        <f t="shared" si="90"/>
        <v>0</v>
      </c>
      <c r="L40" s="13">
        <f t="shared" si="82"/>
        <v>0</v>
      </c>
      <c r="M40" s="82">
        <f t="shared" si="83"/>
        <v>6.476</v>
      </c>
      <c r="N40" s="49">
        <v>1.093</v>
      </c>
      <c r="O40" s="13">
        <v>3.613</v>
      </c>
      <c r="P40" s="13">
        <v>0.746</v>
      </c>
      <c r="Q40" s="13">
        <v>3.4660000000000002</v>
      </c>
      <c r="R40" s="13">
        <v>4.0730000000000004</v>
      </c>
      <c r="S40" s="13">
        <v>6.7590000000000003</v>
      </c>
      <c r="T40" s="13">
        <v>8.26</v>
      </c>
      <c r="U40" s="13">
        <v>11.33</v>
      </c>
      <c r="V40" s="13">
        <v>6.6029999999999998</v>
      </c>
      <c r="W40" s="13">
        <v>4.9420000000000002</v>
      </c>
      <c r="X40" s="13">
        <v>4.9050000000000002</v>
      </c>
      <c r="Y40" s="13">
        <v>8.0350000000000001</v>
      </c>
      <c r="Z40" s="13">
        <v>5.9989999999999997</v>
      </c>
      <c r="AA40" s="13">
        <v>6.0190000000000001</v>
      </c>
      <c r="AB40" s="13">
        <v>3.2919999999999998</v>
      </c>
      <c r="AC40" s="13">
        <v>13.1</v>
      </c>
      <c r="AD40" s="13">
        <v>8.4280000000000008</v>
      </c>
      <c r="AE40" s="13">
        <v>7.2649999999999997</v>
      </c>
      <c r="AF40" s="13">
        <v>5.3789999999999996</v>
      </c>
      <c r="AG40" s="13">
        <v>19.349</v>
      </c>
      <c r="AH40" s="13">
        <v>17.524999999999999</v>
      </c>
      <c r="AI40" s="13">
        <v>10.736000000000001</v>
      </c>
      <c r="AJ40" s="13">
        <v>8.42</v>
      </c>
      <c r="AK40" s="13">
        <v>9.2149999999999999</v>
      </c>
      <c r="AL40" s="13">
        <v>8.2219999999999995</v>
      </c>
      <c r="AM40" s="13">
        <v>5.4630000000000001</v>
      </c>
      <c r="AN40" s="13">
        <v>0.93100000000000005</v>
      </c>
      <c r="AO40" s="13">
        <v>0.249</v>
      </c>
      <c r="AP40" s="13">
        <v>1.3</v>
      </c>
      <c r="AQ40" s="13">
        <v>1.7390000000000001</v>
      </c>
      <c r="AR40" s="13">
        <v>4.4370000000000003</v>
      </c>
      <c r="AS40" s="13">
        <v>4.282</v>
      </c>
      <c r="AT40" s="13">
        <v>2.004</v>
      </c>
      <c r="AU40" s="13">
        <v>0</v>
      </c>
      <c r="AV40" s="13">
        <v>0</v>
      </c>
      <c r="AW40" s="13">
        <v>0</v>
      </c>
      <c r="AX40" s="13">
        <v>1.0609999999999999</v>
      </c>
      <c r="AY40" s="13">
        <v>0</v>
      </c>
      <c r="AZ40" s="13">
        <v>0</v>
      </c>
      <c r="BA40" s="13">
        <v>0</v>
      </c>
      <c r="BB40" s="13">
        <v>0</v>
      </c>
      <c r="BC40" s="13">
        <v>0</v>
      </c>
      <c r="BD40" s="13">
        <v>0</v>
      </c>
      <c r="BE40" s="13">
        <v>0</v>
      </c>
      <c r="BF40" s="13">
        <v>0</v>
      </c>
      <c r="BG40" s="13">
        <v>0</v>
      </c>
      <c r="BH40" s="13">
        <v>0</v>
      </c>
      <c r="BI40" s="13">
        <f>6476/1000</f>
        <v>6.476</v>
      </c>
      <c r="BJ40" s="13">
        <f>2639/1000</f>
        <v>2.6389999999999998</v>
      </c>
    </row>
    <row r="41" spans="1:62" s="14" customFormat="1" ht="12.75">
      <c r="A41" s="46" t="s">
        <v>46</v>
      </c>
      <c r="B41" s="83">
        <f t="shared" si="79"/>
        <v>9.6159999999999997</v>
      </c>
      <c r="C41" s="13">
        <f t="shared" si="80"/>
        <v>14.682</v>
      </c>
      <c r="D41" s="13">
        <f t="shared" si="81"/>
        <v>0.74199999999999999</v>
      </c>
      <c r="E41" s="13">
        <f t="shared" si="84"/>
        <v>0.74099999999999999</v>
      </c>
      <c r="F41" s="13">
        <f t="shared" si="85"/>
        <v>5.8000000000000003E-2</v>
      </c>
      <c r="G41" s="13">
        <f t="shared" si="86"/>
        <v>1.9790000000000001</v>
      </c>
      <c r="H41" s="13">
        <f t="shared" si="87"/>
        <v>6.3150000000000004</v>
      </c>
      <c r="I41" s="13">
        <f t="shared" si="88"/>
        <v>10.534000000000001</v>
      </c>
      <c r="J41" s="13">
        <f t="shared" si="89"/>
        <v>2.0009999999999999</v>
      </c>
      <c r="K41" s="13">
        <f t="shared" si="90"/>
        <v>0</v>
      </c>
      <c r="L41" s="13">
        <f t="shared" si="82"/>
        <v>0</v>
      </c>
      <c r="M41" s="82">
        <f t="shared" si="83"/>
        <v>0</v>
      </c>
      <c r="N41" s="49">
        <v>2.2370000000000001</v>
      </c>
      <c r="O41" s="13">
        <v>0</v>
      </c>
      <c r="P41" s="13">
        <v>0</v>
      </c>
      <c r="Q41" s="13">
        <v>9.6159999999999997</v>
      </c>
      <c r="R41" s="13">
        <v>0.442</v>
      </c>
      <c r="S41" s="13">
        <v>0.442</v>
      </c>
      <c r="T41" s="13">
        <v>0.442</v>
      </c>
      <c r="U41" s="13">
        <v>14.682</v>
      </c>
      <c r="V41" s="13">
        <v>14.505000000000001</v>
      </c>
      <c r="W41" s="13">
        <v>14.505000000000001</v>
      </c>
      <c r="X41" s="13">
        <v>0.23899999999999999</v>
      </c>
      <c r="Y41" s="13">
        <v>0.74199999999999999</v>
      </c>
      <c r="Z41" s="13">
        <v>0.74199999999999999</v>
      </c>
      <c r="AA41" s="13">
        <v>0.74199999999999999</v>
      </c>
      <c r="AB41" s="13">
        <v>0.74199999999999999</v>
      </c>
      <c r="AC41" s="13">
        <v>0.74099999999999999</v>
      </c>
      <c r="AD41" s="13">
        <v>0.64600000000000002</v>
      </c>
      <c r="AE41" s="13">
        <v>0.64600000000000002</v>
      </c>
      <c r="AF41" s="13">
        <v>0.64600000000000002</v>
      </c>
      <c r="AG41" s="13">
        <v>5.8000000000000003E-2</v>
      </c>
      <c r="AH41" s="13">
        <v>0.23400000000000001</v>
      </c>
      <c r="AI41" s="13">
        <v>0</v>
      </c>
      <c r="AJ41" s="13">
        <v>0</v>
      </c>
      <c r="AK41" s="13">
        <v>1.9790000000000001</v>
      </c>
      <c r="AL41" s="13">
        <v>1.9790000000000001</v>
      </c>
      <c r="AM41" s="13">
        <v>0</v>
      </c>
      <c r="AN41" s="13">
        <v>0</v>
      </c>
      <c r="AO41" s="13">
        <v>6.3150000000000004</v>
      </c>
      <c r="AP41" s="13">
        <v>6.3150000000000004</v>
      </c>
      <c r="AQ41" s="13">
        <v>0</v>
      </c>
      <c r="AR41" s="13">
        <v>0</v>
      </c>
      <c r="AS41" s="13">
        <v>10.534000000000001</v>
      </c>
      <c r="AT41" s="13">
        <v>21.068000000000001</v>
      </c>
      <c r="AU41" s="13">
        <v>0</v>
      </c>
      <c r="AV41" s="13">
        <v>0</v>
      </c>
      <c r="AW41" s="13">
        <v>2.0009999999999999</v>
      </c>
      <c r="AX41" s="13">
        <v>2.0009999999999999</v>
      </c>
      <c r="AY41" s="13">
        <v>0.01</v>
      </c>
      <c r="AZ41" s="13">
        <v>0</v>
      </c>
      <c r="BA41" s="13">
        <v>0</v>
      </c>
      <c r="BB41" s="13">
        <v>0</v>
      </c>
      <c r="BC41" s="13">
        <v>0</v>
      </c>
      <c r="BD41" s="13">
        <v>0</v>
      </c>
      <c r="BE41" s="13">
        <v>0</v>
      </c>
      <c r="BF41" s="13">
        <v>0</v>
      </c>
      <c r="BH41" s="13">
        <v>0</v>
      </c>
      <c r="BI41" s="13">
        <v>0</v>
      </c>
      <c r="BJ41" s="13">
        <v>0</v>
      </c>
    </row>
    <row r="42" spans="1:62" s="14" customFormat="1" ht="12.75">
      <c r="A42" s="46" t="s">
        <v>47</v>
      </c>
      <c r="B42" s="83">
        <f t="shared" si="79"/>
        <v>7.4939999999999998</v>
      </c>
      <c r="C42" s="13">
        <f t="shared" si="80"/>
        <v>3.1819999999999999</v>
      </c>
      <c r="D42" s="13">
        <f t="shared" si="81"/>
        <v>0.45800000000000002</v>
      </c>
      <c r="E42" s="13">
        <f t="shared" si="84"/>
        <v>0.879</v>
      </c>
      <c r="F42" s="13">
        <f t="shared" si="85"/>
        <v>0.877</v>
      </c>
      <c r="G42" s="13">
        <f t="shared" si="86"/>
        <v>0.877</v>
      </c>
      <c r="H42" s="13">
        <f t="shared" si="87"/>
        <v>0</v>
      </c>
      <c r="I42" s="13">
        <f t="shared" si="88"/>
        <v>0</v>
      </c>
      <c r="J42" s="13">
        <f t="shared" si="89"/>
        <v>0</v>
      </c>
      <c r="K42" s="13">
        <f t="shared" si="90"/>
        <v>0</v>
      </c>
      <c r="L42" s="13">
        <f t="shared" si="82"/>
        <v>0</v>
      </c>
      <c r="M42" s="82">
        <f t="shared" si="83"/>
        <v>0</v>
      </c>
      <c r="N42" s="49">
        <v>5.7089999999999996</v>
      </c>
      <c r="O42" s="13">
        <v>6.4480000000000004</v>
      </c>
      <c r="P42" s="13">
        <v>7.0430000000000001</v>
      </c>
      <c r="Q42" s="13">
        <v>7.4939999999999998</v>
      </c>
      <c r="R42" s="13">
        <v>7.3570000000000002</v>
      </c>
      <c r="S42" s="13">
        <v>7.0970000000000004</v>
      </c>
      <c r="T42" s="13">
        <v>6.8419999999999996</v>
      </c>
      <c r="U42" s="13">
        <v>3.1819999999999999</v>
      </c>
      <c r="V42" s="13">
        <v>2.3359999999999999</v>
      </c>
      <c r="W42" s="13">
        <v>1.772</v>
      </c>
      <c r="X42" s="13">
        <v>1.0960000000000001</v>
      </c>
      <c r="Y42" s="13">
        <v>0.45800000000000002</v>
      </c>
      <c r="Z42" s="13">
        <v>0.54300000000000004</v>
      </c>
      <c r="AA42" s="13">
        <v>0.63300000000000001</v>
      </c>
      <c r="AB42" s="13">
        <v>0.72299999999999998</v>
      </c>
      <c r="AC42" s="13">
        <v>0.879</v>
      </c>
      <c r="AD42" s="13">
        <v>0.877</v>
      </c>
      <c r="AE42" s="13">
        <v>0.877</v>
      </c>
      <c r="AF42" s="13">
        <v>0.877</v>
      </c>
      <c r="AG42" s="13">
        <v>0.877</v>
      </c>
      <c r="AH42" s="13">
        <v>0.877</v>
      </c>
      <c r="AI42" s="13">
        <v>0.877</v>
      </c>
      <c r="AJ42" s="13">
        <v>0.877</v>
      </c>
      <c r="AK42" s="13">
        <v>0.877</v>
      </c>
      <c r="AL42" s="13">
        <v>0</v>
      </c>
      <c r="AM42" s="13">
        <v>0</v>
      </c>
      <c r="AN42" s="13">
        <v>0</v>
      </c>
      <c r="AO42" s="13">
        <v>0</v>
      </c>
      <c r="AP42" s="13">
        <v>0</v>
      </c>
      <c r="AQ42" s="13">
        <v>0</v>
      </c>
      <c r="AR42" s="13">
        <v>0</v>
      </c>
      <c r="AS42" s="13">
        <v>0</v>
      </c>
      <c r="AT42" s="13">
        <v>0</v>
      </c>
      <c r="AU42" s="13">
        <v>0</v>
      </c>
      <c r="AV42" s="13">
        <v>0</v>
      </c>
      <c r="AW42" s="13">
        <v>0</v>
      </c>
      <c r="AX42" s="13">
        <v>0</v>
      </c>
      <c r="AY42" s="13">
        <v>0</v>
      </c>
      <c r="AZ42" s="13">
        <v>0</v>
      </c>
      <c r="BA42" s="13">
        <v>0</v>
      </c>
      <c r="BB42" s="13">
        <v>0</v>
      </c>
      <c r="BC42" s="13">
        <v>0</v>
      </c>
      <c r="BD42" s="13">
        <v>0</v>
      </c>
      <c r="BE42" s="13">
        <v>0</v>
      </c>
      <c r="BF42" s="13">
        <v>0</v>
      </c>
      <c r="BG42" s="13">
        <v>0</v>
      </c>
      <c r="BH42" s="13">
        <v>0</v>
      </c>
      <c r="BI42" s="13">
        <v>0</v>
      </c>
      <c r="BJ42" s="13">
        <v>0</v>
      </c>
    </row>
    <row r="43" spans="1:62" s="14" customFormat="1" ht="12.75">
      <c r="A43" s="46" t="s">
        <v>48</v>
      </c>
      <c r="B43" s="83">
        <f t="shared" si="79"/>
        <v>0.83099999999999996</v>
      </c>
      <c r="C43" s="13">
        <f t="shared" si="80"/>
        <v>0.76100000000000001</v>
      </c>
      <c r="D43" s="13">
        <f t="shared" si="81"/>
        <v>1.296</v>
      </c>
      <c r="E43" s="13">
        <f t="shared" si="84"/>
        <v>2.3559999999999999</v>
      </c>
      <c r="F43" s="13">
        <f t="shared" si="85"/>
        <v>1.9530000000000001</v>
      </c>
      <c r="G43" s="13">
        <f t="shared" si="86"/>
        <v>5.9260000000000002</v>
      </c>
      <c r="H43" s="13">
        <f t="shared" si="87"/>
        <v>3.74</v>
      </c>
      <c r="I43" s="13">
        <f t="shared" si="88"/>
        <v>11.509</v>
      </c>
      <c r="J43" s="13">
        <f t="shared" si="89"/>
        <v>5.492</v>
      </c>
      <c r="K43" s="13">
        <f t="shared" si="90"/>
        <v>8.8550000000000004</v>
      </c>
      <c r="L43" s="13">
        <f t="shared" si="82"/>
        <v>4.7549999999999999</v>
      </c>
      <c r="M43" s="82">
        <f t="shared" si="83"/>
        <v>1.6419999999999999</v>
      </c>
      <c r="N43" s="49">
        <f>0.715</f>
        <v>0.71499999999999997</v>
      </c>
      <c r="O43" s="13">
        <v>0.54500000000000004</v>
      </c>
      <c r="P43" s="13">
        <v>0.72199999999999998</v>
      </c>
      <c r="Q43" s="13">
        <v>0.83099999999999996</v>
      </c>
      <c r="R43" s="13">
        <v>0.81699999999999995</v>
      </c>
      <c r="S43" s="13">
        <v>0.48399999999999999</v>
      </c>
      <c r="T43" s="13">
        <v>0.97899999999999998</v>
      </c>
      <c r="U43" s="13">
        <v>0.76100000000000001</v>
      </c>
      <c r="V43" s="13">
        <v>0.68300000000000005</v>
      </c>
      <c r="W43" s="13">
        <v>5.6619999999999999</v>
      </c>
      <c r="X43" s="13">
        <v>4.5579999999999998</v>
      </c>
      <c r="Y43" s="13">
        <v>1.296</v>
      </c>
      <c r="Z43" s="13">
        <v>2.77</v>
      </c>
      <c r="AA43" s="13">
        <v>8.7210000000000001</v>
      </c>
      <c r="AB43" s="13">
        <v>4.3310000000000004</v>
      </c>
      <c r="AC43" s="13">
        <v>2.3559999999999999</v>
      </c>
      <c r="AD43" s="13">
        <v>2.883</v>
      </c>
      <c r="AE43" s="13">
        <v>2.6120000000000001</v>
      </c>
      <c r="AF43" s="13">
        <v>5.5129999999999999</v>
      </c>
      <c r="AG43" s="13">
        <v>1.9530000000000001</v>
      </c>
      <c r="AH43" s="13">
        <v>4.7880000000000003</v>
      </c>
      <c r="AI43" s="13">
        <v>8.1319999999999997</v>
      </c>
      <c r="AJ43" s="13">
        <v>12.933999999999999</v>
      </c>
      <c r="AK43" s="13">
        <v>5.9260000000000002</v>
      </c>
      <c r="AL43" s="13">
        <v>4.5149999999999997</v>
      </c>
      <c r="AM43" s="13">
        <v>5.3559999999999999</v>
      </c>
      <c r="AN43" s="13">
        <v>14.286</v>
      </c>
      <c r="AO43" s="13">
        <v>3.74</v>
      </c>
      <c r="AP43" s="13">
        <v>7.1550000000000002</v>
      </c>
      <c r="AQ43" s="13">
        <v>32.68</v>
      </c>
      <c r="AR43" s="13">
        <v>53.326999999999998</v>
      </c>
      <c r="AS43" s="13">
        <v>11.509</v>
      </c>
      <c r="AT43" s="13">
        <v>30.548999999999999</v>
      </c>
      <c r="AU43" s="13">
        <v>10.787000000000001</v>
      </c>
      <c r="AV43" s="13">
        <v>9.5960000000000001</v>
      </c>
      <c r="AW43" s="13">
        <v>5.492</v>
      </c>
      <c r="AX43" s="13">
        <v>7.7320000000000002</v>
      </c>
      <c r="AY43" s="13">
        <v>12.411</v>
      </c>
      <c r="AZ43" s="13">
        <v>14.52</v>
      </c>
      <c r="BA43" s="13">
        <v>8.8550000000000004</v>
      </c>
      <c r="BB43" s="13">
        <v>4.9450000000000003</v>
      </c>
      <c r="BC43" s="13">
        <v>3.5990000000000002</v>
      </c>
      <c r="BD43" s="13">
        <v>3.57</v>
      </c>
      <c r="BE43" s="13">
        <v>4.7549999999999999</v>
      </c>
      <c r="BF43" s="13">
        <v>5.0449999999999999</v>
      </c>
      <c r="BG43" s="13">
        <v>4.7759999999999998</v>
      </c>
      <c r="BH43" s="13">
        <v>7.7320000000000002</v>
      </c>
      <c r="BI43" s="13">
        <f>1642/1000</f>
        <v>1.6419999999999999</v>
      </c>
      <c r="BJ43" s="13">
        <f>4130/1000</f>
        <v>4.13</v>
      </c>
    </row>
    <row r="44" spans="1:62" s="19" customFormat="1" ht="12.75">
      <c r="A44" s="45" t="s">
        <v>49</v>
      </c>
      <c r="B44" s="84">
        <f t="shared" ref="B44:AG44" si="91">SUM(B45:B52)</f>
        <v>169.02399999999997</v>
      </c>
      <c r="C44" s="18">
        <f t="shared" si="91"/>
        <v>122.556</v>
      </c>
      <c r="D44" s="18">
        <f t="shared" si="91"/>
        <v>85.658999999999992</v>
      </c>
      <c r="E44" s="18">
        <f t="shared" si="91"/>
        <v>46.336999999999996</v>
      </c>
      <c r="F44" s="18">
        <f t="shared" si="91"/>
        <v>30.339999999999996</v>
      </c>
      <c r="G44" s="18">
        <f t="shared" si="91"/>
        <v>72.946999999999989</v>
      </c>
      <c r="H44" s="18">
        <f t="shared" si="91"/>
        <v>56.793999999999997</v>
      </c>
      <c r="I44" s="18">
        <f t="shared" si="91"/>
        <v>41.537000000000006</v>
      </c>
      <c r="J44" s="18">
        <f t="shared" si="91"/>
        <v>139.495</v>
      </c>
      <c r="K44" s="18">
        <f t="shared" si="91"/>
        <v>124.14399999999999</v>
      </c>
      <c r="L44" s="18">
        <f t="shared" si="91"/>
        <v>156.52000000000001</v>
      </c>
      <c r="M44" s="85">
        <f t="shared" si="91"/>
        <v>134.86700000000002</v>
      </c>
      <c r="N44" s="48">
        <f t="shared" si="91"/>
        <v>193.19400000000002</v>
      </c>
      <c r="O44" s="18">
        <f t="shared" si="91"/>
        <v>190.791</v>
      </c>
      <c r="P44" s="18">
        <f t="shared" si="91"/>
        <v>167.80199999999999</v>
      </c>
      <c r="Q44" s="18">
        <f t="shared" si="91"/>
        <v>169.02399999999997</v>
      </c>
      <c r="R44" s="18">
        <f t="shared" si="91"/>
        <v>147.27900000000002</v>
      </c>
      <c r="S44" s="18">
        <f t="shared" si="91"/>
        <v>142.98400000000001</v>
      </c>
      <c r="T44" s="18">
        <f t="shared" si="91"/>
        <v>122.283</v>
      </c>
      <c r="U44" s="18">
        <f t="shared" si="91"/>
        <v>122.556</v>
      </c>
      <c r="V44" s="18">
        <f t="shared" si="91"/>
        <v>105.89399999999999</v>
      </c>
      <c r="W44" s="18">
        <f t="shared" si="91"/>
        <v>107.54900000000001</v>
      </c>
      <c r="X44" s="18">
        <f t="shared" si="91"/>
        <v>88.188000000000002</v>
      </c>
      <c r="Y44" s="18">
        <f t="shared" si="91"/>
        <v>85.658999999999992</v>
      </c>
      <c r="Z44" s="18">
        <f t="shared" si="91"/>
        <v>66.004999999999995</v>
      </c>
      <c r="AA44" s="18">
        <f t="shared" si="91"/>
        <v>67.339999999999989</v>
      </c>
      <c r="AB44" s="18">
        <f t="shared" si="91"/>
        <v>47.302000000000007</v>
      </c>
      <c r="AC44" s="18">
        <f t="shared" si="91"/>
        <v>46.336999999999996</v>
      </c>
      <c r="AD44" s="18">
        <f t="shared" si="91"/>
        <v>26.481999999999999</v>
      </c>
      <c r="AE44" s="18">
        <f t="shared" si="91"/>
        <v>28.881</v>
      </c>
      <c r="AF44" s="18">
        <f t="shared" si="91"/>
        <v>30.543000000000003</v>
      </c>
      <c r="AG44" s="18">
        <f t="shared" si="91"/>
        <v>30.339999999999996</v>
      </c>
      <c r="AH44" s="18">
        <f t="shared" ref="AH44:BJ44" si="92">SUM(AH45:AH52)</f>
        <v>81.982000000000014</v>
      </c>
      <c r="AI44" s="18">
        <f t="shared" si="92"/>
        <v>80.805000000000007</v>
      </c>
      <c r="AJ44" s="18">
        <f t="shared" si="92"/>
        <v>74.838999999999999</v>
      </c>
      <c r="AK44" s="18">
        <f t="shared" si="92"/>
        <v>72.946999999999989</v>
      </c>
      <c r="AL44" s="18">
        <f t="shared" si="92"/>
        <v>74.051999999999992</v>
      </c>
      <c r="AM44" s="18">
        <f t="shared" si="92"/>
        <v>64.680999999999997</v>
      </c>
      <c r="AN44" s="18">
        <f t="shared" si="92"/>
        <v>56.128</v>
      </c>
      <c r="AO44" s="18">
        <f t="shared" si="92"/>
        <v>56.793999999999997</v>
      </c>
      <c r="AP44" s="18">
        <f t="shared" si="92"/>
        <v>52.560999999999993</v>
      </c>
      <c r="AQ44" s="18">
        <f t="shared" si="92"/>
        <v>53.807999999999993</v>
      </c>
      <c r="AR44" s="18">
        <f t="shared" si="92"/>
        <v>41.598999999999997</v>
      </c>
      <c r="AS44" s="18">
        <f t="shared" si="92"/>
        <v>41.537000000000006</v>
      </c>
      <c r="AT44" s="18">
        <f t="shared" si="92"/>
        <v>35.638999999999996</v>
      </c>
      <c r="AU44" s="18">
        <f t="shared" si="92"/>
        <v>31.580000000000005</v>
      </c>
      <c r="AV44" s="18">
        <f t="shared" si="92"/>
        <v>16.375</v>
      </c>
      <c r="AW44" s="18">
        <f t="shared" si="92"/>
        <v>139.495</v>
      </c>
      <c r="AX44" s="18">
        <f t="shared" si="92"/>
        <v>194.61</v>
      </c>
      <c r="AY44" s="18">
        <f t="shared" si="92"/>
        <v>170.928</v>
      </c>
      <c r="AZ44" s="18">
        <f t="shared" si="92"/>
        <v>181.96100000000001</v>
      </c>
      <c r="BA44" s="18">
        <f t="shared" si="92"/>
        <v>124.14399999999999</v>
      </c>
      <c r="BB44" s="18">
        <f t="shared" si="92"/>
        <v>128.917</v>
      </c>
      <c r="BC44" s="18">
        <f t="shared" si="92"/>
        <v>121.97199999999999</v>
      </c>
      <c r="BD44" s="18">
        <f t="shared" si="92"/>
        <v>119.745</v>
      </c>
      <c r="BE44" s="18">
        <f t="shared" si="92"/>
        <v>156.52000000000001</v>
      </c>
      <c r="BF44" s="18">
        <f t="shared" si="92"/>
        <v>151.54000000000002</v>
      </c>
      <c r="BG44" s="18">
        <f t="shared" si="92"/>
        <v>133.858</v>
      </c>
      <c r="BH44" s="18">
        <f t="shared" si="92"/>
        <v>137.72200000000001</v>
      </c>
      <c r="BI44" s="18">
        <f t="shared" si="92"/>
        <v>134.86700000000002</v>
      </c>
      <c r="BJ44" s="18">
        <f>SUM(BJ45:BJ52)</f>
        <v>136.50700000000001</v>
      </c>
    </row>
    <row r="45" spans="1:62" s="14" customFormat="1" ht="12.75">
      <c r="A45" s="46" t="s">
        <v>50</v>
      </c>
      <c r="B45" s="83">
        <f t="shared" si="79"/>
        <v>131.25</v>
      </c>
      <c r="C45" s="13">
        <f t="shared" si="80"/>
        <v>93.75</v>
      </c>
      <c r="D45" s="13">
        <f t="shared" si="81"/>
        <v>56.25</v>
      </c>
      <c r="E45" s="13">
        <f>AC45</f>
        <v>18.75</v>
      </c>
      <c r="F45" s="13">
        <f>AG45</f>
        <v>0.24299999999999999</v>
      </c>
      <c r="G45" s="13">
        <f>AK45</f>
        <v>41.823999999999998</v>
      </c>
      <c r="H45" s="13">
        <f t="shared" ref="H45:H63" si="93">AO45</f>
        <v>25.071999999999999</v>
      </c>
      <c r="I45" s="13">
        <f t="shared" ref="I45:I63" si="94">AS45</f>
        <v>8.3330000000000002</v>
      </c>
      <c r="J45" s="13">
        <f t="shared" ref="J45:J63" si="95">AW45</f>
        <v>120</v>
      </c>
      <c r="K45" s="13">
        <f t="shared" ref="K45:K63" si="96">BA45</f>
        <v>103.435</v>
      </c>
      <c r="L45" s="13">
        <f>BE45</f>
        <v>120</v>
      </c>
      <c r="M45" s="82">
        <f t="shared" ref="M45:M52" si="97">BI45</f>
        <v>80</v>
      </c>
      <c r="N45" s="49">
        <v>150</v>
      </c>
      <c r="O45" s="13">
        <v>150</v>
      </c>
      <c r="P45" s="13">
        <v>131.25</v>
      </c>
      <c r="Q45" s="13">
        <v>131.25</v>
      </c>
      <c r="R45" s="13">
        <v>112.5</v>
      </c>
      <c r="S45" s="13">
        <v>112.5</v>
      </c>
      <c r="T45" s="13">
        <v>93.75</v>
      </c>
      <c r="U45" s="13">
        <v>93.75</v>
      </c>
      <c r="V45" s="13">
        <v>75</v>
      </c>
      <c r="W45" s="13">
        <v>75</v>
      </c>
      <c r="X45" s="13">
        <v>56.25</v>
      </c>
      <c r="Y45" s="13">
        <v>56.25</v>
      </c>
      <c r="Z45" s="13">
        <v>37.5</v>
      </c>
      <c r="AA45" s="13">
        <v>37.5</v>
      </c>
      <c r="AB45" s="13">
        <v>18.75</v>
      </c>
      <c r="AC45" s="13">
        <v>18.75</v>
      </c>
      <c r="AD45" s="13">
        <v>0</v>
      </c>
      <c r="AE45" s="13">
        <v>0</v>
      </c>
      <c r="AF45" s="13">
        <v>0.26500000000000001</v>
      </c>
      <c r="AG45" s="13">
        <v>0.24299999999999999</v>
      </c>
      <c r="AH45" s="13">
        <v>50.222000000000001</v>
      </c>
      <c r="AI45" s="13">
        <v>50.2</v>
      </c>
      <c r="AJ45" s="13">
        <v>41.844999999999999</v>
      </c>
      <c r="AK45" s="13">
        <v>41.823999999999998</v>
      </c>
      <c r="AL45" s="13">
        <v>41.802999999999997</v>
      </c>
      <c r="AM45" s="13">
        <v>33.448</v>
      </c>
      <c r="AN45" s="13">
        <v>25.093</v>
      </c>
      <c r="AO45" s="13">
        <v>25.071999999999999</v>
      </c>
      <c r="AP45" s="13">
        <v>16.716999999999999</v>
      </c>
      <c r="AQ45" s="13">
        <v>16.696000000000002</v>
      </c>
      <c r="AR45" s="13">
        <v>8.3409999999999993</v>
      </c>
      <c r="AS45" s="13">
        <v>8.3330000000000002</v>
      </c>
      <c r="AT45" s="13">
        <v>0</v>
      </c>
      <c r="AU45" s="13">
        <v>0</v>
      </c>
      <c r="AV45" s="13">
        <v>0</v>
      </c>
      <c r="AW45" s="13">
        <v>120</v>
      </c>
      <c r="AX45" s="13">
        <v>144.95500000000001</v>
      </c>
      <c r="AY45" s="13">
        <v>124.955</v>
      </c>
      <c r="AZ45" s="13">
        <v>130.66800000000001</v>
      </c>
      <c r="BA45" s="13">
        <v>103.435</v>
      </c>
      <c r="BB45" s="13">
        <v>80</v>
      </c>
      <c r="BC45" s="13">
        <v>72</v>
      </c>
      <c r="BD45" s="13">
        <v>72</v>
      </c>
      <c r="BE45" s="13">
        <v>120</v>
      </c>
      <c r="BF45" s="13">
        <v>120</v>
      </c>
      <c r="BG45" s="13">
        <v>100</v>
      </c>
      <c r="BH45" s="13">
        <v>100</v>
      </c>
      <c r="BI45" s="13">
        <f>80000/1000</f>
        <v>80</v>
      </c>
      <c r="BJ45" s="13">
        <f>80000/1000</f>
        <v>80</v>
      </c>
    </row>
    <row r="46" spans="1:62" s="14" customFormat="1" ht="12.75">
      <c r="A46" s="46" t="s">
        <v>180</v>
      </c>
      <c r="B46" s="83">
        <v>0</v>
      </c>
      <c r="C46" s="13">
        <v>0</v>
      </c>
      <c r="D46" s="13">
        <v>0</v>
      </c>
      <c r="E46" s="13">
        <v>0</v>
      </c>
      <c r="F46" s="13">
        <v>0</v>
      </c>
      <c r="G46" s="13">
        <v>0</v>
      </c>
      <c r="H46" s="13">
        <v>0</v>
      </c>
      <c r="I46" s="13">
        <v>0</v>
      </c>
      <c r="J46" s="13">
        <v>0</v>
      </c>
      <c r="K46" s="13">
        <v>0</v>
      </c>
      <c r="L46" s="13">
        <f t="shared" ref="L46:L52" si="98">BE46</f>
        <v>6.976</v>
      </c>
      <c r="M46" s="82">
        <f t="shared" si="97"/>
        <v>5.7880000000000003</v>
      </c>
      <c r="N46" s="49">
        <v>0</v>
      </c>
      <c r="O46" s="13">
        <v>0</v>
      </c>
      <c r="P46" s="13">
        <v>0</v>
      </c>
      <c r="Q46" s="13">
        <v>0</v>
      </c>
      <c r="R46" s="13">
        <v>0</v>
      </c>
      <c r="S46" s="13">
        <v>0</v>
      </c>
      <c r="T46" s="13">
        <v>0</v>
      </c>
      <c r="U46" s="13">
        <v>0</v>
      </c>
      <c r="V46" s="13">
        <v>0</v>
      </c>
      <c r="W46" s="13">
        <v>0</v>
      </c>
      <c r="X46" s="13">
        <v>0</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3">
        <v>0</v>
      </c>
      <c r="AO46" s="13">
        <v>0</v>
      </c>
      <c r="AP46" s="13">
        <v>0</v>
      </c>
      <c r="AQ46" s="13">
        <v>0</v>
      </c>
      <c r="AR46" s="13">
        <v>0</v>
      </c>
      <c r="AS46" s="13">
        <v>0</v>
      </c>
      <c r="AT46" s="13">
        <v>0</v>
      </c>
      <c r="AU46" s="13">
        <v>0</v>
      </c>
      <c r="AV46" s="13">
        <v>0</v>
      </c>
      <c r="AW46" s="13">
        <v>0</v>
      </c>
      <c r="AX46" s="13">
        <v>0</v>
      </c>
      <c r="AY46" s="13">
        <v>0</v>
      </c>
      <c r="AZ46" s="13">
        <v>0</v>
      </c>
      <c r="BA46" s="13">
        <v>0</v>
      </c>
      <c r="BB46" s="13">
        <v>25.396000000000001</v>
      </c>
      <c r="BC46" s="13">
        <v>22.163</v>
      </c>
      <c r="BD46" s="13">
        <v>18.471</v>
      </c>
      <c r="BE46" s="13">
        <v>6.976</v>
      </c>
      <c r="BF46" s="13">
        <v>4.6520000000000001</v>
      </c>
      <c r="BG46" s="13">
        <v>7.1879999999999997</v>
      </c>
      <c r="BH46" s="13">
        <v>6.4939999999999998</v>
      </c>
      <c r="BI46" s="13">
        <f>5788/1000</f>
        <v>5.7880000000000003</v>
      </c>
      <c r="BJ46" s="13">
        <f>5730/1000</f>
        <v>5.73</v>
      </c>
    </row>
    <row r="47" spans="1:62" s="14" customFormat="1" ht="12.75">
      <c r="A47" s="46" t="s">
        <v>47</v>
      </c>
      <c r="B47" s="83">
        <f t="shared" si="79"/>
        <v>21.914999999999999</v>
      </c>
      <c r="C47" s="13">
        <f t="shared" si="80"/>
        <v>18.933</v>
      </c>
      <c r="D47" s="13">
        <f t="shared" si="81"/>
        <v>20.445</v>
      </c>
      <c r="E47" s="13">
        <f>AC47</f>
        <v>20.140999999999998</v>
      </c>
      <c r="F47" s="13">
        <f>AG47</f>
        <v>22.384</v>
      </c>
      <c r="G47" s="13">
        <f>AK47</f>
        <v>20.231999999999999</v>
      </c>
      <c r="H47" s="13">
        <f t="shared" si="93"/>
        <v>23.1</v>
      </c>
      <c r="I47" s="13">
        <f t="shared" si="94"/>
        <v>23.885000000000002</v>
      </c>
      <c r="J47" s="13">
        <f t="shared" si="95"/>
        <v>9.2880000000000003</v>
      </c>
      <c r="K47" s="13">
        <f t="shared" si="96"/>
        <v>19.32</v>
      </c>
      <c r="L47" s="13">
        <f t="shared" si="98"/>
        <v>27.786000000000001</v>
      </c>
      <c r="M47" s="82">
        <f t="shared" si="97"/>
        <v>25.664999999999999</v>
      </c>
      <c r="N47" s="49">
        <f>22.618-0.044</f>
        <v>22.573999999999998</v>
      </c>
      <c r="O47" s="13">
        <v>22.35</v>
      </c>
      <c r="P47" s="13">
        <v>19.596</v>
      </c>
      <c r="Q47" s="13">
        <v>21.914999999999999</v>
      </c>
      <c r="R47" s="13">
        <v>19.364999999999998</v>
      </c>
      <c r="S47" s="13">
        <v>20.222000000000001</v>
      </c>
      <c r="T47" s="13">
        <v>18.608000000000001</v>
      </c>
      <c r="U47" s="13">
        <v>18.933</v>
      </c>
      <c r="V47" s="13">
        <v>19.559999999999999</v>
      </c>
      <c r="W47" s="13">
        <v>22.126000000000001</v>
      </c>
      <c r="X47" s="13">
        <v>22.361000000000001</v>
      </c>
      <c r="Y47" s="13">
        <v>20.445</v>
      </c>
      <c r="Z47" s="13">
        <v>20.132999999999999</v>
      </c>
      <c r="AA47" s="13">
        <v>21.571000000000002</v>
      </c>
      <c r="AB47" s="13">
        <v>20.943999999999999</v>
      </c>
      <c r="AC47" s="13">
        <v>20.140999999999998</v>
      </c>
      <c r="AD47" s="13">
        <v>19.815999999999999</v>
      </c>
      <c r="AE47" s="13">
        <v>21.643000000000001</v>
      </c>
      <c r="AF47" s="13">
        <v>21.62</v>
      </c>
      <c r="AG47" s="13">
        <v>22.384</v>
      </c>
      <c r="AH47" s="13">
        <v>24.12</v>
      </c>
      <c r="AI47" s="13">
        <v>20.268000000000001</v>
      </c>
      <c r="AJ47" s="13">
        <v>20.507000000000001</v>
      </c>
      <c r="AK47" s="13">
        <v>20.231999999999999</v>
      </c>
      <c r="AL47" s="13">
        <v>22.158000000000001</v>
      </c>
      <c r="AM47" s="13">
        <v>21.693000000000001</v>
      </c>
      <c r="AN47" s="13">
        <v>22.158999999999999</v>
      </c>
      <c r="AO47" s="13">
        <v>23.1</v>
      </c>
      <c r="AP47" s="13">
        <v>23.335999999999999</v>
      </c>
      <c r="AQ47" s="13">
        <v>24.135999999999999</v>
      </c>
      <c r="AR47" s="13">
        <v>23.568000000000001</v>
      </c>
      <c r="AS47" s="13">
        <v>23.885000000000002</v>
      </c>
      <c r="AT47" s="13">
        <v>26.609000000000002</v>
      </c>
      <c r="AU47" s="13">
        <v>24.882000000000001</v>
      </c>
      <c r="AV47" s="13">
        <v>9.1890000000000001</v>
      </c>
      <c r="AW47" s="13">
        <v>9.2880000000000003</v>
      </c>
      <c r="AX47" s="13">
        <v>43.42</v>
      </c>
      <c r="AY47" s="13">
        <v>42.942999999999998</v>
      </c>
      <c r="AZ47" s="13">
        <v>48.75</v>
      </c>
      <c r="BA47" s="13">
        <v>19.32</v>
      </c>
      <c r="BB47" s="13">
        <v>21.562999999999999</v>
      </c>
      <c r="BC47" s="13">
        <v>26.178999999999998</v>
      </c>
      <c r="BD47" s="13">
        <v>27.943000000000001</v>
      </c>
      <c r="BE47" s="13">
        <v>27.786000000000001</v>
      </c>
      <c r="BF47" s="13">
        <v>24.814</v>
      </c>
      <c r="BG47" s="13">
        <v>24.952999999999999</v>
      </c>
      <c r="BH47" s="13">
        <v>25.332000000000001</v>
      </c>
      <c r="BI47" s="13">
        <f>25665/1000</f>
        <v>25.664999999999999</v>
      </c>
      <c r="BJ47" s="13">
        <f>27845/1000</f>
        <v>27.844999999999999</v>
      </c>
    </row>
    <row r="48" spans="1:62" s="14" customFormat="1" ht="12.75">
      <c r="A48" s="46" t="s">
        <v>181</v>
      </c>
      <c r="B48" s="83">
        <v>0</v>
      </c>
      <c r="C48" s="13">
        <v>0</v>
      </c>
      <c r="D48" s="13">
        <v>0</v>
      </c>
      <c r="E48" s="13">
        <v>0</v>
      </c>
      <c r="F48" s="13">
        <v>0</v>
      </c>
      <c r="G48" s="13">
        <v>0</v>
      </c>
      <c r="H48" s="13">
        <v>0</v>
      </c>
      <c r="I48" s="13">
        <v>0</v>
      </c>
      <c r="J48" s="13">
        <v>0</v>
      </c>
      <c r="K48" s="13">
        <v>0</v>
      </c>
      <c r="L48" s="13">
        <f t="shared" si="98"/>
        <v>0</v>
      </c>
      <c r="M48" s="82">
        <f t="shared" si="97"/>
        <v>0</v>
      </c>
      <c r="N48" s="49">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row>
    <row r="49" spans="1:62" s="14" customFormat="1" ht="12.75">
      <c r="A49" s="46" t="s">
        <v>31</v>
      </c>
      <c r="B49" s="83">
        <f t="shared" si="79"/>
        <v>1.429</v>
      </c>
      <c r="C49" s="13">
        <f t="shared" si="80"/>
        <v>1.4470000000000001</v>
      </c>
      <c r="D49" s="13">
        <f t="shared" si="81"/>
        <v>2.2010000000000001</v>
      </c>
      <c r="E49" s="13">
        <f>AC49</f>
        <v>1.5469999999999999</v>
      </c>
      <c r="F49" s="13">
        <f>AG49</f>
        <v>1.0029999999999999</v>
      </c>
      <c r="G49" s="13">
        <f>AK49</f>
        <v>0.70499999999999996</v>
      </c>
      <c r="H49" s="13">
        <f t="shared" si="93"/>
        <v>0.46600000000000003</v>
      </c>
      <c r="I49" s="13">
        <f t="shared" si="94"/>
        <v>0.20300000000000001</v>
      </c>
      <c r="J49" s="13">
        <f t="shared" si="95"/>
        <v>3.8919999999999999</v>
      </c>
      <c r="K49" s="13">
        <f t="shared" si="96"/>
        <v>0.47799999999999998</v>
      </c>
      <c r="L49" s="13">
        <f t="shared" si="98"/>
        <v>0.185</v>
      </c>
      <c r="M49" s="82">
        <f t="shared" si="97"/>
        <v>0.22</v>
      </c>
      <c r="N49" s="49">
        <v>2.9359999999999999</v>
      </c>
      <c r="O49" s="13">
        <v>1.3260000000000001</v>
      </c>
      <c r="P49" s="13">
        <v>1.4379999999999999</v>
      </c>
      <c r="Q49" s="13">
        <v>1.429</v>
      </c>
      <c r="R49" s="13">
        <v>1.5620000000000001</v>
      </c>
      <c r="S49" s="13">
        <v>1.716</v>
      </c>
      <c r="T49" s="13">
        <v>1.2170000000000001</v>
      </c>
      <c r="U49" s="13">
        <v>1.4470000000000001</v>
      </c>
      <c r="V49" s="13">
        <v>3.5049999999999999</v>
      </c>
      <c r="W49" s="13">
        <v>2.5339999999999998</v>
      </c>
      <c r="X49" s="13">
        <v>2.3679999999999999</v>
      </c>
      <c r="Y49" s="13">
        <v>2.2010000000000001</v>
      </c>
      <c r="Z49" s="13">
        <v>2.0350000000000001</v>
      </c>
      <c r="AA49" s="13">
        <v>1.87</v>
      </c>
      <c r="AB49" s="13">
        <v>1.71</v>
      </c>
      <c r="AC49" s="13">
        <v>1.5469999999999999</v>
      </c>
      <c r="AD49" s="13">
        <v>1.3939999999999999</v>
      </c>
      <c r="AE49" s="13">
        <v>1.264</v>
      </c>
      <c r="AF49" s="13">
        <v>1.1339999999999999</v>
      </c>
      <c r="AG49" s="13">
        <v>1.0029999999999999</v>
      </c>
      <c r="AH49" s="13">
        <v>0.89900000000000002</v>
      </c>
      <c r="AI49" s="13">
        <v>0.83399999999999996</v>
      </c>
      <c r="AJ49" s="13">
        <v>0.77</v>
      </c>
      <c r="AK49" s="13">
        <v>0.70499999999999996</v>
      </c>
      <c r="AL49" s="13">
        <v>0.61099999999999999</v>
      </c>
      <c r="AM49" s="13">
        <v>0.56200000000000006</v>
      </c>
      <c r="AN49" s="13">
        <v>0.51400000000000001</v>
      </c>
      <c r="AO49" s="13">
        <v>0.46600000000000003</v>
      </c>
      <c r="AP49" s="13">
        <v>0.42099999999999999</v>
      </c>
      <c r="AQ49" s="13">
        <v>0.38500000000000001</v>
      </c>
      <c r="AR49" s="13">
        <v>0.48799999999999999</v>
      </c>
      <c r="AS49" s="13">
        <v>0.20300000000000001</v>
      </c>
      <c r="AT49" s="13">
        <v>0.19800000000000001</v>
      </c>
      <c r="AU49" s="13">
        <v>0.18099999999999999</v>
      </c>
      <c r="AV49" s="13">
        <v>0.79700000000000004</v>
      </c>
      <c r="AW49" s="13">
        <v>3.8919999999999999</v>
      </c>
      <c r="AX49" s="13">
        <v>0.159</v>
      </c>
      <c r="AY49" s="13">
        <v>1.0129999999999999</v>
      </c>
      <c r="AZ49" s="13">
        <v>0.69899999999999995</v>
      </c>
      <c r="BA49" s="13">
        <v>0.47799999999999998</v>
      </c>
      <c r="BB49" s="13">
        <v>1.109</v>
      </c>
      <c r="BC49" s="13">
        <v>0.69599999999999995</v>
      </c>
      <c r="BD49" s="13">
        <v>0.45500000000000002</v>
      </c>
      <c r="BE49" s="13">
        <v>0.185</v>
      </c>
      <c r="BF49" s="13">
        <v>0.20200000000000001</v>
      </c>
      <c r="BG49" s="13">
        <v>0.185</v>
      </c>
      <c r="BH49" s="13">
        <v>0.20799999999999999</v>
      </c>
      <c r="BI49" s="13">
        <f>220/1000</f>
        <v>0.22</v>
      </c>
      <c r="BJ49" s="13">
        <f>189/1000</f>
        <v>0.189</v>
      </c>
    </row>
    <row r="50" spans="1:62" s="14" customFormat="1" ht="12.75">
      <c r="A50" s="46" t="s">
        <v>43</v>
      </c>
      <c r="B50" s="83">
        <f t="shared" si="79"/>
        <v>13.117000000000001</v>
      </c>
      <c r="C50" s="13">
        <f t="shared" si="80"/>
        <v>8.4260000000000002</v>
      </c>
      <c r="D50" s="13">
        <f t="shared" si="81"/>
        <v>6.7629999999999999</v>
      </c>
      <c r="E50" s="13">
        <f>AC50</f>
        <v>5.899</v>
      </c>
      <c r="F50" s="13">
        <f>AG50</f>
        <v>5.9139999999999997</v>
      </c>
      <c r="G50" s="13">
        <f>AK50</f>
        <v>8.0649999999999995</v>
      </c>
      <c r="H50" s="13">
        <f t="shared" si="93"/>
        <v>6.4139999999999997</v>
      </c>
      <c r="I50" s="13">
        <f t="shared" si="94"/>
        <v>5.7519999999999998</v>
      </c>
      <c r="J50" s="13">
        <f t="shared" si="95"/>
        <v>5.3789999999999996</v>
      </c>
      <c r="K50" s="13">
        <f t="shared" si="96"/>
        <v>0.91100000000000003</v>
      </c>
      <c r="L50" s="13">
        <f t="shared" si="98"/>
        <v>1.2070000000000001</v>
      </c>
      <c r="M50" s="82">
        <f t="shared" si="97"/>
        <v>22.827999999999999</v>
      </c>
      <c r="N50" s="49">
        <v>17.684000000000001</v>
      </c>
      <c r="O50" s="13">
        <v>17.114999999999998</v>
      </c>
      <c r="P50" s="13">
        <v>15.518000000000001</v>
      </c>
      <c r="Q50" s="13">
        <v>13.117000000000001</v>
      </c>
      <c r="R50" s="13">
        <v>12.568</v>
      </c>
      <c r="S50" s="13">
        <v>7.2720000000000002</v>
      </c>
      <c r="T50" s="13">
        <v>8.7080000000000002</v>
      </c>
      <c r="U50" s="13">
        <v>8.4260000000000002</v>
      </c>
      <c r="V50" s="13">
        <v>7.8289999999999997</v>
      </c>
      <c r="W50" s="13">
        <v>7.8890000000000002</v>
      </c>
      <c r="X50" s="13">
        <v>7.2089999999999996</v>
      </c>
      <c r="Y50" s="13">
        <v>6.7629999999999999</v>
      </c>
      <c r="Z50" s="13">
        <v>6.3369999999999997</v>
      </c>
      <c r="AA50" s="13">
        <v>6.399</v>
      </c>
      <c r="AB50" s="13">
        <v>5.8979999999999997</v>
      </c>
      <c r="AC50" s="13">
        <v>5.899</v>
      </c>
      <c r="AD50" s="13">
        <v>5.2720000000000002</v>
      </c>
      <c r="AE50" s="13">
        <v>5.9740000000000002</v>
      </c>
      <c r="AF50" s="13">
        <v>6.8460000000000001</v>
      </c>
      <c r="AG50" s="13">
        <v>5.9139999999999997</v>
      </c>
      <c r="AH50" s="13">
        <v>5.9450000000000003</v>
      </c>
      <c r="AI50" s="13">
        <v>8.702</v>
      </c>
      <c r="AJ50" s="13">
        <v>9.5359999999999996</v>
      </c>
      <c r="AK50" s="13">
        <v>8.0649999999999995</v>
      </c>
      <c r="AL50" s="13">
        <v>7.4539999999999997</v>
      </c>
      <c r="AM50" s="13">
        <v>7.0430000000000001</v>
      </c>
      <c r="AN50" s="13">
        <v>6.516</v>
      </c>
      <c r="AO50" s="13">
        <v>6.4139999999999997</v>
      </c>
      <c r="AP50" s="13">
        <v>6.1959999999999997</v>
      </c>
      <c r="AQ50" s="13">
        <v>6.0259999999999998</v>
      </c>
      <c r="AR50" s="13">
        <v>5.83</v>
      </c>
      <c r="AS50" s="13">
        <v>5.7519999999999998</v>
      </c>
      <c r="AT50" s="13">
        <v>5.55</v>
      </c>
      <c r="AU50" s="13">
        <v>5.3760000000000003</v>
      </c>
      <c r="AV50" s="13">
        <v>5.34</v>
      </c>
      <c r="AW50" s="13">
        <v>5.3789999999999996</v>
      </c>
      <c r="AX50" s="13">
        <v>5.2469999999999999</v>
      </c>
      <c r="AY50" s="13">
        <v>1.2210000000000001</v>
      </c>
      <c r="AZ50" s="13">
        <v>1.048</v>
      </c>
      <c r="BA50" s="13">
        <v>0.91100000000000003</v>
      </c>
      <c r="BB50" s="13">
        <v>0.84899999999999998</v>
      </c>
      <c r="BC50" s="13">
        <v>0.93400000000000005</v>
      </c>
      <c r="BD50" s="13">
        <v>0.876</v>
      </c>
      <c r="BE50" s="13">
        <v>1.2070000000000001</v>
      </c>
      <c r="BF50" s="13">
        <v>1.506</v>
      </c>
      <c r="BG50" s="13">
        <v>1.1659999999999999</v>
      </c>
      <c r="BH50" s="13">
        <v>5.3220000000000001</v>
      </c>
      <c r="BI50" s="13">
        <f>22828/1000</f>
        <v>22.827999999999999</v>
      </c>
      <c r="BJ50" s="13">
        <f>22377/1000</f>
        <v>22.376999999999999</v>
      </c>
    </row>
    <row r="51" spans="1:62" s="14" customFormat="1" ht="12.75">
      <c r="A51" s="46" t="s">
        <v>51</v>
      </c>
      <c r="B51" s="83">
        <f t="shared" si="79"/>
        <v>1.3129999999999999</v>
      </c>
      <c r="C51" s="13">
        <f t="shared" si="80"/>
        <v>0</v>
      </c>
      <c r="D51" s="13">
        <f t="shared" si="81"/>
        <v>0</v>
      </c>
      <c r="E51" s="13">
        <f>AC51</f>
        <v>0</v>
      </c>
      <c r="F51" s="13">
        <f>AG51</f>
        <v>0</v>
      </c>
      <c r="G51" s="13">
        <f>AK51</f>
        <v>0</v>
      </c>
      <c r="H51" s="13">
        <f t="shared" si="93"/>
        <v>0</v>
      </c>
      <c r="I51" s="13">
        <f t="shared" si="94"/>
        <v>0</v>
      </c>
      <c r="J51" s="13">
        <f t="shared" si="95"/>
        <v>0</v>
      </c>
      <c r="K51" s="13">
        <f t="shared" si="96"/>
        <v>0</v>
      </c>
      <c r="L51" s="13">
        <f t="shared" si="98"/>
        <v>0</v>
      </c>
      <c r="M51" s="82">
        <f t="shared" si="97"/>
        <v>0</v>
      </c>
      <c r="N51" s="49">
        <v>0</v>
      </c>
      <c r="O51" s="13">
        <v>0</v>
      </c>
      <c r="P51" s="13">
        <v>0</v>
      </c>
      <c r="Q51" s="13">
        <v>1.3129999999999999</v>
      </c>
      <c r="R51" s="13">
        <v>1.284</v>
      </c>
      <c r="S51" s="13">
        <v>1.274</v>
      </c>
      <c r="T51" s="13">
        <v>0</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row>
    <row r="52" spans="1:62" s="14" customFormat="1" ht="12.75">
      <c r="A52" s="46" t="s">
        <v>48</v>
      </c>
      <c r="B52" s="83">
        <v>0</v>
      </c>
      <c r="C52" s="13">
        <v>0</v>
      </c>
      <c r="D52" s="13">
        <v>0</v>
      </c>
      <c r="E52" s="13">
        <v>0</v>
      </c>
      <c r="F52" s="13">
        <f>AG52</f>
        <v>0.79600000000000004</v>
      </c>
      <c r="G52" s="13">
        <f>AK52</f>
        <v>2.121</v>
      </c>
      <c r="H52" s="13">
        <f t="shared" si="93"/>
        <v>1.742</v>
      </c>
      <c r="I52" s="13">
        <f t="shared" si="94"/>
        <v>3.3639999999999999</v>
      </c>
      <c r="J52" s="13">
        <f t="shared" si="95"/>
        <v>0.93600000000000005</v>
      </c>
      <c r="K52" s="13">
        <f t="shared" si="96"/>
        <v>0</v>
      </c>
      <c r="L52" s="13">
        <f t="shared" si="98"/>
        <v>0.36599999999999999</v>
      </c>
      <c r="M52" s="82">
        <f t="shared" si="97"/>
        <v>0.36599999999999999</v>
      </c>
      <c r="N52" s="49">
        <v>0</v>
      </c>
      <c r="O52" s="13">
        <v>0</v>
      </c>
      <c r="P52" s="13">
        <v>0</v>
      </c>
      <c r="Q52" s="13">
        <v>0</v>
      </c>
      <c r="R52" s="13">
        <v>0</v>
      </c>
      <c r="S52" s="13">
        <v>0</v>
      </c>
      <c r="T52" s="13">
        <v>0</v>
      </c>
      <c r="U52" s="13">
        <v>0</v>
      </c>
      <c r="V52" s="13">
        <v>0</v>
      </c>
      <c r="W52" s="13">
        <v>0</v>
      </c>
      <c r="X52" s="13">
        <v>0</v>
      </c>
      <c r="Y52" s="13">
        <v>0</v>
      </c>
      <c r="Z52" s="13">
        <v>0</v>
      </c>
      <c r="AA52" s="13">
        <v>0</v>
      </c>
      <c r="AB52" s="13">
        <v>0</v>
      </c>
      <c r="AC52" s="13">
        <v>0</v>
      </c>
      <c r="AD52" s="13">
        <v>0</v>
      </c>
      <c r="AE52" s="13">
        <v>0</v>
      </c>
      <c r="AF52" s="13">
        <v>0.67800000000000005</v>
      </c>
      <c r="AG52" s="13">
        <v>0.79600000000000004</v>
      </c>
      <c r="AH52" s="13">
        <v>0.79600000000000004</v>
      </c>
      <c r="AI52" s="13">
        <v>0.80100000000000005</v>
      </c>
      <c r="AJ52" s="13">
        <v>2.181</v>
      </c>
      <c r="AK52" s="13">
        <v>2.121</v>
      </c>
      <c r="AL52" s="13">
        <v>2.0259999999999998</v>
      </c>
      <c r="AM52" s="13">
        <v>1.9350000000000001</v>
      </c>
      <c r="AN52" s="13">
        <v>1.8460000000000001</v>
      </c>
      <c r="AO52" s="13">
        <v>1.742</v>
      </c>
      <c r="AP52" s="13">
        <v>5.891</v>
      </c>
      <c r="AQ52" s="13">
        <v>6.5650000000000004</v>
      </c>
      <c r="AR52" s="13">
        <v>3.3719999999999999</v>
      </c>
      <c r="AS52" s="13">
        <v>3.3639999999999999</v>
      </c>
      <c r="AT52" s="13">
        <v>3.282</v>
      </c>
      <c r="AU52" s="13">
        <v>1.141</v>
      </c>
      <c r="AV52" s="13">
        <v>1.0489999999999999</v>
      </c>
      <c r="AW52" s="13">
        <v>0.93600000000000005</v>
      </c>
      <c r="AX52" s="13">
        <v>0.82899999999999996</v>
      </c>
      <c r="AY52" s="13">
        <v>0.79600000000000004</v>
      </c>
      <c r="AZ52" s="13">
        <v>0.79600000000000004</v>
      </c>
      <c r="BA52" s="13">
        <v>0</v>
      </c>
      <c r="BB52" s="13">
        <v>0</v>
      </c>
      <c r="BC52" s="13">
        <v>0</v>
      </c>
      <c r="BD52" s="13">
        <v>0</v>
      </c>
      <c r="BE52" s="13">
        <v>0.36599999999999999</v>
      </c>
      <c r="BF52" s="13">
        <v>0.36599999999999999</v>
      </c>
      <c r="BG52" s="13">
        <v>0.36599999999999999</v>
      </c>
      <c r="BH52" s="13">
        <v>0.36599999999999999</v>
      </c>
      <c r="BI52" s="13">
        <f>366/1000</f>
        <v>0.36599999999999999</v>
      </c>
      <c r="BJ52" s="13">
        <f>366/1000</f>
        <v>0.36599999999999999</v>
      </c>
    </row>
    <row r="53" spans="1:62" s="19" customFormat="1" ht="12.75">
      <c r="A53" s="45" t="s">
        <v>52</v>
      </c>
      <c r="B53" s="84">
        <f t="shared" ref="B53:AG53" si="99">SUM(B54:B63)</f>
        <v>133.31800000000001</v>
      </c>
      <c r="C53" s="18">
        <f t="shared" si="99"/>
        <v>338.02800000000002</v>
      </c>
      <c r="D53" s="18">
        <f t="shared" si="99"/>
        <v>354.44299999999998</v>
      </c>
      <c r="E53" s="18">
        <f t="shared" si="99"/>
        <v>332.76600000000002</v>
      </c>
      <c r="F53" s="18">
        <f t="shared" si="99"/>
        <v>256.39999999999998</v>
      </c>
      <c r="G53" s="18">
        <f t="shared" si="99"/>
        <v>272.09100000000001</v>
      </c>
      <c r="H53" s="18">
        <f t="shared" si="99"/>
        <v>287.59000000000003</v>
      </c>
      <c r="I53" s="18">
        <f t="shared" si="99"/>
        <v>326.78500000000008</v>
      </c>
      <c r="J53" s="18">
        <f t="shared" si="99"/>
        <v>334.48</v>
      </c>
      <c r="K53" s="18">
        <f t="shared" si="99"/>
        <v>276.62399999999997</v>
      </c>
      <c r="L53" s="18">
        <f t="shared" si="99"/>
        <v>189.96299999999999</v>
      </c>
      <c r="M53" s="85">
        <f t="shared" si="99"/>
        <v>135.084</v>
      </c>
      <c r="N53" s="48">
        <f t="shared" si="99"/>
        <v>131.661</v>
      </c>
      <c r="O53" s="18">
        <f t="shared" si="99"/>
        <v>122.66700000000002</v>
      </c>
      <c r="P53" s="18">
        <f t="shared" si="99"/>
        <v>117.26700000000001</v>
      </c>
      <c r="Q53" s="18">
        <f t="shared" si="99"/>
        <v>133.31800000000001</v>
      </c>
      <c r="R53" s="18">
        <f t="shared" si="99"/>
        <v>104.72800000000001</v>
      </c>
      <c r="S53" s="18">
        <f t="shared" si="99"/>
        <v>294.899</v>
      </c>
      <c r="T53" s="18">
        <f t="shared" si="99"/>
        <v>316.92099999999999</v>
      </c>
      <c r="U53" s="18">
        <f t="shared" si="99"/>
        <v>338.02800000000002</v>
      </c>
      <c r="V53" s="18">
        <f t="shared" si="99"/>
        <v>346.24299999999999</v>
      </c>
      <c r="W53" s="18">
        <f t="shared" si="99"/>
        <v>365.27600000000001</v>
      </c>
      <c r="X53" s="18">
        <f t="shared" si="99"/>
        <v>387.70699999999994</v>
      </c>
      <c r="Y53" s="18">
        <f t="shared" si="99"/>
        <v>354.44299999999998</v>
      </c>
      <c r="Z53" s="18">
        <f t="shared" si="99"/>
        <v>337.63599999999997</v>
      </c>
      <c r="AA53" s="18">
        <f t="shared" si="99"/>
        <v>346.30600000000004</v>
      </c>
      <c r="AB53" s="18">
        <f t="shared" si="99"/>
        <v>343.13300000000004</v>
      </c>
      <c r="AC53" s="18">
        <f t="shared" si="99"/>
        <v>332.76600000000002</v>
      </c>
      <c r="AD53" s="18">
        <f t="shared" si="99"/>
        <v>304.27700000000004</v>
      </c>
      <c r="AE53" s="18">
        <f t="shared" si="99"/>
        <v>301.93799999999999</v>
      </c>
      <c r="AF53" s="18">
        <f t="shared" si="99"/>
        <v>297.50299999999999</v>
      </c>
      <c r="AG53" s="18">
        <f t="shared" si="99"/>
        <v>256.39999999999998</v>
      </c>
      <c r="AH53" s="18">
        <f t="shared" ref="AH53:BN53" si="100">SUM(AH54:AH63)</f>
        <v>254.78029546999997</v>
      </c>
      <c r="AI53" s="18">
        <f t="shared" si="100"/>
        <v>255.83600000000001</v>
      </c>
      <c r="AJ53" s="18">
        <f t="shared" si="100"/>
        <v>264.48500000000001</v>
      </c>
      <c r="AK53" s="18">
        <f t="shared" si="100"/>
        <v>272.09100000000001</v>
      </c>
      <c r="AL53" s="18">
        <f t="shared" si="100"/>
        <v>281.47399999999999</v>
      </c>
      <c r="AM53" s="18">
        <f t="shared" si="100"/>
        <v>281.31999999999994</v>
      </c>
      <c r="AN53" s="18">
        <f t="shared" si="100"/>
        <v>288.29900000000004</v>
      </c>
      <c r="AO53" s="18">
        <f t="shared" si="100"/>
        <v>287.59000000000003</v>
      </c>
      <c r="AP53" s="18">
        <f t="shared" si="100"/>
        <v>292.89400000000001</v>
      </c>
      <c r="AQ53" s="18">
        <f t="shared" si="100"/>
        <v>302.01200000000006</v>
      </c>
      <c r="AR53" s="18">
        <f t="shared" si="100"/>
        <v>314.68200000000002</v>
      </c>
      <c r="AS53" s="18">
        <f t="shared" si="100"/>
        <v>326.78500000000008</v>
      </c>
      <c r="AT53" s="18">
        <f t="shared" si="100"/>
        <v>320.65700000000004</v>
      </c>
      <c r="AU53" s="18">
        <f t="shared" si="100"/>
        <v>326.16300000000001</v>
      </c>
      <c r="AV53" s="18">
        <f t="shared" si="100"/>
        <v>340.86100000000005</v>
      </c>
      <c r="AW53" s="18">
        <f t="shared" si="100"/>
        <v>334.48</v>
      </c>
      <c r="AX53" s="18">
        <f t="shared" si="100"/>
        <v>311.33100000000002</v>
      </c>
      <c r="AY53" s="18">
        <f t="shared" si="100"/>
        <v>290.51000000000005</v>
      </c>
      <c r="AZ53" s="18">
        <f t="shared" si="100"/>
        <v>279.07100000000003</v>
      </c>
      <c r="BA53" s="18">
        <f t="shared" si="100"/>
        <v>276.62399999999997</v>
      </c>
      <c r="BB53" s="18">
        <f t="shared" si="100"/>
        <v>273.68200000000002</v>
      </c>
      <c r="BC53" s="18">
        <f t="shared" si="100"/>
        <v>256.01500000000004</v>
      </c>
      <c r="BD53" s="18">
        <f t="shared" si="100"/>
        <v>252.03400000000005</v>
      </c>
      <c r="BE53" s="18">
        <f t="shared" si="100"/>
        <v>189.96299999999999</v>
      </c>
      <c r="BF53" s="18">
        <f t="shared" si="100"/>
        <v>186.82399999999998</v>
      </c>
      <c r="BG53" s="18">
        <f t="shared" si="100"/>
        <v>165.87799999999999</v>
      </c>
      <c r="BH53" s="18">
        <f t="shared" si="100"/>
        <v>153.64100000000002</v>
      </c>
      <c r="BI53" s="18">
        <f t="shared" si="100"/>
        <v>135.084</v>
      </c>
      <c r="BJ53" s="18">
        <f t="shared" si="100"/>
        <v>138.715</v>
      </c>
    </row>
    <row r="54" spans="1:62" s="14" customFormat="1" ht="12.75">
      <c r="A54" s="46" t="s">
        <v>53</v>
      </c>
      <c r="B54" s="83">
        <f t="shared" si="79"/>
        <v>36.462000000000003</v>
      </c>
      <c r="C54" s="13">
        <f t="shared" si="80"/>
        <v>228.459</v>
      </c>
      <c r="D54" s="13">
        <f t="shared" si="81"/>
        <v>243.02199999999999</v>
      </c>
      <c r="E54" s="13">
        <f t="shared" ref="E54:E63" si="101">AC54</f>
        <v>243.02199999999999</v>
      </c>
      <c r="F54" s="13">
        <f t="shared" ref="F54:F63" si="102">AG54</f>
        <v>243.02199999999999</v>
      </c>
      <c r="G54" s="13">
        <f t="shared" ref="G54:G63" si="103">AK54</f>
        <v>243.02199999999999</v>
      </c>
      <c r="H54" s="13">
        <f t="shared" si="93"/>
        <v>243.02199999999999</v>
      </c>
      <c r="I54" s="13">
        <f t="shared" si="94"/>
        <v>243.02199999999999</v>
      </c>
      <c r="J54" s="13">
        <f t="shared" si="95"/>
        <v>243.02199999999999</v>
      </c>
      <c r="K54" s="13">
        <f t="shared" si="96"/>
        <v>243.02199999999999</v>
      </c>
      <c r="L54" s="13">
        <f>BE54</f>
        <v>243.02199999999999</v>
      </c>
      <c r="M54" s="82">
        <f t="shared" ref="M54:M63" si="104">BI54</f>
        <v>243.02199999999999</v>
      </c>
      <c r="N54" s="49">
        <v>31.462</v>
      </c>
      <c r="O54" s="13">
        <v>36.462000000000003</v>
      </c>
      <c r="P54" s="13">
        <v>36.462000000000003</v>
      </c>
      <c r="Q54" s="13">
        <v>36.462000000000003</v>
      </c>
      <c r="R54" s="13">
        <v>49.536999999999999</v>
      </c>
      <c r="S54" s="13">
        <v>227.619</v>
      </c>
      <c r="T54" s="13">
        <v>228.62</v>
      </c>
      <c r="U54" s="13">
        <v>228.459</v>
      </c>
      <c r="V54" s="13">
        <v>238.124</v>
      </c>
      <c r="W54" s="13">
        <v>238.124</v>
      </c>
      <c r="X54" s="13">
        <v>243.02199999999999</v>
      </c>
      <c r="Y54" s="13">
        <v>243.02199999999999</v>
      </c>
      <c r="Z54" s="13">
        <v>243.02199999999999</v>
      </c>
      <c r="AA54" s="13">
        <v>243.02199999999999</v>
      </c>
      <c r="AB54" s="13">
        <v>243.02199999999999</v>
      </c>
      <c r="AC54" s="13">
        <v>243.02199999999999</v>
      </c>
      <c r="AD54" s="13">
        <v>243.02199999999999</v>
      </c>
      <c r="AE54" s="13">
        <v>243.02199999999999</v>
      </c>
      <c r="AF54" s="13">
        <v>243.02199999999999</v>
      </c>
      <c r="AG54" s="13">
        <v>243.02199999999999</v>
      </c>
      <c r="AH54" s="13">
        <v>243.02199999999999</v>
      </c>
      <c r="AI54" s="13">
        <v>243.02199999999999</v>
      </c>
      <c r="AJ54" s="13">
        <v>243.02199999999999</v>
      </c>
      <c r="AK54" s="13">
        <v>243.02199999999999</v>
      </c>
      <c r="AL54" s="13">
        <v>243.02199999999999</v>
      </c>
      <c r="AM54" s="13">
        <v>243.02199999999999</v>
      </c>
      <c r="AN54" s="13">
        <v>243.02199999999999</v>
      </c>
      <c r="AO54" s="13">
        <v>243.02199999999999</v>
      </c>
      <c r="AP54" s="13">
        <v>243.02199999999999</v>
      </c>
      <c r="AQ54" s="13">
        <v>243.02199999999999</v>
      </c>
      <c r="AR54" s="13">
        <v>243.02199999999999</v>
      </c>
      <c r="AS54" s="13">
        <v>243.02199999999999</v>
      </c>
      <c r="AT54" s="13">
        <v>243.02199999999999</v>
      </c>
      <c r="AU54" s="13">
        <v>243.02199999999999</v>
      </c>
      <c r="AV54" s="13">
        <v>243.02199999999999</v>
      </c>
      <c r="AW54" s="13">
        <v>243.02199999999999</v>
      </c>
      <c r="AX54" s="13">
        <v>243.02199999999999</v>
      </c>
      <c r="AY54" s="13">
        <v>243.02199999999999</v>
      </c>
      <c r="AZ54" s="13">
        <v>243.02199999999999</v>
      </c>
      <c r="BA54" s="13">
        <v>243.02199999999999</v>
      </c>
      <c r="BB54" s="13">
        <v>243.02199999999999</v>
      </c>
      <c r="BC54" s="13">
        <v>243.02199999999999</v>
      </c>
      <c r="BD54" s="13">
        <v>243.02199999999999</v>
      </c>
      <c r="BE54" s="13">
        <v>243.02199999999999</v>
      </c>
      <c r="BF54" s="13">
        <v>243.02199999999999</v>
      </c>
      <c r="BG54" s="13">
        <v>243.02199999999999</v>
      </c>
      <c r="BH54" s="13">
        <v>243.02199999999999</v>
      </c>
      <c r="BI54" s="13">
        <f>243022/1000</f>
        <v>243.02199999999999</v>
      </c>
      <c r="BJ54" s="13">
        <f>243022/1000</f>
        <v>243.02199999999999</v>
      </c>
    </row>
    <row r="55" spans="1:62" s="14" customFormat="1" ht="12.75">
      <c r="A55" s="46" t="s">
        <v>60</v>
      </c>
      <c r="B55" s="83">
        <f>Q55</f>
        <v>0</v>
      </c>
      <c r="C55" s="13">
        <f>U55</f>
        <v>0</v>
      </c>
      <c r="D55" s="13">
        <f>Y55</f>
        <v>-9.6649999999999991</v>
      </c>
      <c r="E55" s="13">
        <f>AC55</f>
        <v>-9.6649999999999991</v>
      </c>
      <c r="F55" s="13">
        <f>AG55</f>
        <v>-9.6649999999999991</v>
      </c>
      <c r="G55" s="13">
        <f>AK55</f>
        <v>-9.6649999999999991</v>
      </c>
      <c r="H55" s="13">
        <f>AO55</f>
        <v>-9.6649999999999991</v>
      </c>
      <c r="I55" s="13">
        <f>AS55</f>
        <v>-9.6649999999999991</v>
      </c>
      <c r="J55" s="13">
        <f>AW55</f>
        <v>-9.6649999999999991</v>
      </c>
      <c r="K55" s="13">
        <f>BA55</f>
        <v>-9.6649999999999991</v>
      </c>
      <c r="L55" s="13">
        <f>BE55</f>
        <v>-9.6649999999999991</v>
      </c>
      <c r="M55" s="82">
        <f>BI55</f>
        <v>-9.6649999999999991</v>
      </c>
      <c r="N55" s="49">
        <v>0</v>
      </c>
      <c r="O55" s="13">
        <v>0</v>
      </c>
      <c r="P55" s="13">
        <v>0</v>
      </c>
      <c r="Q55" s="13">
        <v>0</v>
      </c>
      <c r="R55" s="13">
        <v>0</v>
      </c>
      <c r="S55" s="13">
        <v>0</v>
      </c>
      <c r="T55" s="13">
        <v>0</v>
      </c>
      <c r="U55" s="13">
        <v>0</v>
      </c>
      <c r="V55" s="13">
        <v>-9.6649999999999991</v>
      </c>
      <c r="W55" s="13">
        <v>-9.6649999999999991</v>
      </c>
      <c r="X55" s="13">
        <v>-9.6649999999999991</v>
      </c>
      <c r="Y55" s="13">
        <v>-9.6649999999999991</v>
      </c>
      <c r="Z55" s="13">
        <v>-9.6649999999999991</v>
      </c>
      <c r="AA55" s="13">
        <v>-9.6649999999999991</v>
      </c>
      <c r="AB55" s="13">
        <v>-9.6649999999999991</v>
      </c>
      <c r="AC55" s="13">
        <v>-9.6649999999999991</v>
      </c>
      <c r="AD55" s="13">
        <v>-9.6649999999999991</v>
      </c>
      <c r="AE55" s="13">
        <v>-9.6649999999999991</v>
      </c>
      <c r="AF55" s="13">
        <v>-9.6649999999999991</v>
      </c>
      <c r="AG55" s="13">
        <v>-9.6649999999999991</v>
      </c>
      <c r="AH55" s="13">
        <v>-9.6649999999999991</v>
      </c>
      <c r="AI55" s="13">
        <v>-9.6649999999999991</v>
      </c>
      <c r="AJ55" s="13">
        <v>-9.6649999999999991</v>
      </c>
      <c r="AK55" s="13">
        <v>-9.6649999999999991</v>
      </c>
      <c r="AL55" s="13">
        <v>-9.6649999999999991</v>
      </c>
      <c r="AM55" s="13">
        <v>-9.6649999999999991</v>
      </c>
      <c r="AN55" s="13">
        <v>-9.6649999999999991</v>
      </c>
      <c r="AO55" s="13">
        <v>-9.6649999999999991</v>
      </c>
      <c r="AP55" s="13">
        <v>-9.6649999999999991</v>
      </c>
      <c r="AQ55" s="13">
        <v>-9.6649999999999991</v>
      </c>
      <c r="AR55" s="13">
        <v>-9.6649999999999991</v>
      </c>
      <c r="AS55" s="13">
        <v>-9.6649999999999991</v>
      </c>
      <c r="AT55" s="13">
        <v>-9.6649999999999991</v>
      </c>
      <c r="AU55" s="13">
        <v>-9.6649999999999991</v>
      </c>
      <c r="AV55" s="13">
        <v>-9.6649999999999991</v>
      </c>
      <c r="AW55" s="13">
        <v>-9.6649999999999991</v>
      </c>
      <c r="AX55" s="13">
        <v>-9.6649999999999991</v>
      </c>
      <c r="AY55" s="13">
        <v>-9.6649999999999991</v>
      </c>
      <c r="AZ55" s="13">
        <v>-9.6649999999999991</v>
      </c>
      <c r="BA55" s="13">
        <v>-9.6649999999999991</v>
      </c>
      <c r="BB55" s="13">
        <v>-9.6649999999999991</v>
      </c>
      <c r="BC55" s="13">
        <v>-9.6649999999999991</v>
      </c>
      <c r="BD55" s="13">
        <v>-9.6649999999999991</v>
      </c>
      <c r="BE55" s="13">
        <v>-9.6649999999999991</v>
      </c>
      <c r="BF55" s="13">
        <v>-9.6649999999999991</v>
      </c>
      <c r="BG55" s="13">
        <v>-9.6649999999999991</v>
      </c>
      <c r="BH55" s="13">
        <v>-9.6649999999999991</v>
      </c>
      <c r="BI55" s="13">
        <f>-9665/1000</f>
        <v>-9.6649999999999991</v>
      </c>
      <c r="BJ55" s="13">
        <f>-9665/1000</f>
        <v>-9.6649999999999991</v>
      </c>
    </row>
    <row r="56" spans="1:62" s="14" customFormat="1" ht="12.75">
      <c r="A56" s="46" t="s">
        <v>54</v>
      </c>
      <c r="B56" s="83">
        <f t="shared" si="79"/>
        <v>0</v>
      </c>
      <c r="C56" s="13">
        <f t="shared" si="80"/>
        <v>4.258</v>
      </c>
      <c r="D56" s="13">
        <f t="shared" si="81"/>
        <v>4.72</v>
      </c>
      <c r="E56" s="13">
        <f t="shared" si="101"/>
        <v>1.2989999999999999</v>
      </c>
      <c r="F56" s="13">
        <f t="shared" si="102"/>
        <v>1.246</v>
      </c>
      <c r="G56" s="13">
        <f t="shared" si="103"/>
        <v>3.1850000000000001</v>
      </c>
      <c r="H56" s="13">
        <f t="shared" si="93"/>
        <v>3.7330000000000001</v>
      </c>
      <c r="I56" s="13">
        <f t="shared" si="94"/>
        <v>4.8529999999999998</v>
      </c>
      <c r="J56" s="13">
        <f t="shared" si="95"/>
        <v>6.056</v>
      </c>
      <c r="K56" s="13">
        <f t="shared" si="96"/>
        <v>-0.78200000000000003</v>
      </c>
      <c r="L56" s="13">
        <f t="shared" ref="L56:L63" si="105">BE56</f>
        <v>0.748</v>
      </c>
      <c r="M56" s="82">
        <f t="shared" si="104"/>
        <v>-0.13600000000000001</v>
      </c>
      <c r="N56" s="49">
        <v>0</v>
      </c>
      <c r="O56" s="13">
        <v>0</v>
      </c>
      <c r="P56" s="13">
        <v>0</v>
      </c>
      <c r="Q56" s="13">
        <v>0</v>
      </c>
      <c r="R56" s="13">
        <v>0</v>
      </c>
      <c r="S56" s="13">
        <v>3.6259999999999999</v>
      </c>
      <c r="T56" s="13">
        <v>4.1740000000000004</v>
      </c>
      <c r="U56" s="13">
        <v>4.258</v>
      </c>
      <c r="V56" s="13">
        <v>4.3369999999999997</v>
      </c>
      <c r="W56" s="13">
        <v>4.415</v>
      </c>
      <c r="X56" s="13">
        <v>4.5350000000000001</v>
      </c>
      <c r="Y56" s="13">
        <v>4.72</v>
      </c>
      <c r="Z56" s="13">
        <v>4.9089999999999998</v>
      </c>
      <c r="AA56" s="13">
        <v>3.3479999999999999</v>
      </c>
      <c r="AB56" s="13">
        <v>3.536</v>
      </c>
      <c r="AC56" s="13">
        <v>1.2989999999999999</v>
      </c>
      <c r="AD56" s="13">
        <v>1.454</v>
      </c>
      <c r="AE56" s="13">
        <v>0.753</v>
      </c>
      <c r="AF56" s="13">
        <v>0.89100000000000001</v>
      </c>
      <c r="AG56" s="13">
        <v>1.246</v>
      </c>
      <c r="AH56" s="13">
        <v>1.1910000000000001</v>
      </c>
      <c r="AI56" s="13">
        <v>1.2410000000000001</v>
      </c>
      <c r="AJ56" s="13">
        <v>1.335</v>
      </c>
      <c r="AK56" s="13">
        <v>3.1850000000000001</v>
      </c>
      <c r="AL56" s="13">
        <v>3.266</v>
      </c>
      <c r="AM56" s="13">
        <v>3.4380000000000002</v>
      </c>
      <c r="AN56" s="13">
        <v>3.5379999999999998</v>
      </c>
      <c r="AO56" s="13">
        <v>3.7330000000000001</v>
      </c>
      <c r="AP56" s="13">
        <v>3.9239999999999999</v>
      </c>
      <c r="AQ56" s="13">
        <v>4.0789999999999997</v>
      </c>
      <c r="AR56" s="13">
        <v>4.3769999999999998</v>
      </c>
      <c r="AS56" s="13">
        <v>4.8529999999999998</v>
      </c>
      <c r="AT56" s="13">
        <v>5.3049999999999997</v>
      </c>
      <c r="AU56" s="13">
        <v>5.56</v>
      </c>
      <c r="AV56" s="13">
        <v>5.7969999999999997</v>
      </c>
      <c r="AW56" s="13">
        <v>6.056</v>
      </c>
      <c r="AX56" s="13">
        <v>6.2370000000000001</v>
      </c>
      <c r="AY56" s="13">
        <v>-2.0430000000000001</v>
      </c>
      <c r="AZ56" s="13">
        <v>-2.0430000000000001</v>
      </c>
      <c r="BA56" s="13">
        <v>-0.78200000000000003</v>
      </c>
      <c r="BB56" s="13">
        <v>-0.78200000000000003</v>
      </c>
      <c r="BC56" s="13">
        <v>-0.78200000000000003</v>
      </c>
      <c r="BD56" s="13">
        <v>2.5379999999999998</v>
      </c>
      <c r="BE56" s="13">
        <v>0.748</v>
      </c>
      <c r="BF56" s="13">
        <v>0.748</v>
      </c>
      <c r="BG56" s="13">
        <v>0.748</v>
      </c>
      <c r="BH56" s="13">
        <v>0.23499999999999999</v>
      </c>
      <c r="BI56" s="13">
        <f>-136/1000</f>
        <v>-0.13600000000000001</v>
      </c>
      <c r="BJ56" s="13">
        <v>0</v>
      </c>
    </row>
    <row r="57" spans="1:62" s="14" customFormat="1" ht="12.75">
      <c r="A57" s="46" t="s">
        <v>55</v>
      </c>
      <c r="B57" s="83">
        <f t="shared" si="79"/>
        <v>7.2919999999999998</v>
      </c>
      <c r="C57" s="13">
        <f t="shared" si="80"/>
        <v>10.295999999999999</v>
      </c>
      <c r="D57" s="13">
        <f t="shared" si="81"/>
        <v>10.295999999999999</v>
      </c>
      <c r="E57" s="13">
        <f t="shared" si="101"/>
        <v>10.295999999999999</v>
      </c>
      <c r="F57" s="13">
        <f t="shared" si="102"/>
        <v>0</v>
      </c>
      <c r="G57" s="13">
        <f t="shared" si="103"/>
        <v>0</v>
      </c>
      <c r="H57" s="13">
        <f t="shared" si="93"/>
        <v>0</v>
      </c>
      <c r="I57" s="13">
        <f t="shared" si="94"/>
        <v>0</v>
      </c>
      <c r="J57" s="13">
        <f t="shared" si="95"/>
        <v>0</v>
      </c>
      <c r="K57" s="13">
        <f t="shared" si="96"/>
        <v>0</v>
      </c>
      <c r="L57" s="13">
        <f t="shared" si="105"/>
        <v>0</v>
      </c>
      <c r="M57" s="82">
        <f t="shared" si="104"/>
        <v>0</v>
      </c>
      <c r="N57" s="49">
        <v>4.0430000000000001</v>
      </c>
      <c r="O57" s="13">
        <v>5.5869999999999997</v>
      </c>
      <c r="P57" s="13">
        <v>5.5869999999999997</v>
      </c>
      <c r="Q57" s="13">
        <v>7.2919999999999998</v>
      </c>
      <c r="R57" s="13">
        <f>7292/1000</f>
        <v>7.2919999999999998</v>
      </c>
      <c r="S57" s="13">
        <v>7.2919999999999998</v>
      </c>
      <c r="T57" s="13">
        <v>7.2919999999999998</v>
      </c>
      <c r="U57" s="13">
        <v>10.295999999999999</v>
      </c>
      <c r="V57" s="13">
        <v>10.295999999999999</v>
      </c>
      <c r="W57" s="13">
        <v>10.295999999999999</v>
      </c>
      <c r="X57" s="13">
        <v>10.295999999999999</v>
      </c>
      <c r="Y57" s="13">
        <v>10.295999999999999</v>
      </c>
      <c r="Z57" s="13">
        <v>10.295999999999999</v>
      </c>
      <c r="AA57" s="13">
        <v>10.295999999999999</v>
      </c>
      <c r="AB57" s="13">
        <v>10.295999999999999</v>
      </c>
      <c r="AC57" s="13">
        <v>10.295999999999999</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row>
    <row r="58" spans="1:62" s="14" customFormat="1" ht="12.75">
      <c r="A58" s="46" t="s">
        <v>56</v>
      </c>
      <c r="B58" s="83">
        <f t="shared" si="79"/>
        <v>1.726</v>
      </c>
      <c r="C58" s="13">
        <f t="shared" si="80"/>
        <v>1.589</v>
      </c>
      <c r="D58" s="13">
        <f t="shared" si="81"/>
        <v>1.4410000000000001</v>
      </c>
      <c r="E58" s="13">
        <f t="shared" si="101"/>
        <v>1.347</v>
      </c>
      <c r="F58" s="13">
        <f t="shared" si="102"/>
        <v>1.1639999999999999</v>
      </c>
      <c r="G58" s="13">
        <f t="shared" si="103"/>
        <v>1.075</v>
      </c>
      <c r="H58" s="13">
        <f t="shared" si="93"/>
        <v>0.995</v>
      </c>
      <c r="I58" s="13">
        <f t="shared" si="94"/>
        <v>0.93500000000000005</v>
      </c>
      <c r="J58" s="13">
        <f t="shared" si="95"/>
        <v>0.77600000000000002</v>
      </c>
      <c r="K58" s="13">
        <f t="shared" si="96"/>
        <v>0.58399999999999996</v>
      </c>
      <c r="L58" s="13">
        <f t="shared" si="105"/>
        <v>0.39600000000000002</v>
      </c>
      <c r="M58" s="82">
        <f t="shared" si="104"/>
        <v>0.2</v>
      </c>
      <c r="N58" s="49">
        <v>1.8149999999999999</v>
      </c>
      <c r="O58" s="13">
        <v>1.7869999999999999</v>
      </c>
      <c r="P58" s="13">
        <v>1.754</v>
      </c>
      <c r="Q58" s="13">
        <v>1.726</v>
      </c>
      <c r="R58" s="13">
        <v>1.7</v>
      </c>
      <c r="S58" s="13">
        <v>1.6739999999999999</v>
      </c>
      <c r="T58" s="13">
        <v>1.647</v>
      </c>
      <c r="U58" s="13">
        <v>1.589</v>
      </c>
      <c r="V58" s="13">
        <v>1.5629999999999999</v>
      </c>
      <c r="W58" s="13">
        <v>1.516</v>
      </c>
      <c r="X58" s="13">
        <v>1.4870000000000001</v>
      </c>
      <c r="Y58" s="13">
        <v>1.4410000000000001</v>
      </c>
      <c r="Z58" s="13">
        <v>1.417</v>
      </c>
      <c r="AA58" s="13">
        <v>1.393</v>
      </c>
      <c r="AB58" s="13">
        <v>1.371</v>
      </c>
      <c r="AC58" s="13">
        <v>1.347</v>
      </c>
      <c r="AD58" s="13">
        <v>1.325</v>
      </c>
      <c r="AE58" s="13">
        <v>1.3</v>
      </c>
      <c r="AF58" s="13">
        <v>1.278</v>
      </c>
      <c r="AG58" s="13">
        <v>1.1639999999999999</v>
      </c>
      <c r="AH58" s="13">
        <v>1.135</v>
      </c>
      <c r="AI58" s="13">
        <v>1.1140000000000001</v>
      </c>
      <c r="AJ58" s="13">
        <v>1.095</v>
      </c>
      <c r="AK58" s="13">
        <v>1.075</v>
      </c>
      <c r="AL58" s="13">
        <v>1.056</v>
      </c>
      <c r="AM58" s="13">
        <v>1.0329999999999999</v>
      </c>
      <c r="AN58" s="13">
        <v>1.014</v>
      </c>
      <c r="AO58" s="13">
        <v>0.995</v>
      </c>
      <c r="AP58" s="13">
        <v>0.97499999999999998</v>
      </c>
      <c r="AQ58" s="13">
        <v>0.95599999999999996</v>
      </c>
      <c r="AR58" s="13">
        <v>0.45500000000000002</v>
      </c>
      <c r="AS58" s="13">
        <v>0.93500000000000005</v>
      </c>
      <c r="AT58" s="13">
        <v>0.91200000000000003</v>
      </c>
      <c r="AU58" s="13">
        <v>0.90500000000000003</v>
      </c>
      <c r="AV58" s="13">
        <v>0.81100000000000005</v>
      </c>
      <c r="AW58" s="13">
        <v>0.77600000000000002</v>
      </c>
      <c r="AX58" s="13">
        <v>0.73199999999999998</v>
      </c>
      <c r="AY58" s="13">
        <v>0.69099999999999995</v>
      </c>
      <c r="AZ58" s="13">
        <v>0.624</v>
      </c>
      <c r="BA58" s="13">
        <v>0.58399999999999996</v>
      </c>
      <c r="BB58" s="13">
        <v>0.54400000000000004</v>
      </c>
      <c r="BC58" s="13">
        <v>0.504</v>
      </c>
      <c r="BD58" s="13">
        <v>0.437</v>
      </c>
      <c r="BE58" s="13">
        <v>0.39600000000000002</v>
      </c>
      <c r="BF58" s="13">
        <v>0.23100000000000001</v>
      </c>
      <c r="BG58" s="13">
        <v>0.222</v>
      </c>
      <c r="BH58" s="13">
        <v>0.20899999999999999</v>
      </c>
      <c r="BI58" s="13">
        <f>200/1000</f>
        <v>0.2</v>
      </c>
      <c r="BJ58" s="13">
        <f>193/1000</f>
        <v>0.193</v>
      </c>
    </row>
    <row r="59" spans="1:62" s="14" customFormat="1" ht="12.75">
      <c r="A59" s="46" t="s">
        <v>57</v>
      </c>
      <c r="B59" s="83">
        <f t="shared" si="79"/>
        <v>55.319000000000003</v>
      </c>
      <c r="C59" s="13">
        <f t="shared" si="80"/>
        <v>85.177000000000007</v>
      </c>
      <c r="D59" s="13">
        <f t="shared" si="81"/>
        <v>79.581999999999994</v>
      </c>
      <c r="E59" s="13">
        <f t="shared" si="101"/>
        <v>66.358999999999995</v>
      </c>
      <c r="F59" s="13">
        <f t="shared" si="102"/>
        <v>7.4880000000000004</v>
      </c>
      <c r="G59" s="13">
        <f t="shared" si="103"/>
        <v>16.649999999999999</v>
      </c>
      <c r="H59" s="13">
        <f t="shared" si="93"/>
        <v>37.090000000000003</v>
      </c>
      <c r="I59" s="13">
        <f t="shared" si="94"/>
        <v>70.510000000000005</v>
      </c>
      <c r="J59" s="13">
        <f t="shared" si="95"/>
        <v>78.459999999999994</v>
      </c>
      <c r="K59" s="13">
        <f t="shared" si="96"/>
        <v>10.992000000000001</v>
      </c>
      <c r="L59" s="13">
        <f t="shared" si="105"/>
        <v>-97.367999999999995</v>
      </c>
      <c r="M59" s="82">
        <f t="shared" si="104"/>
        <v>-161.26300000000001</v>
      </c>
      <c r="N59" s="49">
        <v>92.353999999999999</v>
      </c>
      <c r="O59" s="13">
        <f>55.258+22.688</f>
        <v>77.945999999999998</v>
      </c>
      <c r="P59" s="13">
        <f>14.169+55.29</f>
        <v>69.459000000000003</v>
      </c>
      <c r="Q59" s="13">
        <v>55.319000000000003</v>
      </c>
      <c r="R59" s="13">
        <f>43109/1000</f>
        <v>43.109000000000002</v>
      </c>
      <c r="S59" s="13">
        <v>51.466999999999999</v>
      </c>
      <c r="T59" s="13">
        <v>68.793000000000006</v>
      </c>
      <c r="U59" s="13">
        <v>85.177000000000007</v>
      </c>
      <c r="V59" s="13">
        <v>86.263999999999996</v>
      </c>
      <c r="W59" s="13">
        <v>99.813000000000002</v>
      </c>
      <c r="X59" s="13">
        <v>111.48099999999999</v>
      </c>
      <c r="Y59" s="13">
        <v>79.581999999999994</v>
      </c>
      <c r="Z59" s="13">
        <v>79.605999999999995</v>
      </c>
      <c r="AA59" s="13">
        <v>79.63</v>
      </c>
      <c r="AB59" s="13">
        <v>79.652000000000001</v>
      </c>
      <c r="AC59" s="13">
        <v>66.358999999999995</v>
      </c>
      <c r="AD59" s="13">
        <v>54.212000000000003</v>
      </c>
      <c r="AE59" s="13">
        <v>54.973999999999997</v>
      </c>
      <c r="AF59" s="13">
        <v>50.344000000000001</v>
      </c>
      <c r="AG59" s="13">
        <v>7.4880000000000004</v>
      </c>
      <c r="AH59" s="13">
        <v>6.0220000000000002</v>
      </c>
      <c r="AI59" s="13">
        <v>-1.33</v>
      </c>
      <c r="AJ59" s="13">
        <v>7.0209999999999999</v>
      </c>
      <c r="AK59" s="13">
        <v>16.649999999999999</v>
      </c>
      <c r="AL59" s="13">
        <v>27.372</v>
      </c>
      <c r="AM59" s="13">
        <v>30.922999999999998</v>
      </c>
      <c r="AN59" s="13">
        <v>35.578000000000003</v>
      </c>
      <c r="AO59" s="13">
        <v>37.090000000000003</v>
      </c>
      <c r="AP59" s="13">
        <v>43.048999999999999</v>
      </c>
      <c r="AQ59" s="13">
        <v>51.015999999999998</v>
      </c>
      <c r="AR59" s="13">
        <v>63.823999999999998</v>
      </c>
      <c r="AS59" s="13">
        <v>70.510000000000005</v>
      </c>
      <c r="AT59" s="13">
        <v>64.012</v>
      </c>
      <c r="AU59" s="13">
        <v>67.63</v>
      </c>
      <c r="AV59" s="13">
        <v>80.771000000000001</v>
      </c>
      <c r="AW59" s="13">
        <v>78.459999999999994</v>
      </c>
      <c r="AX59" s="13">
        <v>44.179000000000002</v>
      </c>
      <c r="AY59" s="13">
        <v>29.108000000000001</v>
      </c>
      <c r="AZ59" s="13">
        <v>16.411999999999999</v>
      </c>
      <c r="BA59" s="13">
        <v>10.992000000000001</v>
      </c>
      <c r="BB59" s="13">
        <v>-2.7650000000000001</v>
      </c>
      <c r="BC59" s="13">
        <v>-28.201000000000001</v>
      </c>
      <c r="BD59" s="13">
        <v>-40.692</v>
      </c>
      <c r="BE59" s="13">
        <v>-97.367999999999995</v>
      </c>
      <c r="BF59" s="13">
        <v>-108.268</v>
      </c>
      <c r="BG59" s="13">
        <v>-122.497</v>
      </c>
      <c r="BH59" s="13">
        <v>-140.999</v>
      </c>
      <c r="BI59" s="13">
        <f>-161263/1000</f>
        <v>-161.26300000000001</v>
      </c>
      <c r="BJ59" s="13">
        <f>-155129/1000</f>
        <v>-155.12899999999999</v>
      </c>
    </row>
    <row r="60" spans="1:62" s="14" customFormat="1" ht="12.75">
      <c r="A60" s="46" t="s">
        <v>58</v>
      </c>
      <c r="B60" s="83">
        <f t="shared" si="79"/>
        <v>27.524000000000001</v>
      </c>
      <c r="C60" s="13">
        <f t="shared" si="80"/>
        <v>0</v>
      </c>
      <c r="D60" s="13">
        <f t="shared" si="81"/>
        <v>0</v>
      </c>
      <c r="E60" s="13">
        <f t="shared" si="101"/>
        <v>0</v>
      </c>
      <c r="F60" s="13">
        <f t="shared" si="102"/>
        <v>0</v>
      </c>
      <c r="G60" s="13">
        <f t="shared" si="103"/>
        <v>0</v>
      </c>
      <c r="H60" s="13">
        <f t="shared" si="93"/>
        <v>0</v>
      </c>
      <c r="I60" s="13">
        <f t="shared" si="94"/>
        <v>0</v>
      </c>
      <c r="J60" s="13">
        <f t="shared" si="95"/>
        <v>0</v>
      </c>
      <c r="K60" s="13">
        <f t="shared" si="96"/>
        <v>0</v>
      </c>
      <c r="L60" s="13">
        <f t="shared" si="105"/>
        <v>0</v>
      </c>
      <c r="M60" s="82">
        <f t="shared" si="104"/>
        <v>0</v>
      </c>
      <c r="N60" s="49">
        <v>0</v>
      </c>
      <c r="O60" s="13">
        <v>0</v>
      </c>
      <c r="P60" s="13">
        <v>0</v>
      </c>
      <c r="Q60" s="13">
        <v>27.524000000000001</v>
      </c>
      <c r="R60" s="13">
        <v>0</v>
      </c>
      <c r="S60" s="13">
        <v>0</v>
      </c>
      <c r="T60" s="13">
        <v>0</v>
      </c>
      <c r="U60" s="13">
        <v>0</v>
      </c>
      <c r="V60" s="13">
        <v>0</v>
      </c>
      <c r="W60" s="13">
        <v>0</v>
      </c>
      <c r="X60" s="13">
        <v>0</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3">
        <v>0</v>
      </c>
      <c r="AO60" s="13">
        <v>0</v>
      </c>
      <c r="AP60" s="13">
        <v>0</v>
      </c>
      <c r="AQ60" s="13">
        <v>0</v>
      </c>
      <c r="AR60" s="13">
        <v>0</v>
      </c>
      <c r="AS60" s="13">
        <v>0</v>
      </c>
      <c r="AT60" s="13">
        <v>0</v>
      </c>
      <c r="AU60" s="13">
        <v>0</v>
      </c>
      <c r="AV60" s="13">
        <v>0</v>
      </c>
      <c r="AW60" s="13">
        <v>0</v>
      </c>
      <c r="AX60" s="13">
        <v>0</v>
      </c>
      <c r="AY60" s="13">
        <v>0</v>
      </c>
      <c r="AZ60" s="13">
        <v>0</v>
      </c>
      <c r="BA60" s="13">
        <v>0</v>
      </c>
      <c r="BB60" s="13">
        <v>0</v>
      </c>
      <c r="BC60" s="13">
        <v>0</v>
      </c>
      <c r="BD60" s="13">
        <v>0</v>
      </c>
      <c r="BE60" s="13">
        <v>0</v>
      </c>
      <c r="BF60" s="13">
        <v>0</v>
      </c>
      <c r="BG60" s="13">
        <v>0</v>
      </c>
      <c r="BH60" s="13">
        <v>0</v>
      </c>
      <c r="BI60" s="13">
        <v>0</v>
      </c>
      <c r="BJ60" s="13">
        <v>0</v>
      </c>
    </row>
    <row r="61" spans="1:62" s="14" customFormat="1" ht="12.75">
      <c r="A61" s="46" t="s">
        <v>131</v>
      </c>
      <c r="B61" s="83">
        <f t="shared" si="79"/>
        <v>2.9119999999999999</v>
      </c>
      <c r="C61" s="13">
        <f t="shared" si="80"/>
        <v>5.3979999999999997</v>
      </c>
      <c r="D61" s="13">
        <f t="shared" si="81"/>
        <v>14.204000000000001</v>
      </c>
      <c r="E61" s="13">
        <f t="shared" si="101"/>
        <v>17.844999999999999</v>
      </c>
      <c r="F61" s="13">
        <f t="shared" si="102"/>
        <v>14.375</v>
      </c>
      <c r="G61" s="13">
        <f t="shared" si="103"/>
        <v>15.101000000000001</v>
      </c>
      <c r="H61" s="13">
        <f t="shared" si="93"/>
        <v>10.298</v>
      </c>
      <c r="I61" s="13">
        <f t="shared" si="94"/>
        <v>14.131</v>
      </c>
      <c r="J61" s="13">
        <f t="shared" si="95"/>
        <v>12.651</v>
      </c>
      <c r="K61" s="13">
        <f t="shared" si="96"/>
        <v>35.447000000000003</v>
      </c>
      <c r="L61" s="13">
        <f t="shared" si="105"/>
        <v>55.276000000000003</v>
      </c>
      <c r="M61" s="82">
        <f t="shared" si="104"/>
        <v>62.774999999999999</v>
      </c>
      <c r="N61" s="49">
        <v>1.2E-2</v>
      </c>
      <c r="O61" s="13">
        <v>-0.85099999999999998</v>
      </c>
      <c r="P61" s="13">
        <v>2.0249999999999999</v>
      </c>
      <c r="Q61" s="13">
        <v>2.9119999999999999</v>
      </c>
      <c r="R61" s="13">
        <f>958/1000</f>
        <v>0.95799999999999996</v>
      </c>
      <c r="S61" s="13">
        <v>0.54600000000000004</v>
      </c>
      <c r="T61" s="13">
        <v>3.4119999999999999</v>
      </c>
      <c r="U61" s="13">
        <v>5.3979999999999997</v>
      </c>
      <c r="V61" s="13">
        <v>5.67</v>
      </c>
      <c r="W61" s="13">
        <v>11.058999999999999</v>
      </c>
      <c r="X61" s="13">
        <v>15.936</v>
      </c>
      <c r="Y61" s="13">
        <v>14.204000000000001</v>
      </c>
      <c r="Z61" s="13">
        <v>13.180999999999999</v>
      </c>
      <c r="AA61" s="13">
        <v>14.263999999999999</v>
      </c>
      <c r="AB61" s="13">
        <v>16.884</v>
      </c>
      <c r="AC61" s="13">
        <v>17.844999999999999</v>
      </c>
      <c r="AD61" s="13">
        <v>13.664999999999999</v>
      </c>
      <c r="AE61" s="13">
        <v>11.885</v>
      </c>
      <c r="AF61" s="13">
        <v>12.919</v>
      </c>
      <c r="AG61" s="13">
        <v>14.375</v>
      </c>
      <c r="AH61" s="13">
        <v>15.53029547</v>
      </c>
      <c r="AI61" s="13">
        <v>15.377000000000001</v>
      </c>
      <c r="AJ61" s="13">
        <v>14.951000000000001</v>
      </c>
      <c r="AK61" s="13">
        <v>15.101000000000001</v>
      </c>
      <c r="AL61" s="13">
        <v>13.951000000000001</v>
      </c>
      <c r="AM61" s="13">
        <v>10.503</v>
      </c>
      <c r="AN61" s="13">
        <v>11.193</v>
      </c>
      <c r="AO61" s="13">
        <v>10.298</v>
      </c>
      <c r="AP61" s="13">
        <v>9.5990000000000002</v>
      </c>
      <c r="AQ61" s="13">
        <v>11.407999999999999</v>
      </c>
      <c r="AR61" s="13">
        <v>10.834</v>
      </c>
      <c r="AS61" s="13">
        <v>14.131</v>
      </c>
      <c r="AT61" s="13">
        <v>13.906000000000001</v>
      </c>
      <c r="AU61" s="13">
        <v>16.466999999999999</v>
      </c>
      <c r="AV61" s="13">
        <v>16.035</v>
      </c>
      <c r="AW61" s="13">
        <v>12.651</v>
      </c>
      <c r="AX61" s="13">
        <v>28.797999999999998</v>
      </c>
      <c r="AY61" s="13">
        <v>31.271000000000001</v>
      </c>
      <c r="AZ61" s="13">
        <v>33.128999999999998</v>
      </c>
      <c r="BA61" s="13">
        <v>35.447000000000003</v>
      </c>
      <c r="BB61" s="13">
        <v>46.917999999999999</v>
      </c>
      <c r="BC61" s="13">
        <v>54.93</v>
      </c>
      <c r="BD61" s="13">
        <v>60.360999999999997</v>
      </c>
      <c r="BE61" s="13">
        <v>55.276000000000003</v>
      </c>
      <c r="BF61" s="13">
        <v>63.77</v>
      </c>
      <c r="BG61" s="13">
        <v>57.091999999999999</v>
      </c>
      <c r="BH61" s="13">
        <v>61.104999999999997</v>
      </c>
      <c r="BI61" s="13">
        <f>62775/1000</f>
        <v>62.774999999999999</v>
      </c>
      <c r="BJ61" s="13">
        <f>59581/1000</f>
        <v>59.581000000000003</v>
      </c>
    </row>
    <row r="62" spans="1:62" s="14" customFormat="1" ht="12.75">
      <c r="A62" s="46" t="s">
        <v>141</v>
      </c>
      <c r="B62" s="83">
        <v>0</v>
      </c>
      <c r="C62" s="13">
        <v>0</v>
      </c>
      <c r="D62" s="13">
        <v>0</v>
      </c>
      <c r="E62" s="13">
        <f t="shared" si="101"/>
        <v>-5.3920000000000003</v>
      </c>
      <c r="F62" s="13">
        <f t="shared" si="102"/>
        <v>-8.6720000000000006</v>
      </c>
      <c r="G62" s="13">
        <f t="shared" si="103"/>
        <v>0</v>
      </c>
      <c r="H62" s="13">
        <f t="shared" si="93"/>
        <v>0</v>
      </c>
      <c r="I62" s="13">
        <f t="shared" si="94"/>
        <v>-0.26300000000000001</v>
      </c>
      <c r="J62" s="13">
        <f t="shared" si="95"/>
        <v>-2.1309999999999998</v>
      </c>
      <c r="K62" s="13">
        <f t="shared" si="96"/>
        <v>-2.1309999999999998</v>
      </c>
      <c r="L62" s="13">
        <f t="shared" si="105"/>
        <v>0</v>
      </c>
      <c r="M62" s="82">
        <f t="shared" si="104"/>
        <v>0</v>
      </c>
      <c r="N62" s="49">
        <v>0</v>
      </c>
      <c r="O62" s="13">
        <v>0</v>
      </c>
      <c r="P62" s="13">
        <v>0</v>
      </c>
      <c r="Q62" s="13">
        <v>0</v>
      </c>
      <c r="R62" s="13">
        <v>0</v>
      </c>
      <c r="S62" s="13">
        <v>0</v>
      </c>
      <c r="T62" s="13">
        <v>0</v>
      </c>
      <c r="U62" s="13">
        <v>0</v>
      </c>
      <c r="V62" s="13">
        <v>0</v>
      </c>
      <c r="W62" s="13">
        <v>0</v>
      </c>
      <c r="X62" s="13">
        <v>0</v>
      </c>
      <c r="Y62" s="13">
        <v>0</v>
      </c>
      <c r="Z62" s="13">
        <v>-15.709</v>
      </c>
      <c r="AA62" s="13">
        <v>-4.4139999999999997</v>
      </c>
      <c r="AB62" s="13">
        <v>-9.7799999999999994</v>
      </c>
      <c r="AC62" s="13">
        <v>-5.3920000000000003</v>
      </c>
      <c r="AD62" s="13">
        <v>-6.9980000000000002</v>
      </c>
      <c r="AE62" s="13">
        <v>-7.24</v>
      </c>
      <c r="AF62" s="13">
        <v>-8.1839999999999993</v>
      </c>
      <c r="AG62" s="13">
        <v>-8.6720000000000006</v>
      </c>
      <c r="AH62" s="13">
        <v>-9.0440000000000005</v>
      </c>
      <c r="AI62" s="13">
        <v>0</v>
      </c>
      <c r="AJ62" s="13">
        <v>0</v>
      </c>
      <c r="AK62" s="13">
        <v>0</v>
      </c>
      <c r="AL62" s="13">
        <v>0</v>
      </c>
      <c r="AM62" s="13">
        <v>0</v>
      </c>
      <c r="AN62" s="13">
        <v>0</v>
      </c>
      <c r="AO62" s="13">
        <v>0</v>
      </c>
      <c r="AP62" s="13">
        <v>0</v>
      </c>
      <c r="AQ62" s="13">
        <v>-3.6999999999999998E-2</v>
      </c>
      <c r="AR62" s="13">
        <v>-4.5999999999999999E-2</v>
      </c>
      <c r="AS62" s="13">
        <v>-0.26300000000000001</v>
      </c>
      <c r="AT62" s="13">
        <v>-1.0069999999999999</v>
      </c>
      <c r="AU62" s="13">
        <v>-2.1309999999999998</v>
      </c>
      <c r="AV62" s="13">
        <v>-2.1309999999999998</v>
      </c>
      <c r="AW62" s="13">
        <v>-2.1309999999999998</v>
      </c>
      <c r="AX62" s="13">
        <v>-2.1309999999999998</v>
      </c>
      <c r="AY62" s="13">
        <v>-2.1309999999999998</v>
      </c>
      <c r="AZ62" s="13">
        <v>-2.1309999999999998</v>
      </c>
      <c r="BA62" s="13">
        <v>-2.1309999999999998</v>
      </c>
      <c r="BB62" s="13">
        <v>-2.1309999999999998</v>
      </c>
      <c r="BC62" s="13">
        <v>-2.1309999999999998</v>
      </c>
      <c r="BD62" s="13">
        <v>-1.79</v>
      </c>
      <c r="BE62" s="13">
        <v>0</v>
      </c>
      <c r="BF62" s="13">
        <v>0</v>
      </c>
      <c r="BG62" s="13">
        <v>0</v>
      </c>
      <c r="BH62" s="13">
        <v>0</v>
      </c>
      <c r="BI62" s="13">
        <v>0</v>
      </c>
      <c r="BJ62" s="13">
        <v>0</v>
      </c>
    </row>
    <row r="63" spans="1:62" s="14" customFormat="1" ht="12.75">
      <c r="A63" s="46" t="s">
        <v>132</v>
      </c>
      <c r="B63" s="83">
        <f t="shared" si="79"/>
        <v>2.0830000000000002</v>
      </c>
      <c r="C63" s="13">
        <f t="shared" si="80"/>
        <v>2.851</v>
      </c>
      <c r="D63" s="13">
        <f t="shared" si="81"/>
        <v>10.843</v>
      </c>
      <c r="E63" s="13">
        <f t="shared" si="101"/>
        <v>7.6550000000000002</v>
      </c>
      <c r="F63" s="13">
        <f t="shared" si="102"/>
        <v>7.4420000000000002</v>
      </c>
      <c r="G63" s="13">
        <f t="shared" si="103"/>
        <v>2.7229999999999999</v>
      </c>
      <c r="H63" s="13">
        <f t="shared" si="93"/>
        <v>2.117</v>
      </c>
      <c r="I63" s="13">
        <f t="shared" si="94"/>
        <v>3.262</v>
      </c>
      <c r="J63" s="13">
        <f t="shared" si="95"/>
        <v>5.3109999999999999</v>
      </c>
      <c r="K63" s="13">
        <f t="shared" si="96"/>
        <v>-0.84299999999999997</v>
      </c>
      <c r="L63" s="13">
        <f t="shared" si="105"/>
        <v>-2.4460000000000002</v>
      </c>
      <c r="M63" s="82">
        <f t="shared" si="104"/>
        <v>0.151</v>
      </c>
      <c r="N63" s="49">
        <v>1.9750000000000001</v>
      </c>
      <c r="O63" s="13">
        <v>1.736</v>
      </c>
      <c r="P63" s="13">
        <v>1.98</v>
      </c>
      <c r="Q63" s="13">
        <f>2083/1000</f>
        <v>2.0830000000000002</v>
      </c>
      <c r="R63" s="13">
        <f>2132/1000</f>
        <v>2.1320000000000001</v>
      </c>
      <c r="S63" s="13">
        <f>2675/1000</f>
        <v>2.6749999999999998</v>
      </c>
      <c r="T63" s="13">
        <f>2983/1000</f>
        <v>2.9830000000000001</v>
      </c>
      <c r="U63" s="13">
        <v>2.851</v>
      </c>
      <c r="V63" s="13">
        <v>9.6539999999999999</v>
      </c>
      <c r="W63" s="13">
        <v>9.718</v>
      </c>
      <c r="X63" s="13">
        <v>10.615</v>
      </c>
      <c r="Y63" s="13">
        <v>10.843</v>
      </c>
      <c r="Z63" s="13">
        <v>10.579000000000001</v>
      </c>
      <c r="AA63" s="13">
        <v>8.4320000000000004</v>
      </c>
      <c r="AB63" s="13">
        <v>7.8170000000000002</v>
      </c>
      <c r="AC63" s="13">
        <v>7.6550000000000002</v>
      </c>
      <c r="AD63" s="13">
        <v>7.2619999999999996</v>
      </c>
      <c r="AE63" s="13">
        <v>6.9089999999999998</v>
      </c>
      <c r="AF63" s="13">
        <v>6.8979999999999997</v>
      </c>
      <c r="AG63" s="13">
        <v>7.4420000000000002</v>
      </c>
      <c r="AH63" s="13">
        <v>6.5890000000000004</v>
      </c>
      <c r="AI63" s="13">
        <v>6.077</v>
      </c>
      <c r="AJ63" s="13">
        <v>6.726</v>
      </c>
      <c r="AK63" s="13">
        <v>2.7229999999999999</v>
      </c>
      <c r="AL63" s="13">
        <v>2.472</v>
      </c>
      <c r="AM63" s="13">
        <v>2.0659999999999998</v>
      </c>
      <c r="AN63" s="13">
        <v>3.6190000000000002</v>
      </c>
      <c r="AO63" s="13">
        <v>2.117</v>
      </c>
      <c r="AP63" s="13">
        <v>1.99</v>
      </c>
      <c r="AQ63" s="13">
        <v>1.2330000000000001</v>
      </c>
      <c r="AR63" s="13">
        <v>1.881</v>
      </c>
      <c r="AS63" s="13">
        <v>3.262</v>
      </c>
      <c r="AT63" s="13">
        <v>4.1719999999999997</v>
      </c>
      <c r="AU63" s="13">
        <v>4.375</v>
      </c>
      <c r="AV63" s="13">
        <v>6.2210000000000001</v>
      </c>
      <c r="AW63" s="13">
        <v>5.3109999999999999</v>
      </c>
      <c r="AX63" s="13">
        <v>0.159</v>
      </c>
      <c r="AY63" s="13">
        <v>0.25700000000000001</v>
      </c>
      <c r="AZ63" s="13">
        <v>-0.27700000000000002</v>
      </c>
      <c r="BA63" s="13">
        <v>-0.84299999999999997</v>
      </c>
      <c r="BB63" s="13">
        <v>-1.4590000000000001</v>
      </c>
      <c r="BC63" s="13">
        <v>-1.6619999999999999</v>
      </c>
      <c r="BD63" s="13">
        <v>-2.177</v>
      </c>
      <c r="BE63" s="13">
        <v>-2.4460000000000002</v>
      </c>
      <c r="BF63" s="13">
        <v>-3.0139999999999998</v>
      </c>
      <c r="BG63" s="13">
        <v>-3.044</v>
      </c>
      <c r="BH63" s="13">
        <v>-0.26600000000000001</v>
      </c>
      <c r="BI63" s="13">
        <f>151/1000</f>
        <v>0.151</v>
      </c>
      <c r="BJ63" s="13">
        <f>713/1000</f>
        <v>0.71299999999999997</v>
      </c>
    </row>
    <row r="64" spans="1:62" s="19" customFormat="1" ht="13.5" thickBot="1">
      <c r="A64" s="45" t="s">
        <v>59</v>
      </c>
      <c r="B64" s="86">
        <f t="shared" ref="B64:M64" si="106">SUM(B32,B44,B53)</f>
        <v>521.803</v>
      </c>
      <c r="C64" s="121">
        <f t="shared" si="106"/>
        <v>673.89799999999991</v>
      </c>
      <c r="D64" s="121">
        <f t="shared" si="106"/>
        <v>619.755</v>
      </c>
      <c r="E64" s="121">
        <f t="shared" si="106"/>
        <v>678.85000000000014</v>
      </c>
      <c r="F64" s="121">
        <f t="shared" si="106"/>
        <v>480.38199999999995</v>
      </c>
      <c r="G64" s="121">
        <f t="shared" si="106"/>
        <v>836.38400000000001</v>
      </c>
      <c r="H64" s="121">
        <f t="shared" si="106"/>
        <v>538.3900000000001</v>
      </c>
      <c r="I64" s="121">
        <f t="shared" si="106"/>
        <v>697.48400000000004</v>
      </c>
      <c r="J64" s="121">
        <f t="shared" si="106"/>
        <v>681.87100000000009</v>
      </c>
      <c r="K64" s="121">
        <f t="shared" si="106"/>
        <v>623.27399999999989</v>
      </c>
      <c r="L64" s="121">
        <f t="shared" si="106"/>
        <v>529.24900000000002</v>
      </c>
      <c r="M64" s="154">
        <f t="shared" si="106"/>
        <v>541.2940000000001</v>
      </c>
      <c r="N64" s="48">
        <f t="shared" ref="N64:BJ64" si="107">SUM(N32,N44,N53)</f>
        <v>503.767</v>
      </c>
      <c r="O64" s="18">
        <f t="shared" si="107"/>
        <v>440.14600000000002</v>
      </c>
      <c r="P64" s="18">
        <f t="shared" si="107"/>
        <v>470.96700000000004</v>
      </c>
      <c r="Q64" s="18">
        <f t="shared" si="107"/>
        <v>521.803</v>
      </c>
      <c r="R64" s="18">
        <f t="shared" si="107"/>
        <v>520.72600000000011</v>
      </c>
      <c r="S64" s="18">
        <f t="shared" si="107"/>
        <v>622.33500000000004</v>
      </c>
      <c r="T64" s="18">
        <f t="shared" si="107"/>
        <v>717.73900000000003</v>
      </c>
      <c r="U64" s="18">
        <f t="shared" si="107"/>
        <v>673.89799999999991</v>
      </c>
      <c r="V64" s="18">
        <f t="shared" si="107"/>
        <v>661.34699999999998</v>
      </c>
      <c r="W64" s="18">
        <f t="shared" si="107"/>
        <v>749.03500000000008</v>
      </c>
      <c r="X64" s="18">
        <f t="shared" si="107"/>
        <v>782.41099999999983</v>
      </c>
      <c r="Y64" s="18">
        <f t="shared" si="107"/>
        <v>619.755</v>
      </c>
      <c r="Z64" s="18">
        <f t="shared" si="107"/>
        <v>601.65199999999993</v>
      </c>
      <c r="AA64" s="18">
        <f t="shared" si="107"/>
        <v>709.03500000000008</v>
      </c>
      <c r="AB64" s="18">
        <f t="shared" si="107"/>
        <v>692.97400000000016</v>
      </c>
      <c r="AC64" s="18">
        <f t="shared" si="107"/>
        <v>678.85000000000014</v>
      </c>
      <c r="AD64" s="18">
        <f t="shared" si="107"/>
        <v>651.12900000000013</v>
      </c>
      <c r="AE64" s="18">
        <f t="shared" si="107"/>
        <v>551.91099999999994</v>
      </c>
      <c r="AF64" s="18">
        <f t="shared" si="107"/>
        <v>533.90599999999995</v>
      </c>
      <c r="AG64" s="18">
        <f t="shared" si="107"/>
        <v>480.38199999999995</v>
      </c>
      <c r="AH64" s="18">
        <f t="shared" si="107"/>
        <v>509.02829546999999</v>
      </c>
      <c r="AI64" s="18">
        <f t="shared" si="107"/>
        <v>535.53500000000008</v>
      </c>
      <c r="AJ64" s="18">
        <f t="shared" si="107"/>
        <v>658.577</v>
      </c>
      <c r="AK64" s="18">
        <f t="shared" si="107"/>
        <v>836.38400000000001</v>
      </c>
      <c r="AL64" s="18">
        <f t="shared" si="107"/>
        <v>651.99099999999999</v>
      </c>
      <c r="AM64" s="18">
        <f t="shared" si="107"/>
        <v>547.06899999999996</v>
      </c>
      <c r="AN64" s="18">
        <f t="shared" si="107"/>
        <v>541.64900000000011</v>
      </c>
      <c r="AO64" s="18">
        <f t="shared" si="107"/>
        <v>538.3900000000001</v>
      </c>
      <c r="AP64" s="18">
        <f t="shared" si="107"/>
        <v>593.39</v>
      </c>
      <c r="AQ64" s="18">
        <f t="shared" si="107"/>
        <v>687.125</v>
      </c>
      <c r="AR64" s="18">
        <f t="shared" si="107"/>
        <v>692.81899999999996</v>
      </c>
      <c r="AS64" s="18">
        <f t="shared" si="107"/>
        <v>697.48400000000004</v>
      </c>
      <c r="AT64" s="18">
        <f t="shared" si="107"/>
        <v>698.81200000000001</v>
      </c>
      <c r="AU64" s="125">
        <f t="shared" si="107"/>
        <v>591.65200000000004</v>
      </c>
      <c r="AV64" s="125">
        <f t="shared" si="107"/>
        <v>625.23200000000008</v>
      </c>
      <c r="AW64" s="126">
        <f t="shared" si="107"/>
        <v>681.87100000000009</v>
      </c>
      <c r="AX64" s="126">
        <f t="shared" si="107"/>
        <v>713.16200000000003</v>
      </c>
      <c r="AY64" s="125">
        <f t="shared" si="107"/>
        <v>594.48199999999997</v>
      </c>
      <c r="AZ64" s="125">
        <f t="shared" si="107"/>
        <v>629.63</v>
      </c>
      <c r="BA64" s="125">
        <f t="shared" si="107"/>
        <v>623.27399999999989</v>
      </c>
      <c r="BB64" s="125">
        <f t="shared" si="107"/>
        <v>655.44600000000003</v>
      </c>
      <c r="BC64" s="125">
        <f t="shared" si="107"/>
        <v>624.96299999999997</v>
      </c>
      <c r="BD64" s="125">
        <f t="shared" si="107"/>
        <v>620.8610000000001</v>
      </c>
      <c r="BE64" s="125">
        <f t="shared" si="107"/>
        <v>529.24900000000002</v>
      </c>
      <c r="BF64" s="125">
        <f t="shared" si="107"/>
        <v>512.92499999999995</v>
      </c>
      <c r="BG64" s="125">
        <f t="shared" si="107"/>
        <v>487.74</v>
      </c>
      <c r="BH64" s="125">
        <f t="shared" si="107"/>
        <v>497.20100000000002</v>
      </c>
      <c r="BI64" s="125">
        <f t="shared" si="107"/>
        <v>541.2940000000001</v>
      </c>
      <c r="BJ64" s="125">
        <f t="shared" si="107"/>
        <v>565.83199999999999</v>
      </c>
    </row>
    <row r="65" spans="2:3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2:32">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row>
  </sheetData>
  <mergeCells count="2">
    <mergeCell ref="B4:M4"/>
    <mergeCell ref="B5:M5"/>
  </mergeCells>
  <phoneticPr fontId="127" type="noConversion"/>
  <pageMargins left="0.511811024" right="0.511811024" top="0.78740157499999996" bottom="0.78740157499999996" header="0.31496062000000002" footer="0.31496062000000002"/>
  <pageSetup paperSize="9" scale="60" orientation="portrait" r:id="rId1"/>
  <ignoredErrors>
    <ignoredError sqref="A18:L27 N18:BH64 A28:K43" formulaRange="1"/>
    <ignoredError sqref="M18:M64 L28:L64 A44:K64"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77"/>
  <sheetViews>
    <sheetView zoomScaleNormal="100" workbookViewId="0">
      <pane xSplit="1" ySplit="5" topLeftCell="BA63" activePane="bottomRight" state="frozen"/>
      <selection activeCell="E1" sqref="E1:E1048576"/>
      <selection pane="topRight" activeCell="E1" sqref="E1:E1048576"/>
      <selection pane="bottomLeft" activeCell="E1" sqref="E1:E1048576"/>
      <selection pane="bottomRight" activeCell="BJ17" sqref="BJ17"/>
    </sheetView>
  </sheetViews>
  <sheetFormatPr defaultColWidth="9.140625" defaultRowHeight="12.75"/>
  <cols>
    <col min="1" max="1" width="69.28515625" style="6" customWidth="1"/>
    <col min="2" max="32" width="9.28515625" style="6" customWidth="1"/>
    <col min="33" max="33" width="9.28515625" style="72" customWidth="1"/>
    <col min="34" max="51" width="9.28515625" style="6" customWidth="1"/>
    <col min="52" max="52" width="9.28515625" style="142" customWidth="1"/>
    <col min="53" max="57" width="9.28515625" style="6" customWidth="1"/>
    <col min="58" max="58" width="9.140625" style="6"/>
    <col min="59" max="59" width="9.42578125" style="6" bestFit="1" customWidth="1"/>
    <col min="60" max="16384" width="9.140625" style="6"/>
  </cols>
  <sheetData>
    <row r="1" spans="1:62">
      <c r="AG1" s="71"/>
    </row>
    <row r="2" spans="1:62" ht="13.5" thickBot="1"/>
    <row r="3" spans="1:62" s="1" customFormat="1" ht="13.5" customHeight="1">
      <c r="B3" s="171" t="s">
        <v>115</v>
      </c>
      <c r="C3" s="172"/>
      <c r="D3" s="172"/>
      <c r="E3" s="172"/>
      <c r="F3" s="172"/>
      <c r="G3" s="172"/>
      <c r="H3" s="172"/>
      <c r="I3" s="172"/>
      <c r="J3" s="172"/>
      <c r="K3" s="172"/>
      <c r="L3" s="172"/>
      <c r="M3" s="157"/>
      <c r="AG3" s="72"/>
      <c r="AH3" s="109"/>
      <c r="AZ3" s="143"/>
    </row>
    <row r="4" spans="1:62" s="1" customFormat="1" ht="12.75" customHeight="1">
      <c r="A4" s="24" t="s">
        <v>61</v>
      </c>
      <c r="B4" s="174" t="s">
        <v>175</v>
      </c>
      <c r="C4" s="175"/>
      <c r="D4" s="175"/>
      <c r="E4" s="175"/>
      <c r="F4" s="175"/>
      <c r="G4" s="175"/>
      <c r="H4" s="175"/>
      <c r="I4" s="175"/>
      <c r="J4" s="175"/>
      <c r="K4" s="175"/>
      <c r="L4" s="175"/>
      <c r="M4" s="156"/>
      <c r="N4" s="7"/>
      <c r="O4" s="7"/>
      <c r="P4" s="7"/>
      <c r="Q4" s="7"/>
      <c r="R4" s="7"/>
      <c r="S4" s="7"/>
      <c r="T4" s="7"/>
      <c r="U4" s="7"/>
      <c r="V4" s="7"/>
      <c r="W4" s="7"/>
      <c r="X4" s="7"/>
      <c r="Y4" s="7"/>
      <c r="Z4" s="7"/>
      <c r="AA4" s="7"/>
      <c r="AB4" s="7"/>
      <c r="AC4" s="7"/>
      <c r="AD4" s="7"/>
      <c r="AE4" s="7"/>
      <c r="AF4" s="7"/>
      <c r="AG4" s="72"/>
      <c r="AZ4" s="143"/>
    </row>
    <row r="5" spans="1:62" s="14" customFormat="1">
      <c r="A5" s="44" t="s">
        <v>116</v>
      </c>
      <c r="B5" s="81">
        <v>2010</v>
      </c>
      <c r="C5" s="80">
        <v>2011</v>
      </c>
      <c r="D5" s="80">
        <v>2012</v>
      </c>
      <c r="E5" s="80">
        <v>2013</v>
      </c>
      <c r="F5" s="80">
        <v>2014</v>
      </c>
      <c r="G5" s="80">
        <v>2015</v>
      </c>
      <c r="H5" s="80">
        <v>2016</v>
      </c>
      <c r="I5" s="80">
        <v>2017</v>
      </c>
      <c r="J5" s="80">
        <v>2018</v>
      </c>
      <c r="K5" s="80">
        <v>2019</v>
      </c>
      <c r="L5" s="80">
        <v>2020</v>
      </c>
      <c r="M5" s="103">
        <v>2021</v>
      </c>
      <c r="N5" s="110" t="s">
        <v>81</v>
      </c>
      <c r="O5" s="25" t="s">
        <v>82</v>
      </c>
      <c r="P5" s="25" t="s">
        <v>83</v>
      </c>
      <c r="Q5" s="25" t="s">
        <v>84</v>
      </c>
      <c r="R5" s="25" t="s">
        <v>85</v>
      </c>
      <c r="S5" s="25" t="s">
        <v>86</v>
      </c>
      <c r="T5" s="26" t="s">
        <v>87</v>
      </c>
      <c r="U5" s="26" t="s">
        <v>88</v>
      </c>
      <c r="V5" s="26" t="s">
        <v>89</v>
      </c>
      <c r="W5" s="26" t="s">
        <v>90</v>
      </c>
      <c r="X5" s="26" t="s">
        <v>91</v>
      </c>
      <c r="Y5" s="26" t="s">
        <v>92</v>
      </c>
      <c r="Z5" s="26" t="s">
        <v>127</v>
      </c>
      <c r="AA5" s="26" t="s">
        <v>129</v>
      </c>
      <c r="AB5" s="26" t="s">
        <v>135</v>
      </c>
      <c r="AC5" s="26" t="s">
        <v>136</v>
      </c>
      <c r="AD5" s="26" t="s">
        <v>142</v>
      </c>
      <c r="AE5" s="26" t="s">
        <v>143</v>
      </c>
      <c r="AF5" s="26" t="s">
        <v>144</v>
      </c>
      <c r="AG5" s="26" t="s">
        <v>145</v>
      </c>
      <c r="AH5" s="26" t="s">
        <v>147</v>
      </c>
      <c r="AI5" s="26" t="s">
        <v>148</v>
      </c>
      <c r="AJ5" s="26" t="s">
        <v>149</v>
      </c>
      <c r="AK5" s="26" t="s">
        <v>150</v>
      </c>
      <c r="AL5" s="26" t="s">
        <v>151</v>
      </c>
      <c r="AM5" s="26" t="s">
        <v>153</v>
      </c>
      <c r="AN5" s="26" t="s">
        <v>154</v>
      </c>
      <c r="AO5" s="26" t="s">
        <v>155</v>
      </c>
      <c r="AP5" s="26" t="s">
        <v>156</v>
      </c>
      <c r="AQ5" s="26" t="s">
        <v>157</v>
      </c>
      <c r="AR5" s="26" t="s">
        <v>158</v>
      </c>
      <c r="AS5" s="26" t="s">
        <v>159</v>
      </c>
      <c r="AT5" s="26" t="s">
        <v>163</v>
      </c>
      <c r="AU5" s="26" t="s">
        <v>164</v>
      </c>
      <c r="AV5" s="26" t="s">
        <v>165</v>
      </c>
      <c r="AW5" s="26" t="s">
        <v>167</v>
      </c>
      <c r="AX5" s="144" t="s">
        <v>168</v>
      </c>
      <c r="AY5" s="26" t="s">
        <v>172</v>
      </c>
      <c r="AZ5" s="144" t="s">
        <v>174</v>
      </c>
      <c r="BA5" s="144" t="s">
        <v>177</v>
      </c>
      <c r="BB5" s="144" t="s">
        <v>178</v>
      </c>
      <c r="BC5" s="144" t="s">
        <v>183</v>
      </c>
      <c r="BD5" s="144" t="s">
        <v>184</v>
      </c>
      <c r="BE5" s="144" t="s">
        <v>189</v>
      </c>
      <c r="BF5" s="144" t="s">
        <v>194</v>
      </c>
      <c r="BG5" s="144" t="s">
        <v>195</v>
      </c>
      <c r="BH5" s="144" t="s">
        <v>197</v>
      </c>
      <c r="BI5" s="144" t="s">
        <v>198</v>
      </c>
      <c r="BJ5" s="144" t="s">
        <v>202</v>
      </c>
    </row>
    <row r="6" spans="1:62" s="19" customFormat="1">
      <c r="A6" s="45" t="s">
        <v>62</v>
      </c>
      <c r="B6" s="84"/>
      <c r="C6" s="48"/>
      <c r="D6" s="48"/>
      <c r="E6" s="48"/>
      <c r="F6" s="48"/>
      <c r="G6" s="48"/>
      <c r="H6" s="48"/>
      <c r="I6" s="48"/>
      <c r="J6" s="48"/>
      <c r="K6" s="48"/>
      <c r="L6" s="18"/>
      <c r="M6" s="85"/>
      <c r="N6" s="7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45"/>
      <c r="AY6" s="18"/>
      <c r="AZ6" s="145"/>
      <c r="BA6" s="145"/>
      <c r="BB6" s="145"/>
      <c r="BC6" s="145"/>
      <c r="BD6" s="145"/>
      <c r="BE6" s="145"/>
      <c r="BF6" s="145"/>
      <c r="BG6" s="145"/>
      <c r="BH6" s="145"/>
      <c r="BI6" s="145"/>
      <c r="BJ6" s="145"/>
    </row>
    <row r="7" spans="1:62" s="14" customFormat="1">
      <c r="A7" s="46" t="s">
        <v>93</v>
      </c>
      <c r="B7" s="83">
        <v>40.262999999999998</v>
      </c>
      <c r="C7" s="49">
        <f>SUM(R7:U7)</f>
        <v>61.070999999999998</v>
      </c>
      <c r="D7" s="49">
        <f>SUM(V7:Y7)</f>
        <v>-3.9570000000000007</v>
      </c>
      <c r="E7" s="49">
        <f>SUM(Z7:AC7)</f>
        <v>-14.72</v>
      </c>
      <c r="F7" s="49">
        <f>SUM(AD7:AG7)</f>
        <v>-70.320999999999998</v>
      </c>
      <c r="G7" s="49">
        <f>SUM(AH7:AK7)</f>
        <v>20.888000000000002</v>
      </c>
      <c r="H7" s="49">
        <f>SUM(AL7:AO7)</f>
        <v>26.025000000000002</v>
      </c>
      <c r="I7" s="49">
        <f t="shared" ref="I7" si="0">SUM(AP7:AS7)</f>
        <v>45.266000000000005</v>
      </c>
      <c r="J7" s="49">
        <f>SUM(AT7:AW7)</f>
        <v>10.623000000000001</v>
      </c>
      <c r="K7" s="49">
        <f t="shared" ref="K7:K16" si="1">SUM(AX7:BA7)</f>
        <v>-71.778999999999996</v>
      </c>
      <c r="L7" s="13">
        <f>SUM(BB7:BE7)</f>
        <v>-109.41999999999999</v>
      </c>
      <c r="M7" s="82">
        <f>SUM(BF7:BI7)</f>
        <v>-64.548000000000002</v>
      </c>
      <c r="N7" s="79">
        <v>10.782999999999999</v>
      </c>
      <c r="O7" s="13">
        <v>12.976000000000001</v>
      </c>
      <c r="P7" s="13">
        <v>-8.2750000000000004</v>
      </c>
      <c r="Q7" s="13">
        <f>B7-P7-O7-N7</f>
        <v>24.778999999999996</v>
      </c>
      <c r="R7" s="69">
        <v>0.88800000000000001</v>
      </c>
      <c r="S7" s="69">
        <v>8.875</v>
      </c>
      <c r="T7" s="13">
        <v>17.606999999999999</v>
      </c>
      <c r="U7" s="13">
        <v>33.701000000000001</v>
      </c>
      <c r="V7" s="13">
        <v>1.149</v>
      </c>
      <c r="W7" s="13">
        <v>13.566000000000001</v>
      </c>
      <c r="X7" s="13">
        <v>12.544</v>
      </c>
      <c r="Y7" s="13">
        <v>-31.216000000000001</v>
      </c>
      <c r="Z7" s="13">
        <v>-15.973000000000001</v>
      </c>
      <c r="AA7" s="13">
        <v>10.932</v>
      </c>
      <c r="AB7" s="13">
        <v>-5.9809999999999999</v>
      </c>
      <c r="AC7" s="13">
        <v>-3.698</v>
      </c>
      <c r="AD7" s="13">
        <v>-22.858000000000001</v>
      </c>
      <c r="AE7" s="13">
        <v>-0.41899999999999998</v>
      </c>
      <c r="AF7" s="13">
        <v>-4.6779999999999999</v>
      </c>
      <c r="AG7" s="13">
        <v>-42.366</v>
      </c>
      <c r="AH7" s="13">
        <v>-2.3199999999999998</v>
      </c>
      <c r="AI7" s="13">
        <v>2.1579999999999999</v>
      </c>
      <c r="AJ7" s="13">
        <v>8.8140000000000001</v>
      </c>
      <c r="AK7" s="13">
        <v>12.236000000000001</v>
      </c>
      <c r="AL7" s="13">
        <v>10.462999999999999</v>
      </c>
      <c r="AM7" s="13">
        <v>3.1669999999999998</v>
      </c>
      <c r="AN7" s="13">
        <v>6.0830000000000002</v>
      </c>
      <c r="AO7" s="13">
        <v>6.3120000000000003</v>
      </c>
      <c r="AP7" s="13">
        <v>5.8070000000000004</v>
      </c>
      <c r="AQ7" s="13">
        <v>7.1559999999999997</v>
      </c>
      <c r="AR7" s="13">
        <v>13.353</v>
      </c>
      <c r="AS7" s="13">
        <v>18.95</v>
      </c>
      <c r="AT7" s="13">
        <v>4.8550000000000004</v>
      </c>
      <c r="AU7" s="13">
        <v>3.7389999999999999</v>
      </c>
      <c r="AV7" s="13">
        <v>14.782</v>
      </c>
      <c r="AW7" s="13">
        <v>-12.753</v>
      </c>
      <c r="AX7" s="22">
        <v>-34.284999999999997</v>
      </c>
      <c r="AY7" s="13">
        <v>-18.22</v>
      </c>
      <c r="AZ7" s="22">
        <v>-13.234999999999999</v>
      </c>
      <c r="BA7" s="22">
        <v>-6.0389999999999997</v>
      </c>
      <c r="BB7" s="22">
        <v>-14.09</v>
      </c>
      <c r="BC7" s="22">
        <v>-25.640999999999998</v>
      </c>
      <c r="BD7" s="22">
        <v>-13.037000000000001</v>
      </c>
      <c r="BE7" s="22">
        <v>-56.652000000000001</v>
      </c>
      <c r="BF7" s="22">
        <v>-11.532</v>
      </c>
      <c r="BG7" s="22">
        <v>-14.577</v>
      </c>
      <c r="BH7" s="22">
        <v>-18.722999999999999</v>
      </c>
      <c r="BI7" s="22">
        <f>-19716/1000</f>
        <v>-19.716000000000001</v>
      </c>
      <c r="BJ7" s="22">
        <f>6636/1000</f>
        <v>6.6360000000000001</v>
      </c>
    </row>
    <row r="8" spans="1:62" s="14" customFormat="1" ht="25.5">
      <c r="A8" s="46" t="s">
        <v>118</v>
      </c>
      <c r="B8" s="83"/>
      <c r="C8" s="49"/>
      <c r="D8" s="49"/>
      <c r="E8" s="49"/>
      <c r="F8" s="49"/>
      <c r="G8" s="49"/>
      <c r="H8" s="49"/>
      <c r="I8" s="49"/>
      <c r="J8" s="49"/>
      <c r="K8" s="49"/>
      <c r="L8" s="13"/>
      <c r="M8" s="82"/>
      <c r="N8" s="79"/>
      <c r="O8" s="13"/>
      <c r="P8" s="13"/>
      <c r="Q8" s="13"/>
      <c r="R8" s="69"/>
      <c r="S8" s="69"/>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22"/>
      <c r="AY8" s="13"/>
      <c r="AZ8" s="22"/>
      <c r="BA8" s="22"/>
      <c r="BB8" s="22"/>
      <c r="BC8" s="22"/>
      <c r="BD8" s="22"/>
      <c r="BE8" s="22"/>
      <c r="BF8" s="22"/>
      <c r="BG8" s="22"/>
      <c r="BH8" s="145"/>
      <c r="BI8" s="22"/>
      <c r="BJ8" s="145"/>
    </row>
    <row r="9" spans="1:62" s="14" customFormat="1">
      <c r="A9" s="46" t="s">
        <v>94</v>
      </c>
      <c r="B9" s="83">
        <v>0</v>
      </c>
      <c r="C9" s="49">
        <f>SUM(R9:U9)</f>
        <v>0</v>
      </c>
      <c r="D9" s="49">
        <f>SUM(V9:Y9)</f>
        <v>0</v>
      </c>
      <c r="E9" s="49">
        <f>SUM(Z9:AC9)</f>
        <v>0</v>
      </c>
      <c r="F9" s="49">
        <f>SUM(AD9:AG9)</f>
        <v>0</v>
      </c>
      <c r="G9" s="49">
        <f>SUM(AH9:AK9)</f>
        <v>0</v>
      </c>
      <c r="H9" s="49">
        <f t="shared" ref="H9:H21" si="2">SUM(AL9:AO9)</f>
        <v>0</v>
      </c>
      <c r="I9" s="49">
        <f t="shared" ref="I9:I16" si="3">SUM(AP9:AS9)</f>
        <v>0</v>
      </c>
      <c r="J9" s="49">
        <f>SUM(AT9:AW9)</f>
        <v>0</v>
      </c>
      <c r="K9" s="49">
        <f t="shared" si="1"/>
        <v>0</v>
      </c>
      <c r="L9" s="13">
        <f t="shared" ref="L9:L22" si="4">SUM(BB9:BE9)</f>
        <v>0</v>
      </c>
      <c r="M9" s="82">
        <f>SUM(BF9:BI9)</f>
        <v>0</v>
      </c>
      <c r="N9" s="79">
        <v>0</v>
      </c>
      <c r="O9" s="13">
        <v>0</v>
      </c>
      <c r="P9" s="13">
        <v>0</v>
      </c>
      <c r="Q9" s="13">
        <f>B9-P9-O9-N9</f>
        <v>0</v>
      </c>
      <c r="R9" s="69">
        <v>0</v>
      </c>
      <c r="S9" s="69">
        <v>0</v>
      </c>
      <c r="T9" s="13">
        <v>0</v>
      </c>
      <c r="U9" s="13">
        <v>0</v>
      </c>
      <c r="V9" s="13">
        <v>0</v>
      </c>
      <c r="W9" s="13">
        <v>0</v>
      </c>
      <c r="X9" s="13">
        <v>0</v>
      </c>
      <c r="Y9" s="13">
        <v>0</v>
      </c>
      <c r="Z9" s="13">
        <v>0</v>
      </c>
      <c r="AA9" s="13">
        <v>0</v>
      </c>
      <c r="AB9" s="13">
        <v>0</v>
      </c>
      <c r="AC9" s="13">
        <v>0</v>
      </c>
      <c r="AD9" s="13">
        <v>0</v>
      </c>
      <c r="AE9" s="13">
        <v>0</v>
      </c>
      <c r="AF9" s="13">
        <v>0</v>
      </c>
      <c r="AG9" s="13">
        <v>0</v>
      </c>
      <c r="AH9" s="13">
        <v>0</v>
      </c>
      <c r="AI9" s="13">
        <v>0</v>
      </c>
      <c r="AJ9" s="13">
        <v>0</v>
      </c>
      <c r="AK9" s="13">
        <v>0</v>
      </c>
      <c r="AL9" s="13">
        <v>0</v>
      </c>
      <c r="AM9" s="13">
        <v>0</v>
      </c>
      <c r="AN9" s="13">
        <v>0</v>
      </c>
      <c r="AO9" s="13">
        <v>0</v>
      </c>
      <c r="AP9" s="13">
        <v>0</v>
      </c>
      <c r="AQ9" s="13">
        <v>0</v>
      </c>
      <c r="AR9" s="13">
        <v>0</v>
      </c>
      <c r="AS9" s="13">
        <v>0</v>
      </c>
      <c r="AT9" s="13">
        <v>0</v>
      </c>
      <c r="AU9" s="13">
        <v>0</v>
      </c>
      <c r="AV9" s="13">
        <v>0</v>
      </c>
      <c r="AW9" s="13">
        <v>0</v>
      </c>
      <c r="AX9" s="22">
        <v>0</v>
      </c>
      <c r="AY9" s="13">
        <v>0</v>
      </c>
      <c r="AZ9" s="22">
        <v>0</v>
      </c>
      <c r="BA9" s="22">
        <v>0</v>
      </c>
      <c r="BB9" s="22">
        <v>0</v>
      </c>
      <c r="BC9" s="22">
        <v>0</v>
      </c>
      <c r="BD9" s="22">
        <v>0</v>
      </c>
      <c r="BE9" s="22">
        <v>0</v>
      </c>
      <c r="BF9" s="22">
        <v>0</v>
      </c>
      <c r="BG9" s="22">
        <v>0</v>
      </c>
      <c r="BH9" s="22">
        <v>0</v>
      </c>
      <c r="BI9" s="22">
        <v>0</v>
      </c>
      <c r="BJ9" s="22">
        <v>0</v>
      </c>
    </row>
    <row r="10" spans="1:62" s="14" customFormat="1">
      <c r="A10" s="46" t="s">
        <v>63</v>
      </c>
      <c r="B10" s="83">
        <v>4.9660000000000002</v>
      </c>
      <c r="C10" s="49">
        <f>SUM(R10:U10)</f>
        <v>5.58</v>
      </c>
      <c r="D10" s="49">
        <f>SUM(V10:Y10)</f>
        <v>9.8719999999999999</v>
      </c>
      <c r="E10" s="49">
        <f>SUM(Z10:AC10)</f>
        <v>13.451000000000001</v>
      </c>
      <c r="F10" s="49">
        <f t="shared" ref="F10:F21" si="5">SUM(AD10:AG10)</f>
        <v>15.393000000000001</v>
      </c>
      <c r="G10" s="49">
        <f>SUM(AH10:AK10)</f>
        <v>11.273</v>
      </c>
      <c r="H10" s="49">
        <f t="shared" si="2"/>
        <v>11.338999999999999</v>
      </c>
      <c r="I10" s="49">
        <f t="shared" si="3"/>
        <v>6.8929999999999998</v>
      </c>
      <c r="J10" s="49">
        <f>SUM(AT10:AW10)</f>
        <v>5.2720000000000002</v>
      </c>
      <c r="K10" s="49">
        <f t="shared" si="1"/>
        <v>17.266999999999999</v>
      </c>
      <c r="L10" s="13">
        <f t="shared" si="4"/>
        <v>17.509</v>
      </c>
      <c r="M10" s="82">
        <f t="shared" ref="M10:M40" si="6">SUM(BF10:BI10)</f>
        <v>7.3379999999999992</v>
      </c>
      <c r="N10" s="79">
        <v>1.641</v>
      </c>
      <c r="O10" s="13">
        <v>1.2250000000000001</v>
      </c>
      <c r="P10" s="13">
        <v>1.052</v>
      </c>
      <c r="Q10" s="13">
        <f>B10-P10-O10-N10</f>
        <v>1.048</v>
      </c>
      <c r="R10" s="69">
        <v>1.19</v>
      </c>
      <c r="S10" s="69">
        <v>1.2569999999999999</v>
      </c>
      <c r="T10" s="13">
        <v>1.359</v>
      </c>
      <c r="U10" s="13">
        <v>1.774</v>
      </c>
      <c r="V10" s="13">
        <v>2.097</v>
      </c>
      <c r="W10" s="13">
        <v>2.5230000000000001</v>
      </c>
      <c r="X10" s="13">
        <v>2.5550000000000002</v>
      </c>
      <c r="Y10" s="13">
        <v>2.6970000000000001</v>
      </c>
      <c r="Z10" s="13">
        <v>2.5920000000000001</v>
      </c>
      <c r="AA10" s="13">
        <v>2.6360000000000001</v>
      </c>
      <c r="AB10" s="13">
        <v>2.714</v>
      </c>
      <c r="AC10" s="13">
        <v>5.5090000000000003</v>
      </c>
      <c r="AD10" s="13">
        <v>3.73</v>
      </c>
      <c r="AE10" s="13">
        <v>3.9350000000000001</v>
      </c>
      <c r="AF10" s="13">
        <v>3.7970000000000002</v>
      </c>
      <c r="AG10" s="13">
        <v>3.931</v>
      </c>
      <c r="AH10" s="13">
        <v>2.7290000000000001</v>
      </c>
      <c r="AI10" s="13">
        <v>2.9</v>
      </c>
      <c r="AJ10" s="13">
        <v>2.6520000000000001</v>
      </c>
      <c r="AK10" s="13">
        <v>2.992</v>
      </c>
      <c r="AL10" s="13">
        <v>2.919</v>
      </c>
      <c r="AM10" s="13">
        <v>3.07</v>
      </c>
      <c r="AN10" s="13">
        <v>2.702</v>
      </c>
      <c r="AO10" s="13">
        <v>2.6480000000000001</v>
      </c>
      <c r="AP10" s="13">
        <v>2.6160000000000001</v>
      </c>
      <c r="AQ10" s="13">
        <v>2.234</v>
      </c>
      <c r="AR10" s="13">
        <v>0.27200000000000002</v>
      </c>
      <c r="AS10" s="13">
        <v>1.7709999999999999</v>
      </c>
      <c r="AT10" s="13">
        <v>1.502</v>
      </c>
      <c r="AU10" s="13">
        <v>1.3120000000000001</v>
      </c>
      <c r="AV10" s="13">
        <v>1.284</v>
      </c>
      <c r="AW10" s="13">
        <v>1.1739999999999999</v>
      </c>
      <c r="AX10" s="22">
        <v>3.9049999999999998</v>
      </c>
      <c r="AY10" s="13">
        <v>3.9140000000000001</v>
      </c>
      <c r="AZ10" s="22">
        <v>4.3</v>
      </c>
      <c r="BA10" s="22">
        <v>5.1479999999999997</v>
      </c>
      <c r="BB10" s="22">
        <v>5.3760000000000003</v>
      </c>
      <c r="BC10" s="22">
        <v>5.3970000000000002</v>
      </c>
      <c r="BD10" s="22">
        <v>5.1539999999999999</v>
      </c>
      <c r="BE10" s="22">
        <v>1.5820000000000001</v>
      </c>
      <c r="BF10" s="22">
        <v>2.7639999999999998</v>
      </c>
      <c r="BG10" s="22">
        <v>1.516</v>
      </c>
      <c r="BH10" s="22">
        <v>0.76700000000000002</v>
      </c>
      <c r="BI10" s="22">
        <f>2291/1000</f>
        <v>2.2909999999999999</v>
      </c>
      <c r="BJ10" s="22">
        <f>1463/1000</f>
        <v>1.4630000000000001</v>
      </c>
    </row>
    <row r="11" spans="1:62" s="14" customFormat="1">
      <c r="A11" s="75" t="s">
        <v>146</v>
      </c>
      <c r="B11" s="88">
        <v>0</v>
      </c>
      <c r="C11" s="77">
        <v>0</v>
      </c>
      <c r="D11" s="77">
        <v>0</v>
      </c>
      <c r="E11" s="77">
        <v>0</v>
      </c>
      <c r="F11" s="77">
        <f t="shared" si="5"/>
        <v>20.001999999999999</v>
      </c>
      <c r="G11" s="77">
        <f>SUM(AH11:AK11)</f>
        <v>0</v>
      </c>
      <c r="H11" s="77">
        <f t="shared" si="2"/>
        <v>0</v>
      </c>
      <c r="I11" s="49">
        <f t="shared" si="3"/>
        <v>0</v>
      </c>
      <c r="J11" s="77">
        <f>SUM(AT11:AW11)</f>
        <v>0</v>
      </c>
      <c r="K11" s="49">
        <f t="shared" si="1"/>
        <v>1.7709999999999999</v>
      </c>
      <c r="L11" s="13">
        <f t="shared" si="4"/>
        <v>23.283000000000001</v>
      </c>
      <c r="M11" s="82">
        <f t="shared" si="6"/>
        <v>0.999</v>
      </c>
      <c r="N11" s="130">
        <v>0</v>
      </c>
      <c r="O11" s="76">
        <v>0</v>
      </c>
      <c r="P11" s="76">
        <v>0</v>
      </c>
      <c r="Q11" s="76">
        <v>0</v>
      </c>
      <c r="R11" s="76">
        <v>0</v>
      </c>
      <c r="S11" s="76">
        <v>0</v>
      </c>
      <c r="T11" s="76">
        <v>0</v>
      </c>
      <c r="U11" s="76">
        <v>0</v>
      </c>
      <c r="V11" s="76">
        <v>0</v>
      </c>
      <c r="W11" s="76">
        <v>0</v>
      </c>
      <c r="X11" s="76">
        <v>0</v>
      </c>
      <c r="Y11" s="76">
        <v>0</v>
      </c>
      <c r="Z11" s="76">
        <v>0</v>
      </c>
      <c r="AA11" s="76">
        <v>0</v>
      </c>
      <c r="AB11" s="76">
        <v>0</v>
      </c>
      <c r="AC11" s="76">
        <v>0</v>
      </c>
      <c r="AD11" s="76">
        <v>0</v>
      </c>
      <c r="AE11" s="76">
        <v>0</v>
      </c>
      <c r="AF11" s="76">
        <v>0</v>
      </c>
      <c r="AG11" s="76">
        <v>20.001999999999999</v>
      </c>
      <c r="AH11" s="76">
        <v>0</v>
      </c>
      <c r="AI11" s="13">
        <v>-9.1999999999999998E-2</v>
      </c>
      <c r="AJ11" s="13">
        <v>-0.29699999999999999</v>
      </c>
      <c r="AK11" s="13">
        <v>0.38900000000000001</v>
      </c>
      <c r="AL11" s="13">
        <v>0</v>
      </c>
      <c r="AM11" s="13">
        <v>0</v>
      </c>
      <c r="AN11" s="13">
        <v>0</v>
      </c>
      <c r="AO11" s="13">
        <v>0</v>
      </c>
      <c r="AP11" s="13">
        <v>0</v>
      </c>
      <c r="AQ11" s="13">
        <v>0</v>
      </c>
      <c r="AR11" s="77">
        <v>0</v>
      </c>
      <c r="AS11" s="77">
        <v>0</v>
      </c>
      <c r="AT11" s="77">
        <v>0</v>
      </c>
      <c r="AU11" s="77">
        <v>0</v>
      </c>
      <c r="AV11" s="77">
        <v>0</v>
      </c>
      <c r="AW11" s="77">
        <v>0</v>
      </c>
      <c r="AX11" s="22">
        <v>0</v>
      </c>
      <c r="AY11" s="77">
        <v>0</v>
      </c>
      <c r="AZ11" s="146">
        <v>0</v>
      </c>
      <c r="BA11" s="22">
        <v>1.7709999999999999</v>
      </c>
      <c r="BB11" s="22">
        <v>0</v>
      </c>
      <c r="BC11" s="22">
        <v>0</v>
      </c>
      <c r="BD11" s="22">
        <v>0</v>
      </c>
      <c r="BE11" s="22">
        <v>23.283000000000001</v>
      </c>
      <c r="BF11" s="22">
        <v>0</v>
      </c>
      <c r="BG11" s="22">
        <v>0</v>
      </c>
      <c r="BH11" s="22">
        <v>0</v>
      </c>
      <c r="BI11" s="22">
        <f>999/1000</f>
        <v>0.999</v>
      </c>
      <c r="BJ11" s="22">
        <v>0</v>
      </c>
    </row>
    <row r="12" spans="1:62" s="14" customFormat="1">
      <c r="A12" s="75" t="s">
        <v>171</v>
      </c>
      <c r="B12" s="88">
        <v>0</v>
      </c>
      <c r="C12" s="77">
        <v>0</v>
      </c>
      <c r="D12" s="77">
        <v>0</v>
      </c>
      <c r="E12" s="77">
        <v>0</v>
      </c>
      <c r="F12" s="77">
        <v>0</v>
      </c>
      <c r="G12" s="77">
        <v>0</v>
      </c>
      <c r="H12" s="77">
        <v>0</v>
      </c>
      <c r="I12" s="49">
        <f t="shared" si="3"/>
        <v>0</v>
      </c>
      <c r="J12" s="77"/>
      <c r="K12" s="49">
        <f t="shared" si="1"/>
        <v>8.343</v>
      </c>
      <c r="L12" s="13">
        <f t="shared" si="4"/>
        <v>-15.29</v>
      </c>
      <c r="M12" s="82">
        <f t="shared" si="6"/>
        <v>0</v>
      </c>
      <c r="N12" s="130">
        <v>0</v>
      </c>
      <c r="O12" s="76">
        <v>0</v>
      </c>
      <c r="P12" s="77">
        <v>0</v>
      </c>
      <c r="Q12" s="77">
        <v>0</v>
      </c>
      <c r="R12" s="77">
        <v>0</v>
      </c>
      <c r="S12" s="77">
        <v>0</v>
      </c>
      <c r="T12" s="77">
        <v>0</v>
      </c>
      <c r="U12" s="77">
        <v>0</v>
      </c>
      <c r="V12" s="77">
        <v>0</v>
      </c>
      <c r="W12" s="77">
        <v>0</v>
      </c>
      <c r="X12" s="77">
        <v>0</v>
      </c>
      <c r="Y12" s="77">
        <v>0</v>
      </c>
      <c r="Z12" s="77">
        <v>0</v>
      </c>
      <c r="AA12" s="77">
        <v>0</v>
      </c>
      <c r="AB12" s="77">
        <v>0</v>
      </c>
      <c r="AC12" s="77">
        <v>0</v>
      </c>
      <c r="AD12" s="77">
        <v>0</v>
      </c>
      <c r="AE12" s="77">
        <v>0</v>
      </c>
      <c r="AF12" s="77">
        <v>0</v>
      </c>
      <c r="AG12" s="77">
        <v>0</v>
      </c>
      <c r="AH12" s="77">
        <v>0</v>
      </c>
      <c r="AI12" s="77">
        <v>0</v>
      </c>
      <c r="AJ12" s="77">
        <v>0</v>
      </c>
      <c r="AK12" s="77">
        <v>0</v>
      </c>
      <c r="AL12" s="77">
        <v>0</v>
      </c>
      <c r="AM12" s="77">
        <v>0</v>
      </c>
      <c r="AN12" s="77">
        <v>0</v>
      </c>
      <c r="AO12" s="77">
        <v>0</v>
      </c>
      <c r="AP12" s="77">
        <v>0</v>
      </c>
      <c r="AQ12" s="77">
        <v>0</v>
      </c>
      <c r="AR12" s="77">
        <v>0</v>
      </c>
      <c r="AS12" s="77">
        <v>0</v>
      </c>
      <c r="AT12" s="77">
        <v>0</v>
      </c>
      <c r="AU12" s="77">
        <v>0</v>
      </c>
      <c r="AV12" s="77">
        <v>0</v>
      </c>
      <c r="AW12" s="77">
        <v>0</v>
      </c>
      <c r="AX12" s="22">
        <v>7.4249999999999998</v>
      </c>
      <c r="AY12" s="13">
        <v>-0.92500000000000004</v>
      </c>
      <c r="AZ12" s="22">
        <v>1.843</v>
      </c>
      <c r="BA12" s="22">
        <v>0</v>
      </c>
      <c r="BB12" s="22">
        <v>0</v>
      </c>
      <c r="BC12" s="22">
        <v>0</v>
      </c>
      <c r="BD12" s="22">
        <v>-15.29</v>
      </c>
      <c r="BE12" s="22">
        <v>0</v>
      </c>
      <c r="BF12" s="22">
        <v>-7.9000000000000001E-2</v>
      </c>
      <c r="BG12" s="22">
        <v>7.9000000000000001E-2</v>
      </c>
      <c r="BH12" s="22">
        <v>0</v>
      </c>
      <c r="BI12" s="22">
        <v>0</v>
      </c>
      <c r="BJ12" s="22">
        <f>-124/1000</f>
        <v>-0.124</v>
      </c>
    </row>
    <row r="13" spans="1:62" s="14" customFormat="1">
      <c r="A13" s="75" t="s">
        <v>162</v>
      </c>
      <c r="B13" s="88">
        <v>0</v>
      </c>
      <c r="C13" s="77">
        <v>0</v>
      </c>
      <c r="D13" s="77">
        <v>0</v>
      </c>
      <c r="E13" s="77">
        <v>0</v>
      </c>
      <c r="F13" s="77">
        <v>0</v>
      </c>
      <c r="G13" s="77">
        <v>0</v>
      </c>
      <c r="H13" s="77">
        <v>0</v>
      </c>
      <c r="I13" s="49">
        <f t="shared" si="3"/>
        <v>-0.45900000000000002</v>
      </c>
      <c r="J13" s="77">
        <v>0</v>
      </c>
      <c r="K13" s="49">
        <f t="shared" si="1"/>
        <v>0</v>
      </c>
      <c r="L13" s="13">
        <f t="shared" si="4"/>
        <v>0</v>
      </c>
      <c r="M13" s="82">
        <f t="shared" si="6"/>
        <v>0</v>
      </c>
      <c r="N13" s="130">
        <v>0</v>
      </c>
      <c r="O13" s="76">
        <v>0</v>
      </c>
      <c r="P13" s="77">
        <v>0</v>
      </c>
      <c r="Q13" s="77">
        <v>0</v>
      </c>
      <c r="R13" s="77">
        <v>0</v>
      </c>
      <c r="S13" s="77">
        <v>0</v>
      </c>
      <c r="T13" s="77">
        <v>0</v>
      </c>
      <c r="U13" s="77">
        <v>0</v>
      </c>
      <c r="V13" s="77">
        <v>0</v>
      </c>
      <c r="W13" s="77">
        <v>0</v>
      </c>
      <c r="X13" s="77">
        <v>0</v>
      </c>
      <c r="Y13" s="77">
        <v>0</v>
      </c>
      <c r="Z13" s="77">
        <v>0</v>
      </c>
      <c r="AA13" s="77">
        <v>0</v>
      </c>
      <c r="AB13" s="77">
        <v>0</v>
      </c>
      <c r="AC13" s="77">
        <v>0</v>
      </c>
      <c r="AD13" s="77">
        <v>0</v>
      </c>
      <c r="AE13" s="77">
        <v>0</v>
      </c>
      <c r="AF13" s="77">
        <v>0</v>
      </c>
      <c r="AG13" s="77">
        <v>0</v>
      </c>
      <c r="AH13" s="77">
        <v>0</v>
      </c>
      <c r="AI13" s="77">
        <v>0</v>
      </c>
      <c r="AJ13" s="77">
        <v>0</v>
      </c>
      <c r="AK13" s="77">
        <v>0</v>
      </c>
      <c r="AL13" s="77">
        <v>0</v>
      </c>
      <c r="AM13" s="77">
        <v>0</v>
      </c>
      <c r="AN13" s="77">
        <v>0</v>
      </c>
      <c r="AO13" s="77">
        <v>0</v>
      </c>
      <c r="AP13" s="77">
        <v>0</v>
      </c>
      <c r="AQ13" s="77">
        <v>0</v>
      </c>
      <c r="AR13" s="77">
        <v>0</v>
      </c>
      <c r="AS13" s="77">
        <v>-0.45900000000000002</v>
      </c>
      <c r="AT13" s="77">
        <v>0</v>
      </c>
      <c r="AU13" s="77">
        <v>0</v>
      </c>
      <c r="AV13" s="77">
        <v>-3.5000000000000003E-2</v>
      </c>
      <c r="AW13" s="77">
        <v>0</v>
      </c>
      <c r="AX13" s="22">
        <v>0</v>
      </c>
      <c r="AY13" s="13">
        <v>0</v>
      </c>
      <c r="AZ13" s="22">
        <v>0</v>
      </c>
      <c r="BA13" s="22">
        <v>0</v>
      </c>
      <c r="BB13" s="22">
        <v>0</v>
      </c>
      <c r="BC13" s="22">
        <v>0</v>
      </c>
      <c r="BD13" s="22">
        <v>0</v>
      </c>
      <c r="BE13" s="22">
        <v>0</v>
      </c>
      <c r="BF13" s="22">
        <v>0</v>
      </c>
      <c r="BG13" s="22">
        <v>0</v>
      </c>
      <c r="BH13" s="22">
        <v>0</v>
      </c>
      <c r="BI13" s="22">
        <v>0</v>
      </c>
      <c r="BJ13" s="22">
        <v>0</v>
      </c>
    </row>
    <row r="14" spans="1:62" s="14" customFormat="1">
      <c r="A14" s="75" t="s">
        <v>170</v>
      </c>
      <c r="B14" s="88">
        <v>0</v>
      </c>
      <c r="C14" s="77">
        <v>0</v>
      </c>
      <c r="D14" s="77">
        <v>0</v>
      </c>
      <c r="E14" s="77">
        <v>0</v>
      </c>
      <c r="F14" s="77">
        <v>0</v>
      </c>
      <c r="G14" s="77">
        <v>0</v>
      </c>
      <c r="H14" s="77">
        <v>0</v>
      </c>
      <c r="I14" s="49">
        <f t="shared" si="3"/>
        <v>0</v>
      </c>
      <c r="J14" s="77">
        <v>0</v>
      </c>
      <c r="K14" s="49">
        <f t="shared" si="1"/>
        <v>3.5000000000000003E-2</v>
      </c>
      <c r="L14" s="13">
        <f t="shared" si="4"/>
        <v>0</v>
      </c>
      <c r="M14" s="82">
        <f t="shared" si="6"/>
        <v>0</v>
      </c>
      <c r="N14" s="130">
        <v>0</v>
      </c>
      <c r="O14" s="76">
        <v>0</v>
      </c>
      <c r="P14" s="77">
        <v>0</v>
      </c>
      <c r="Q14" s="77">
        <v>0</v>
      </c>
      <c r="R14" s="77">
        <v>0</v>
      </c>
      <c r="S14" s="77">
        <v>0</v>
      </c>
      <c r="T14" s="77">
        <v>0</v>
      </c>
      <c r="U14" s="77">
        <v>0</v>
      </c>
      <c r="V14" s="77">
        <v>0</v>
      </c>
      <c r="W14" s="77">
        <v>0</v>
      </c>
      <c r="X14" s="77">
        <v>0</v>
      </c>
      <c r="Y14" s="77">
        <v>0</v>
      </c>
      <c r="Z14" s="77">
        <v>0</v>
      </c>
      <c r="AA14" s="77">
        <v>0</v>
      </c>
      <c r="AB14" s="77">
        <v>0</v>
      </c>
      <c r="AC14" s="77">
        <v>0</v>
      </c>
      <c r="AD14" s="77">
        <v>0</v>
      </c>
      <c r="AE14" s="77">
        <v>0</v>
      </c>
      <c r="AF14" s="77">
        <v>0</v>
      </c>
      <c r="AG14" s="77">
        <v>0</v>
      </c>
      <c r="AH14" s="77">
        <v>0</v>
      </c>
      <c r="AI14" s="77">
        <v>0</v>
      </c>
      <c r="AJ14" s="77">
        <v>0</v>
      </c>
      <c r="AK14" s="77">
        <v>0</v>
      </c>
      <c r="AL14" s="77">
        <v>0</v>
      </c>
      <c r="AM14" s="77">
        <v>0</v>
      </c>
      <c r="AN14" s="77">
        <v>0</v>
      </c>
      <c r="AO14" s="77">
        <v>0</v>
      </c>
      <c r="AP14" s="77">
        <v>0</v>
      </c>
      <c r="AQ14" s="77">
        <v>0</v>
      </c>
      <c r="AR14" s="77">
        <v>0</v>
      </c>
      <c r="AS14" s="77">
        <v>0</v>
      </c>
      <c r="AT14" s="77">
        <v>0</v>
      </c>
      <c r="AU14" s="77">
        <v>0</v>
      </c>
      <c r="AV14" s="77">
        <v>0</v>
      </c>
      <c r="AW14" s="77">
        <v>0</v>
      </c>
      <c r="AX14" s="22">
        <v>3.5000000000000003E-2</v>
      </c>
      <c r="AY14" s="13">
        <v>0</v>
      </c>
      <c r="AZ14" s="22">
        <v>0</v>
      </c>
      <c r="BA14" s="22">
        <v>0</v>
      </c>
      <c r="BB14" s="22">
        <v>0</v>
      </c>
      <c r="BC14" s="22">
        <v>0</v>
      </c>
      <c r="BD14" s="22">
        <v>0</v>
      </c>
      <c r="BE14" s="22">
        <v>0</v>
      </c>
      <c r="BF14" s="22">
        <v>0</v>
      </c>
      <c r="BG14" s="22">
        <v>0</v>
      </c>
      <c r="BH14" s="22">
        <v>0</v>
      </c>
      <c r="BI14" s="22">
        <v>0</v>
      </c>
      <c r="BJ14" s="22">
        <v>0</v>
      </c>
    </row>
    <row r="15" spans="1:62" s="14" customFormat="1">
      <c r="A15" s="46" t="s">
        <v>64</v>
      </c>
      <c r="B15" s="83">
        <v>2.8650000000000002</v>
      </c>
      <c r="C15" s="49">
        <f>SUM(R15:U15)</f>
        <v>0.877</v>
      </c>
      <c r="D15" s="49">
        <f>SUM(V15:Y15)</f>
        <v>0.28899999999999998</v>
      </c>
      <c r="E15" s="49">
        <f>SUM(Z15:AC15)</f>
        <v>6.4999999999999988E-2</v>
      </c>
      <c r="F15" s="49">
        <f t="shared" si="5"/>
        <v>1.9179999999999999</v>
      </c>
      <c r="G15" s="49">
        <f>SUM(AH15:AK15)</f>
        <v>7.2999999999999954E-2</v>
      </c>
      <c r="H15" s="49">
        <f t="shared" si="2"/>
        <v>7.8E-2</v>
      </c>
      <c r="I15" s="49">
        <f t="shared" si="3"/>
        <v>13.152999999999999</v>
      </c>
      <c r="J15" s="49">
        <f t="shared" ref="J15:J21" si="7">SUM(AT15:AW15)</f>
        <v>1.361</v>
      </c>
      <c r="K15" s="49">
        <f t="shared" si="1"/>
        <v>0.78100000000000003</v>
      </c>
      <c r="L15" s="13">
        <f t="shared" si="4"/>
        <v>1.252</v>
      </c>
      <c r="M15" s="82">
        <f t="shared" si="6"/>
        <v>-3.516</v>
      </c>
      <c r="N15" s="79">
        <v>1.341</v>
      </c>
      <c r="O15" s="13">
        <v>-0.56699999999999995</v>
      </c>
      <c r="P15" s="13">
        <v>0.44599999999999995</v>
      </c>
      <c r="Q15" s="13">
        <f>B15-P15-O15-N15</f>
        <v>1.6450000000000007</v>
      </c>
      <c r="R15" s="69">
        <v>1.2999999999999999E-2</v>
      </c>
      <c r="S15" s="69">
        <v>-1E-3</v>
      </c>
      <c r="T15" s="13">
        <v>0.40200000000000002</v>
      </c>
      <c r="U15" s="13">
        <v>0.46300000000000002</v>
      </c>
      <c r="V15" s="13">
        <v>-9.9000000000000005E-2</v>
      </c>
      <c r="W15" s="13">
        <v>7.3999999999999996E-2</v>
      </c>
      <c r="X15" s="13">
        <v>0.45</v>
      </c>
      <c r="Y15" s="13">
        <v>-0.13600000000000001</v>
      </c>
      <c r="Z15" s="13">
        <v>0.312</v>
      </c>
      <c r="AA15" s="13">
        <v>-0.26200000000000001</v>
      </c>
      <c r="AB15" s="13">
        <v>3.1E-2</v>
      </c>
      <c r="AC15" s="13">
        <v>-1.6E-2</v>
      </c>
      <c r="AD15" s="13">
        <v>1.0999999999999999E-2</v>
      </c>
      <c r="AE15" s="13">
        <v>-9.9000000000000005E-2</v>
      </c>
      <c r="AF15" s="13">
        <v>1.589</v>
      </c>
      <c r="AG15" s="13">
        <v>0.41699999999999998</v>
      </c>
      <c r="AH15" s="13">
        <v>-0.54100000000000004</v>
      </c>
      <c r="AI15" s="13">
        <v>-1.1439999999999999</v>
      </c>
      <c r="AJ15" s="13">
        <v>3.2410000000000001</v>
      </c>
      <c r="AK15" s="13">
        <v>-1.4830000000000001</v>
      </c>
      <c r="AL15" s="13">
        <v>1.4999999999999999E-2</v>
      </c>
      <c r="AM15" s="13">
        <v>4.4999999999999998E-2</v>
      </c>
      <c r="AN15" s="13">
        <v>1E-3</v>
      </c>
      <c r="AO15" s="13">
        <v>1.7000000000000001E-2</v>
      </c>
      <c r="AP15" s="13">
        <v>8.9999999999999993E-3</v>
      </c>
      <c r="AQ15" s="13">
        <v>9.4E-2</v>
      </c>
      <c r="AR15" s="13">
        <v>8.0419999999999998</v>
      </c>
      <c r="AS15" s="13">
        <v>5.008</v>
      </c>
      <c r="AT15" s="13">
        <v>-0.308</v>
      </c>
      <c r="AU15" s="13">
        <v>0.183</v>
      </c>
      <c r="AV15" s="13">
        <v>0.45300000000000001</v>
      </c>
      <c r="AW15" s="13">
        <v>1.0329999999999999</v>
      </c>
      <c r="AX15" s="22">
        <v>7.0000000000000007E-2</v>
      </c>
      <c r="AY15" s="13">
        <v>3.0000000000000001E-3</v>
      </c>
      <c r="AZ15" s="22">
        <v>0.154</v>
      </c>
      <c r="BA15" s="22">
        <v>0.55400000000000005</v>
      </c>
      <c r="BB15" s="22">
        <v>0.161</v>
      </c>
      <c r="BC15" s="22">
        <v>0</v>
      </c>
      <c r="BD15" s="22">
        <v>0.56399999999999995</v>
      </c>
      <c r="BE15" s="22">
        <v>0.52700000000000002</v>
      </c>
      <c r="BF15" s="22">
        <v>-3.7389999999999999</v>
      </c>
      <c r="BG15" s="22">
        <v>-1.0999999999999999E-2</v>
      </c>
      <c r="BH15" s="22">
        <v>0.06</v>
      </c>
      <c r="BI15" s="22">
        <f>174/1000</f>
        <v>0.17399999999999999</v>
      </c>
      <c r="BJ15" s="22">
        <f>214/1000</f>
        <v>0.214</v>
      </c>
    </row>
    <row r="16" spans="1:62" s="14" customFormat="1">
      <c r="A16" s="46" t="s">
        <v>31</v>
      </c>
      <c r="B16" s="83">
        <v>19.562000000000001</v>
      </c>
      <c r="C16" s="49">
        <f>SUM(R16:U16)</f>
        <v>35.682000000000002</v>
      </c>
      <c r="D16" s="49">
        <f>SUM(V16:Y16)</f>
        <v>-20.968</v>
      </c>
      <c r="E16" s="49">
        <f>SUM(Z16:AC16)</f>
        <v>-2.4410000000000003</v>
      </c>
      <c r="F16" s="49">
        <f t="shared" si="5"/>
        <v>-9.4689999999999994</v>
      </c>
      <c r="G16" s="49">
        <f>SUM(AH16:AK16)</f>
        <v>1.232</v>
      </c>
      <c r="H16" s="49">
        <f t="shared" si="2"/>
        <v>12.470999999999998</v>
      </c>
      <c r="I16" s="49">
        <f t="shared" si="3"/>
        <v>13.416999999999998</v>
      </c>
      <c r="J16" s="49">
        <f t="shared" si="7"/>
        <v>9.73</v>
      </c>
      <c r="K16" s="49">
        <f t="shared" si="1"/>
        <v>-14.529</v>
      </c>
      <c r="L16" s="13">
        <f t="shared" si="4"/>
        <v>13.329999999999998</v>
      </c>
      <c r="M16" s="82">
        <f t="shared" si="6"/>
        <v>-3.0019999999999998</v>
      </c>
      <c r="N16" s="79">
        <v>9.3279999999999994</v>
      </c>
      <c r="O16" s="13">
        <v>1.5220000000000002</v>
      </c>
      <c r="P16" s="13">
        <v>0.47799999999999976</v>
      </c>
      <c r="Q16" s="13">
        <f>B16-P16-O16-N16</f>
        <v>8.2340000000000053</v>
      </c>
      <c r="R16" s="69">
        <v>0.23899999999999999</v>
      </c>
      <c r="S16" s="69">
        <v>19.975000000000001</v>
      </c>
      <c r="T16" s="13">
        <v>4.5730000000000004</v>
      </c>
      <c r="U16" s="13">
        <v>10.895</v>
      </c>
      <c r="V16" s="13">
        <v>2.2599999999999998</v>
      </c>
      <c r="W16" s="13">
        <v>2.6339999999999999</v>
      </c>
      <c r="X16" s="13">
        <v>1.0589999999999999</v>
      </c>
      <c r="Y16" s="13">
        <v>-26.920999999999999</v>
      </c>
      <c r="Z16" s="13">
        <v>-2.6190000000000002</v>
      </c>
      <c r="AA16" s="13">
        <v>5.2489999999999997</v>
      </c>
      <c r="AB16" s="13">
        <v>-4.1079999999999997</v>
      </c>
      <c r="AC16" s="13">
        <v>-0.96299999999999997</v>
      </c>
      <c r="AD16" s="13">
        <v>-14.225</v>
      </c>
      <c r="AE16" s="13">
        <v>-2.0390000000000001</v>
      </c>
      <c r="AF16" s="13">
        <v>-1.026</v>
      </c>
      <c r="AG16" s="13">
        <v>7.8209999999999997</v>
      </c>
      <c r="AH16" s="13">
        <v>-5.04</v>
      </c>
      <c r="AI16" s="13">
        <v>5.04</v>
      </c>
      <c r="AJ16" s="13">
        <v>0</v>
      </c>
      <c r="AK16" s="13">
        <v>1.232</v>
      </c>
      <c r="AL16" s="13">
        <v>8.266</v>
      </c>
      <c r="AM16" s="13">
        <v>0.58699999999999997</v>
      </c>
      <c r="AN16" s="13">
        <v>1.46</v>
      </c>
      <c r="AO16" s="13">
        <v>2.1579999999999999</v>
      </c>
      <c r="AP16" s="13">
        <v>1.8240000000000001</v>
      </c>
      <c r="AQ16" s="13">
        <v>5.4749999999999996</v>
      </c>
      <c r="AR16" s="13">
        <v>4.6239999999999997</v>
      </c>
      <c r="AS16" s="13">
        <v>1.494</v>
      </c>
      <c r="AT16" s="13">
        <v>-1.7000000000000001E-2</v>
      </c>
      <c r="AU16" s="13">
        <v>3.222</v>
      </c>
      <c r="AV16" s="13">
        <v>1.1319999999999999</v>
      </c>
      <c r="AW16" s="13">
        <v>5.3929999999999998</v>
      </c>
      <c r="AX16" s="22">
        <v>-10.814</v>
      </c>
      <c r="AY16" s="13">
        <v>-5.8</v>
      </c>
      <c r="AZ16" s="22">
        <v>-0.76400000000000001</v>
      </c>
      <c r="BA16" s="22">
        <v>2.8490000000000002</v>
      </c>
      <c r="BB16" s="22">
        <v>-0.32500000000000001</v>
      </c>
      <c r="BC16" s="22">
        <v>-0.45100000000000001</v>
      </c>
      <c r="BD16" s="22">
        <v>-0.17100000000000001</v>
      </c>
      <c r="BE16" s="22">
        <v>14.276999999999999</v>
      </c>
      <c r="BF16" s="22">
        <v>-0.76100000000000001</v>
      </c>
      <c r="BG16" s="22">
        <v>-0.83299999999999996</v>
      </c>
      <c r="BH16" s="22">
        <v>-0.38700000000000001</v>
      </c>
      <c r="BI16" s="22">
        <f>-1021/1000</f>
        <v>-1.0209999999999999</v>
      </c>
      <c r="BJ16" s="22">
        <f>123/1000</f>
        <v>0.123</v>
      </c>
    </row>
    <row r="17" spans="1:62" s="14" customFormat="1">
      <c r="A17" s="46" t="s">
        <v>95</v>
      </c>
      <c r="B17" s="83">
        <v>0</v>
      </c>
      <c r="C17" s="49">
        <v>0</v>
      </c>
      <c r="D17" s="49">
        <v>0</v>
      </c>
      <c r="E17" s="49">
        <v>0</v>
      </c>
      <c r="F17" s="49">
        <v>0</v>
      </c>
      <c r="G17" s="49">
        <v>0</v>
      </c>
      <c r="H17" s="49">
        <v>0</v>
      </c>
      <c r="I17" s="49">
        <v>0</v>
      </c>
      <c r="J17" s="49">
        <v>0</v>
      </c>
      <c r="K17" s="49">
        <v>0</v>
      </c>
      <c r="L17" s="13">
        <v>0</v>
      </c>
      <c r="M17" s="82">
        <f t="shared" si="6"/>
        <v>0</v>
      </c>
      <c r="N17" s="79">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13">
        <v>0</v>
      </c>
    </row>
    <row r="18" spans="1:62" s="14" customFormat="1">
      <c r="A18" s="46" t="s">
        <v>96</v>
      </c>
      <c r="B18" s="83">
        <v>17.244</v>
      </c>
      <c r="C18" s="49">
        <f>SUM(R18:U18)</f>
        <v>22.363</v>
      </c>
      <c r="D18" s="49">
        <f>SUM(V18:Y18)</f>
        <v>12.402000000000001</v>
      </c>
      <c r="E18" s="49">
        <f>SUM(Z18:AC18)</f>
        <v>5.7279999999999998</v>
      </c>
      <c r="F18" s="49">
        <f t="shared" si="5"/>
        <v>9.3870000000000005</v>
      </c>
      <c r="G18" s="49">
        <f t="shared" ref="G18:G21" si="8">SUM(AH18:AK18)</f>
        <v>13.997</v>
      </c>
      <c r="H18" s="49">
        <f t="shared" si="2"/>
        <v>0.31700000000000017</v>
      </c>
      <c r="I18" s="49">
        <f t="shared" ref="I18:I21" si="9">SUM(AP18:AS18)</f>
        <v>3.3820000000000001</v>
      </c>
      <c r="J18" s="49">
        <f t="shared" si="7"/>
        <v>-7.1839999999999993</v>
      </c>
      <c r="K18" s="49">
        <f>SUM(AX18:BA18)</f>
        <v>6.0280000000000005</v>
      </c>
      <c r="L18" s="13">
        <f t="shared" si="4"/>
        <v>-0.56300000000000061</v>
      </c>
      <c r="M18" s="82">
        <f t="shared" si="6"/>
        <v>15.874000000000002</v>
      </c>
      <c r="N18" s="79">
        <v>4.9980000000000002</v>
      </c>
      <c r="O18" s="13">
        <v>12.451999999999998</v>
      </c>
      <c r="P18" s="13">
        <v>0.85800000000000143</v>
      </c>
      <c r="Q18" s="13">
        <f>B18-P18-O18-N18</f>
        <v>-1.0639999999999992</v>
      </c>
      <c r="R18" s="69">
        <v>7.9470000000000001</v>
      </c>
      <c r="S18" s="69">
        <v>3.3919999999999999</v>
      </c>
      <c r="T18" s="13">
        <v>3.9460000000000002</v>
      </c>
      <c r="U18" s="13">
        <v>7.0780000000000003</v>
      </c>
      <c r="V18" s="13">
        <v>1.6950000000000001</v>
      </c>
      <c r="W18" s="13">
        <v>5.2850000000000001</v>
      </c>
      <c r="X18" s="13">
        <v>2.5550000000000002</v>
      </c>
      <c r="Y18" s="13">
        <v>2.867</v>
      </c>
      <c r="Z18" s="13">
        <v>2.3119999999999998</v>
      </c>
      <c r="AA18" s="13">
        <v>1.881</v>
      </c>
      <c r="AB18" s="13">
        <v>1.615</v>
      </c>
      <c r="AC18" s="13">
        <v>-0.08</v>
      </c>
      <c r="AD18" s="13">
        <v>-0.26100000000000001</v>
      </c>
      <c r="AE18" s="13">
        <v>0.93700000000000006</v>
      </c>
      <c r="AF18" s="13">
        <v>3.7170000000000001</v>
      </c>
      <c r="AG18" s="13">
        <v>4.9939999999999998</v>
      </c>
      <c r="AH18" s="13">
        <v>4.7089999999999996</v>
      </c>
      <c r="AI18" s="13">
        <v>3.7850000000000001</v>
      </c>
      <c r="AJ18" s="13">
        <v>8.82</v>
      </c>
      <c r="AK18" s="13">
        <v>-3.3170000000000002</v>
      </c>
      <c r="AL18" s="13">
        <v>-2.956</v>
      </c>
      <c r="AM18" s="13">
        <v>1.2010000000000001</v>
      </c>
      <c r="AN18" s="13">
        <v>0.92500000000000004</v>
      </c>
      <c r="AO18" s="13">
        <v>1.147</v>
      </c>
      <c r="AP18" s="13">
        <v>1.5720000000000001</v>
      </c>
      <c r="AQ18" s="13">
        <v>1.704</v>
      </c>
      <c r="AR18" s="13">
        <v>-0.126</v>
      </c>
      <c r="AS18" s="13">
        <v>0.23200000000000001</v>
      </c>
      <c r="AT18" s="13">
        <v>-0.73099999999999998</v>
      </c>
      <c r="AU18" s="13">
        <v>-3.1240000000000001</v>
      </c>
      <c r="AV18" s="13">
        <v>-4.1390000000000002</v>
      </c>
      <c r="AW18" s="13">
        <v>0.81</v>
      </c>
      <c r="AX18" s="22">
        <v>0.46300000000000002</v>
      </c>
      <c r="AY18" s="13">
        <v>2.2530000000000001</v>
      </c>
      <c r="AZ18" s="22">
        <v>-0.52200000000000002</v>
      </c>
      <c r="BA18" s="22">
        <v>3.8340000000000001</v>
      </c>
      <c r="BB18" s="22">
        <v>7.3129999999999997</v>
      </c>
      <c r="BC18" s="22">
        <v>0.217</v>
      </c>
      <c r="BD18" s="22">
        <v>-5.641</v>
      </c>
      <c r="BE18" s="22">
        <v>-2.452</v>
      </c>
      <c r="BF18" s="22">
        <v>0.48699999999999999</v>
      </c>
      <c r="BG18" s="22">
        <v>-6.3769999999999998</v>
      </c>
      <c r="BH18" s="22">
        <v>-0.01</v>
      </c>
      <c r="BI18" s="22">
        <f>21774/1000</f>
        <v>21.774000000000001</v>
      </c>
      <c r="BJ18" s="22">
        <f>3641/1000</f>
        <v>3.641</v>
      </c>
    </row>
    <row r="19" spans="1:62" s="14" customFormat="1">
      <c r="A19" s="46" t="s">
        <v>42</v>
      </c>
      <c r="B19" s="83">
        <v>2.5489999999999999</v>
      </c>
      <c r="C19" s="49">
        <f>SUM(R19:U19)</f>
        <v>1.7090000000000001</v>
      </c>
      <c r="D19" s="49">
        <f>SUM(V19:Y19)</f>
        <v>0.46200000000000002</v>
      </c>
      <c r="E19" s="49">
        <f>SUM(Z19:AC19)</f>
        <v>-1.766</v>
      </c>
      <c r="F19" s="49">
        <f t="shared" si="5"/>
        <v>0.56300000000000006</v>
      </c>
      <c r="G19" s="49">
        <f t="shared" si="8"/>
        <v>0.34100000000000003</v>
      </c>
      <c r="H19" s="49">
        <f t="shared" si="2"/>
        <v>0.63100000000000001</v>
      </c>
      <c r="I19" s="49">
        <f t="shared" si="9"/>
        <v>1.1199999999999999</v>
      </c>
      <c r="J19" s="49">
        <f t="shared" si="7"/>
        <v>1.2030000000000001</v>
      </c>
      <c r="K19" s="49">
        <f t="shared" ref="K19:K21" si="10">SUM(AX19:BA19)</f>
        <v>2.1459999999999999</v>
      </c>
      <c r="L19" s="13">
        <f t="shared" si="4"/>
        <v>0</v>
      </c>
      <c r="M19" s="82">
        <f t="shared" si="6"/>
        <v>-0.371</v>
      </c>
      <c r="N19" s="79">
        <v>0</v>
      </c>
      <c r="O19" s="13">
        <v>0</v>
      </c>
      <c r="P19" s="13">
        <v>0</v>
      </c>
      <c r="Q19" s="13">
        <f>B19-P19-O19-N19</f>
        <v>2.5489999999999999</v>
      </c>
      <c r="R19" s="69">
        <v>0.38300000000000001</v>
      </c>
      <c r="S19" s="69">
        <v>0.69399999999999995</v>
      </c>
      <c r="T19" s="13">
        <v>0.54800000000000004</v>
      </c>
      <c r="U19" s="13">
        <v>8.4000000000000005E-2</v>
      </c>
      <c r="V19" s="13">
        <v>7.9000000000000001E-2</v>
      </c>
      <c r="W19" s="13">
        <v>7.8E-2</v>
      </c>
      <c r="X19" s="13">
        <v>0.12</v>
      </c>
      <c r="Y19" s="13">
        <v>0.185</v>
      </c>
      <c r="Z19" s="13">
        <v>0.189</v>
      </c>
      <c r="AA19" s="13">
        <v>9.2999999999999999E-2</v>
      </c>
      <c r="AB19" s="13">
        <v>0.189</v>
      </c>
      <c r="AC19" s="13">
        <v>-2.2370000000000001</v>
      </c>
      <c r="AD19" s="13">
        <v>0.155</v>
      </c>
      <c r="AE19" s="13">
        <v>0.10199999999999999</v>
      </c>
      <c r="AF19" s="13">
        <v>0.153</v>
      </c>
      <c r="AG19" s="13">
        <v>0.153</v>
      </c>
      <c r="AH19" s="13">
        <v>9.2999999999999999E-2</v>
      </c>
      <c r="AI19" s="13">
        <v>0.05</v>
      </c>
      <c r="AJ19" s="13">
        <v>9.4E-2</v>
      </c>
      <c r="AK19" s="13">
        <v>0.104</v>
      </c>
      <c r="AL19" s="13">
        <v>8.1000000000000003E-2</v>
      </c>
      <c r="AM19" s="13">
        <v>0.17199999999999999</v>
      </c>
      <c r="AN19" s="13">
        <v>0.183</v>
      </c>
      <c r="AO19" s="13">
        <v>0.19500000000000001</v>
      </c>
      <c r="AP19" s="13">
        <v>0.191</v>
      </c>
      <c r="AQ19" s="13">
        <v>0.155</v>
      </c>
      <c r="AR19" s="13">
        <v>0.29799999999999999</v>
      </c>
      <c r="AS19" s="13">
        <v>0.47599999999999998</v>
      </c>
      <c r="AT19" s="13">
        <v>0.45200000000000001</v>
      </c>
      <c r="AU19" s="13">
        <v>0.255</v>
      </c>
      <c r="AV19" s="133">
        <v>0.23699999999999999</v>
      </c>
      <c r="AW19" s="13">
        <v>0.25900000000000001</v>
      </c>
      <c r="AX19" s="22">
        <v>0.18099999999999999</v>
      </c>
      <c r="AY19" s="13">
        <v>-1E-3</v>
      </c>
      <c r="AZ19" s="22">
        <v>0</v>
      </c>
      <c r="BA19" s="22">
        <v>1.966</v>
      </c>
      <c r="BB19" s="22">
        <v>0</v>
      </c>
      <c r="BC19" s="22">
        <v>0</v>
      </c>
      <c r="BD19" s="22">
        <v>-0.127</v>
      </c>
      <c r="BE19" s="22">
        <v>0.127</v>
      </c>
      <c r="BF19" s="22">
        <v>0</v>
      </c>
      <c r="BG19" s="22">
        <v>0</v>
      </c>
      <c r="BH19" s="22">
        <v>0</v>
      </c>
      <c r="BI19" s="22">
        <f>-371/1000</f>
        <v>-0.371</v>
      </c>
      <c r="BJ19" s="22">
        <v>0</v>
      </c>
    </row>
    <row r="20" spans="1:62" s="14" customFormat="1">
      <c r="A20" s="46" t="s">
        <v>97</v>
      </c>
      <c r="B20" s="83">
        <v>-0.25900000000000001</v>
      </c>
      <c r="C20" s="49">
        <f>SUM(R20:U20)</f>
        <v>-7.7729999999999997</v>
      </c>
      <c r="D20" s="49">
        <f>SUM(V20:Y20)</f>
        <v>-0.38000000000000012</v>
      </c>
      <c r="E20" s="49">
        <f>SUM(Z20:AC20)</f>
        <v>4.7999999999999876E-2</v>
      </c>
      <c r="F20" s="49">
        <f t="shared" si="5"/>
        <v>2.069</v>
      </c>
      <c r="G20" s="49">
        <f t="shared" si="8"/>
        <v>-2.6700000000000004</v>
      </c>
      <c r="H20" s="49">
        <f t="shared" si="2"/>
        <v>1.6879999999999997</v>
      </c>
      <c r="I20" s="49">
        <f t="shared" si="9"/>
        <v>3.0000000000000027E-3</v>
      </c>
      <c r="J20" s="49">
        <f t="shared" si="7"/>
        <v>2.1989999999999998</v>
      </c>
      <c r="K20" s="49">
        <f t="shared" si="10"/>
        <v>10.315000000000001</v>
      </c>
      <c r="L20" s="13">
        <f t="shared" si="4"/>
        <v>4.4489999999999998</v>
      </c>
      <c r="M20" s="82">
        <f t="shared" si="6"/>
        <v>6.2649999999999997</v>
      </c>
      <c r="N20" s="79">
        <v>-1.327</v>
      </c>
      <c r="O20" s="13">
        <v>0.16199999999999992</v>
      </c>
      <c r="P20" s="13">
        <v>-1.0909999999999997</v>
      </c>
      <c r="Q20" s="13">
        <f>B20-P20-O20-N20</f>
        <v>1.9969999999999999</v>
      </c>
      <c r="R20" s="69">
        <v>-2.944</v>
      </c>
      <c r="S20" s="69">
        <v>1.135</v>
      </c>
      <c r="T20" s="13">
        <v>-2.4990000000000001</v>
      </c>
      <c r="U20" s="13">
        <v>-3.4649999999999999</v>
      </c>
      <c r="V20" s="13">
        <v>0.433</v>
      </c>
      <c r="W20" s="13">
        <v>1.72</v>
      </c>
      <c r="X20" s="13">
        <v>-0.19500000000000001</v>
      </c>
      <c r="Y20" s="13">
        <v>-2.3380000000000001</v>
      </c>
      <c r="Z20" s="13">
        <v>-0.52100000000000002</v>
      </c>
      <c r="AA20" s="13">
        <v>1.355</v>
      </c>
      <c r="AB20" s="13">
        <v>-0.33300000000000002</v>
      </c>
      <c r="AC20" s="13">
        <v>-0.45300000000000001</v>
      </c>
      <c r="AD20" s="13">
        <v>-0.40500000000000003</v>
      </c>
      <c r="AE20" s="13">
        <v>2.0489999999999999</v>
      </c>
      <c r="AF20" s="13">
        <v>-5.3999999999999999E-2</v>
      </c>
      <c r="AG20" s="13">
        <v>0.47899999999999998</v>
      </c>
      <c r="AH20" s="13">
        <v>0.40799999999999997</v>
      </c>
      <c r="AI20" s="13">
        <v>-3.58</v>
      </c>
      <c r="AJ20" s="13">
        <v>-0.88500000000000001</v>
      </c>
      <c r="AK20" s="13">
        <v>1.387</v>
      </c>
      <c r="AL20" s="13">
        <v>1.079</v>
      </c>
      <c r="AM20" s="13">
        <v>-0.46500000000000002</v>
      </c>
      <c r="AN20" s="13">
        <v>0.30099999999999999</v>
      </c>
      <c r="AO20" s="13">
        <v>0.77300000000000002</v>
      </c>
      <c r="AP20" s="13">
        <v>0.151</v>
      </c>
      <c r="AQ20" s="13">
        <v>9.1999999999999998E-2</v>
      </c>
      <c r="AR20" s="13">
        <v>-0.63400000000000001</v>
      </c>
      <c r="AS20" s="13">
        <v>0.39400000000000002</v>
      </c>
      <c r="AT20" s="13">
        <v>2.9390000000000001</v>
      </c>
      <c r="AU20" s="13">
        <v>-0.78</v>
      </c>
      <c r="AV20" s="133">
        <v>0.25800000000000001</v>
      </c>
      <c r="AW20" s="13">
        <v>-0.218</v>
      </c>
      <c r="AX20" s="22">
        <v>34.274000000000001</v>
      </c>
      <c r="AY20" s="13">
        <v>-0.53600000000000003</v>
      </c>
      <c r="AZ20" s="22">
        <v>5.8070000000000004</v>
      </c>
      <c r="BA20" s="22">
        <v>-29.23</v>
      </c>
      <c r="BB20" s="22">
        <v>-0.32900000000000001</v>
      </c>
      <c r="BC20" s="22">
        <v>4.7130000000000001</v>
      </c>
      <c r="BD20" s="22">
        <v>4.0609999999999999</v>
      </c>
      <c r="BE20" s="22">
        <v>-3.996</v>
      </c>
      <c r="BF20" s="22">
        <v>-6.6000000000000003E-2</v>
      </c>
      <c r="BG20" s="22">
        <v>3.1640000000000001</v>
      </c>
      <c r="BH20" s="22">
        <v>6.5339999999999998</v>
      </c>
      <c r="BI20" s="22">
        <f>-3367/1000</f>
        <v>-3.367</v>
      </c>
      <c r="BJ20" s="22">
        <f>4174/1000</f>
        <v>4.1740000000000004</v>
      </c>
    </row>
    <row r="21" spans="1:62" s="14" customFormat="1">
      <c r="A21" s="46" t="s">
        <v>65</v>
      </c>
      <c r="B21" s="83">
        <v>0.65</v>
      </c>
      <c r="C21" s="49">
        <f>SUM(R21:U21)</f>
        <v>-1.0349999999999999</v>
      </c>
      <c r="D21" s="49">
        <f>SUM(V21:Y21)</f>
        <v>7.9000000000000001E-2</v>
      </c>
      <c r="E21" s="49">
        <f>SUM(Z21:AC21)</f>
        <v>1.8530000000000002</v>
      </c>
      <c r="F21" s="49">
        <f t="shared" si="5"/>
        <v>2.6559999999999997</v>
      </c>
      <c r="G21" s="49">
        <f t="shared" si="8"/>
        <v>0.28000000000000003</v>
      </c>
      <c r="H21" s="49">
        <f t="shared" si="2"/>
        <v>-0.371</v>
      </c>
      <c r="I21" s="49">
        <f t="shared" si="9"/>
        <v>1.1549999999999998</v>
      </c>
      <c r="J21" s="49">
        <f t="shared" si="7"/>
        <v>-0.93900000000000006</v>
      </c>
      <c r="K21" s="49">
        <f t="shared" si="10"/>
        <v>3.4250000000000003</v>
      </c>
      <c r="L21" s="13">
        <f t="shared" si="4"/>
        <v>-0.35799999999999993</v>
      </c>
      <c r="M21" s="82">
        <f t="shared" si="6"/>
        <v>-0.36499999999999999</v>
      </c>
      <c r="N21" s="79">
        <v>-0.16900000000000001</v>
      </c>
      <c r="O21" s="13">
        <v>0.66600000000000004</v>
      </c>
      <c r="P21" s="13">
        <v>7.9999999999999793E-3</v>
      </c>
      <c r="Q21" s="13">
        <f>B21-P21-O21-N21</f>
        <v>0.14499999999999999</v>
      </c>
      <c r="R21" s="69">
        <v>-0.17299999999999999</v>
      </c>
      <c r="S21" s="69">
        <v>0.28199999999999997</v>
      </c>
      <c r="T21" s="13">
        <v>-1.069</v>
      </c>
      <c r="U21" s="13">
        <v>-7.4999999999999997E-2</v>
      </c>
      <c r="V21" s="13">
        <v>2.1000000000000001E-2</v>
      </c>
      <c r="W21" s="13">
        <v>5.6000000000000001E-2</v>
      </c>
      <c r="X21" s="13">
        <v>-0.14299999999999999</v>
      </c>
      <c r="Y21" s="13">
        <v>0.14499999999999999</v>
      </c>
      <c r="Z21" s="13">
        <v>0.55700000000000005</v>
      </c>
      <c r="AA21" s="13">
        <v>0.253</v>
      </c>
      <c r="AB21" s="13">
        <v>0.122</v>
      </c>
      <c r="AC21" s="13">
        <v>0.92100000000000004</v>
      </c>
      <c r="AD21" s="13">
        <v>7.5999999999999998E-2</v>
      </c>
      <c r="AE21" s="13">
        <v>0.39800000000000002</v>
      </c>
      <c r="AF21" s="13">
        <v>0.40699999999999997</v>
      </c>
      <c r="AG21" s="13">
        <v>1.7749999999999999</v>
      </c>
      <c r="AH21" s="13">
        <v>-5.6000000000000001E-2</v>
      </c>
      <c r="AI21" s="13">
        <v>-0.21</v>
      </c>
      <c r="AJ21" s="13">
        <v>3.6999999999999998E-2</v>
      </c>
      <c r="AK21" s="13">
        <v>0.50900000000000001</v>
      </c>
      <c r="AL21" s="13">
        <v>-0.46600000000000003</v>
      </c>
      <c r="AM21" s="13">
        <v>6.2E-2</v>
      </c>
      <c r="AN21" s="13">
        <v>-0.13</v>
      </c>
      <c r="AO21" s="13">
        <v>0.16300000000000001</v>
      </c>
      <c r="AP21" s="13">
        <v>7.4999999999999997E-2</v>
      </c>
      <c r="AQ21" s="13">
        <v>0.57099999999999995</v>
      </c>
      <c r="AR21" s="13">
        <v>0</v>
      </c>
      <c r="AS21" s="13">
        <v>0.50900000000000001</v>
      </c>
      <c r="AT21" s="13">
        <v>-1.7999999999999999E-2</v>
      </c>
      <c r="AU21" s="13">
        <v>-0.627</v>
      </c>
      <c r="AV21" s="13">
        <v>-2.1999999999999999E-2</v>
      </c>
      <c r="AW21" s="13">
        <v>-0.27200000000000002</v>
      </c>
      <c r="AX21" s="22">
        <v>-1.085</v>
      </c>
      <c r="AY21" s="13">
        <v>-1E-3</v>
      </c>
      <c r="AZ21" s="22">
        <v>0.56899999999999995</v>
      </c>
      <c r="BA21" s="22">
        <v>3.9420000000000002</v>
      </c>
      <c r="BB21" s="22">
        <v>-0.13</v>
      </c>
      <c r="BC21" s="22">
        <v>0.28100000000000003</v>
      </c>
      <c r="BD21" s="22">
        <v>0.192</v>
      </c>
      <c r="BE21" s="22">
        <v>-0.70099999999999996</v>
      </c>
      <c r="BF21" s="22">
        <v>-2.5999999999999999E-2</v>
      </c>
      <c r="BG21" s="22">
        <v>1E-3</v>
      </c>
      <c r="BH21" s="22">
        <v>-0.11</v>
      </c>
      <c r="BI21" s="22">
        <f>-230/1000</f>
        <v>-0.23</v>
      </c>
      <c r="BJ21" s="22">
        <v>0</v>
      </c>
    </row>
    <row r="22" spans="1:62" s="14" customFormat="1">
      <c r="A22" s="46" t="s">
        <v>185</v>
      </c>
      <c r="B22" s="83">
        <v>0</v>
      </c>
      <c r="C22" s="49">
        <v>0</v>
      </c>
      <c r="D22" s="49">
        <v>0</v>
      </c>
      <c r="E22" s="49">
        <v>0</v>
      </c>
      <c r="F22" s="49">
        <v>0</v>
      </c>
      <c r="G22" s="49">
        <v>0</v>
      </c>
      <c r="H22" s="49">
        <v>0</v>
      </c>
      <c r="I22" s="49">
        <v>0</v>
      </c>
      <c r="J22" s="49">
        <v>0</v>
      </c>
      <c r="K22" s="49">
        <v>0</v>
      </c>
      <c r="L22" s="13">
        <f t="shared" si="4"/>
        <v>4.8629999999999995</v>
      </c>
      <c r="M22" s="82">
        <f t="shared" si="6"/>
        <v>3.8439999999999999</v>
      </c>
      <c r="N22" s="79">
        <v>0</v>
      </c>
      <c r="O22" s="13">
        <v>0</v>
      </c>
      <c r="P22" s="13">
        <v>0</v>
      </c>
      <c r="Q22" s="13">
        <f>B22-P22-O22-N22</f>
        <v>0</v>
      </c>
      <c r="R22" s="13">
        <f t="shared" ref="R22:Z22" si="11">C22-Q22-P22-O22</f>
        <v>0</v>
      </c>
      <c r="S22" s="13">
        <f t="shared" si="11"/>
        <v>0</v>
      </c>
      <c r="T22" s="13">
        <f t="shared" si="11"/>
        <v>0</v>
      </c>
      <c r="U22" s="13">
        <f t="shared" si="11"/>
        <v>0</v>
      </c>
      <c r="V22" s="13">
        <f t="shared" si="11"/>
        <v>0</v>
      </c>
      <c r="W22" s="13">
        <f t="shared" si="11"/>
        <v>0</v>
      </c>
      <c r="X22" s="13">
        <f t="shared" si="11"/>
        <v>0</v>
      </c>
      <c r="Y22" s="13">
        <f t="shared" si="11"/>
        <v>0</v>
      </c>
      <c r="Z22" s="13">
        <f t="shared" si="11"/>
        <v>0</v>
      </c>
      <c r="AA22" s="13">
        <f t="shared" ref="AA22:BC22" si="12">N22-Z22-Y22-X22</f>
        <v>0</v>
      </c>
      <c r="AB22" s="13">
        <f t="shared" si="12"/>
        <v>0</v>
      </c>
      <c r="AC22" s="13">
        <f t="shared" si="12"/>
        <v>0</v>
      </c>
      <c r="AD22" s="13">
        <f t="shared" si="12"/>
        <v>0</v>
      </c>
      <c r="AE22" s="13">
        <f t="shared" si="12"/>
        <v>0</v>
      </c>
      <c r="AF22" s="13">
        <f t="shared" si="12"/>
        <v>0</v>
      </c>
      <c r="AG22" s="13">
        <f t="shared" si="12"/>
        <v>0</v>
      </c>
      <c r="AH22" s="13">
        <f t="shared" si="12"/>
        <v>0</v>
      </c>
      <c r="AI22" s="13">
        <f t="shared" si="12"/>
        <v>0</v>
      </c>
      <c r="AJ22" s="13">
        <f t="shared" si="12"/>
        <v>0</v>
      </c>
      <c r="AK22" s="13">
        <f t="shared" si="12"/>
        <v>0</v>
      </c>
      <c r="AL22" s="13">
        <f t="shared" si="12"/>
        <v>0</v>
      </c>
      <c r="AM22" s="13">
        <f t="shared" si="12"/>
        <v>0</v>
      </c>
      <c r="AN22" s="13">
        <f t="shared" si="12"/>
        <v>0</v>
      </c>
      <c r="AO22" s="13">
        <f t="shared" si="12"/>
        <v>0</v>
      </c>
      <c r="AP22" s="13">
        <f t="shared" si="12"/>
        <v>0</v>
      </c>
      <c r="AQ22" s="13">
        <f t="shared" si="12"/>
        <v>0</v>
      </c>
      <c r="AR22" s="13">
        <f t="shared" si="12"/>
        <v>0</v>
      </c>
      <c r="AS22" s="13">
        <f t="shared" si="12"/>
        <v>0</v>
      </c>
      <c r="AT22" s="13">
        <f t="shared" si="12"/>
        <v>0</v>
      </c>
      <c r="AU22" s="13">
        <f t="shared" si="12"/>
        <v>0</v>
      </c>
      <c r="AV22" s="13">
        <f t="shared" si="12"/>
        <v>0</v>
      </c>
      <c r="AW22" s="13">
        <f t="shared" si="12"/>
        <v>0</v>
      </c>
      <c r="AX22" s="13">
        <f t="shared" si="12"/>
        <v>0</v>
      </c>
      <c r="AY22" s="13">
        <f t="shared" si="12"/>
        <v>0</v>
      </c>
      <c r="AZ22" s="13">
        <f t="shared" si="12"/>
        <v>0</v>
      </c>
      <c r="BA22" s="13">
        <f t="shared" si="12"/>
        <v>0</v>
      </c>
      <c r="BB22" s="13">
        <f t="shared" si="12"/>
        <v>0</v>
      </c>
      <c r="BC22" s="13">
        <f t="shared" si="12"/>
        <v>0</v>
      </c>
      <c r="BD22" s="13">
        <v>3.9289999999999998</v>
      </c>
      <c r="BE22" s="13">
        <v>0.93400000000000005</v>
      </c>
      <c r="BF22" s="13">
        <v>-0.78500000000000003</v>
      </c>
      <c r="BG22" s="22">
        <v>2.96</v>
      </c>
      <c r="BH22" s="22">
        <v>0.76900000000000002</v>
      </c>
      <c r="BI22" s="22">
        <f>900/1000</f>
        <v>0.9</v>
      </c>
      <c r="BJ22" s="22">
        <f>2076/1000</f>
        <v>2.0760000000000001</v>
      </c>
    </row>
    <row r="23" spans="1:62" s="14" customFormat="1">
      <c r="A23" s="46"/>
      <c r="B23" s="83"/>
      <c r="C23" s="49"/>
      <c r="D23" s="49"/>
      <c r="E23" s="49"/>
      <c r="F23" s="49"/>
      <c r="G23" s="49"/>
      <c r="H23" s="49"/>
      <c r="I23" s="49"/>
      <c r="J23" s="49"/>
      <c r="K23" s="49"/>
      <c r="L23" s="13"/>
      <c r="M23" s="82"/>
      <c r="N23" s="79"/>
      <c r="O23" s="13"/>
      <c r="P23" s="13"/>
      <c r="Q23" s="13"/>
      <c r="R23" s="69"/>
      <c r="S23" s="69"/>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22"/>
      <c r="AY23" s="13"/>
      <c r="AZ23" s="22"/>
      <c r="BA23" s="22"/>
      <c r="BB23" s="22"/>
      <c r="BC23" s="22"/>
      <c r="BD23" s="22"/>
      <c r="BE23" s="22"/>
      <c r="BF23" s="22"/>
      <c r="BG23" s="22"/>
      <c r="BH23" s="145"/>
      <c r="BI23" s="145"/>
      <c r="BJ23" s="145"/>
    </row>
    <row r="24" spans="1:62" s="14" customFormat="1">
      <c r="A24" s="46" t="s">
        <v>98</v>
      </c>
      <c r="B24" s="83"/>
      <c r="C24" s="49"/>
      <c r="D24" s="49"/>
      <c r="E24" s="49"/>
      <c r="F24" s="49"/>
      <c r="G24" s="49"/>
      <c r="H24" s="49"/>
      <c r="I24" s="49"/>
      <c r="J24" s="49"/>
      <c r="K24" s="49"/>
      <c r="L24" s="13"/>
      <c r="M24" s="82"/>
      <c r="N24" s="79"/>
      <c r="O24" s="13"/>
      <c r="P24" s="13"/>
      <c r="Q24" s="13"/>
      <c r="R24" s="69"/>
      <c r="S24" s="69"/>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22"/>
      <c r="AY24" s="13"/>
      <c r="AZ24" s="22"/>
      <c r="BA24" s="22"/>
      <c r="BB24" s="22"/>
      <c r="BC24" s="22"/>
      <c r="BD24" s="22"/>
      <c r="BE24" s="22"/>
      <c r="BF24" s="22"/>
      <c r="BG24" s="22"/>
      <c r="BH24" s="145"/>
      <c r="BI24" s="145"/>
      <c r="BJ24" s="145"/>
    </row>
    <row r="25" spans="1:62" s="14" customFormat="1">
      <c r="A25" s="46" t="s">
        <v>24</v>
      </c>
      <c r="B25" s="83">
        <v>-15.37</v>
      </c>
      <c r="C25" s="49">
        <f t="shared" ref="C25:C39" si="13">SUM(R25:U25)</f>
        <v>5.5610000000000035</v>
      </c>
      <c r="D25" s="49">
        <f t="shared" ref="D25:D39" si="14">SUM(V25:Y25)</f>
        <v>-48.325999999999993</v>
      </c>
      <c r="E25" s="49">
        <f t="shared" ref="E25:E39" si="15">SUM(Z25:AC25)</f>
        <v>7.5099999999999962</v>
      </c>
      <c r="F25" s="49">
        <f t="shared" ref="F25:F39" si="16">SUM(AD25:AG25)</f>
        <v>34.226999999999997</v>
      </c>
      <c r="G25" s="49">
        <f>SUM(AH25:AK25)</f>
        <v>-108.667</v>
      </c>
      <c r="H25" s="49">
        <f>SUM(AL25:AO25)</f>
        <v>92.355000000000018</v>
      </c>
      <c r="I25" s="49">
        <f t="shared" ref="I25:I40" si="17">SUM(AP25:AS25)</f>
        <v>-107.38</v>
      </c>
      <c r="J25" s="49">
        <f>SUM(AT25:AW25)</f>
        <v>33.577000000000012</v>
      </c>
      <c r="K25" s="49">
        <f t="shared" ref="K25:K40" si="18">SUM(AX25:BA25)</f>
        <v>48.347000000000008</v>
      </c>
      <c r="L25" s="13">
        <f t="shared" ref="L25:L40" si="19">SUM(BB25:BE25)</f>
        <v>27.593999999999998</v>
      </c>
      <c r="M25" s="82">
        <f t="shared" si="6"/>
        <v>-13.86</v>
      </c>
      <c r="N25" s="79">
        <v>-5.9880000000000004</v>
      </c>
      <c r="O25" s="13">
        <v>17.491</v>
      </c>
      <c r="P25" s="13">
        <v>-11.219000000000001</v>
      </c>
      <c r="Q25" s="13">
        <f>B25-P25-O25-N25</f>
        <v>-15.653999999999996</v>
      </c>
      <c r="R25" s="69">
        <v>14.085000000000001</v>
      </c>
      <c r="S25" s="69">
        <v>-20.956</v>
      </c>
      <c r="T25" s="13">
        <v>-9.6769999999999996</v>
      </c>
      <c r="U25" s="13">
        <v>22.109000000000002</v>
      </c>
      <c r="V25" s="13">
        <v>-12.425000000000001</v>
      </c>
      <c r="W25" s="13">
        <v>-52.533999999999999</v>
      </c>
      <c r="X25" s="13">
        <v>-1.7250000000000001</v>
      </c>
      <c r="Y25" s="13">
        <v>18.358000000000001</v>
      </c>
      <c r="Z25" s="13">
        <v>15.574</v>
      </c>
      <c r="AA25" s="13">
        <v>-58.404000000000003</v>
      </c>
      <c r="AB25" s="13">
        <v>61.036000000000001</v>
      </c>
      <c r="AC25" s="13">
        <v>-10.696</v>
      </c>
      <c r="AD25" s="13">
        <v>4.4379999999999997</v>
      </c>
      <c r="AE25" s="13">
        <v>27.727</v>
      </c>
      <c r="AF25" s="13">
        <v>-27.545000000000002</v>
      </c>
      <c r="AG25" s="13">
        <v>29.606999999999999</v>
      </c>
      <c r="AH25" s="13">
        <v>-6.2169999999999996</v>
      </c>
      <c r="AI25" s="13">
        <v>-7.6539999999999999</v>
      </c>
      <c r="AJ25" s="13">
        <v>-38.738999999999997</v>
      </c>
      <c r="AK25" s="13">
        <v>-56.057000000000002</v>
      </c>
      <c r="AL25" s="13">
        <v>69.253</v>
      </c>
      <c r="AM25" s="13">
        <v>23.01</v>
      </c>
      <c r="AN25" s="13">
        <v>-5.9569999999999999</v>
      </c>
      <c r="AO25" s="13">
        <v>6.0490000000000004</v>
      </c>
      <c r="AP25" s="13">
        <v>-22.736999999999998</v>
      </c>
      <c r="AQ25" s="13">
        <v>-59.573</v>
      </c>
      <c r="AR25" s="13">
        <v>26.102</v>
      </c>
      <c r="AS25" s="13">
        <v>-51.171999999999997</v>
      </c>
      <c r="AT25" s="13">
        <v>40.466000000000001</v>
      </c>
      <c r="AU25" s="13">
        <v>82.69</v>
      </c>
      <c r="AV25" s="13">
        <v>-54.469000000000001</v>
      </c>
      <c r="AW25" s="13">
        <v>-35.11</v>
      </c>
      <c r="AX25" s="22">
        <v>55.692</v>
      </c>
      <c r="AY25" s="13">
        <v>28.199000000000002</v>
      </c>
      <c r="AZ25" s="22">
        <v>-28.942</v>
      </c>
      <c r="BA25" s="22">
        <v>-6.6020000000000003</v>
      </c>
      <c r="BB25" s="22">
        <v>27.946999999999999</v>
      </c>
      <c r="BC25" s="22">
        <v>0</v>
      </c>
      <c r="BD25" s="22">
        <v>0</v>
      </c>
      <c r="BE25" s="22">
        <v>-0.35299999999999998</v>
      </c>
      <c r="BF25" s="22">
        <v>6.0540000000000003</v>
      </c>
      <c r="BG25" s="22">
        <v>0.52</v>
      </c>
      <c r="BH25" s="22">
        <v>-6.3959999999999999</v>
      </c>
      <c r="BI25" s="22">
        <f>-14038/1000</f>
        <v>-14.038</v>
      </c>
      <c r="BJ25" s="22">
        <f>-46014/1000</f>
        <v>-46.014000000000003</v>
      </c>
    </row>
    <row r="26" spans="1:62" s="14" customFormat="1">
      <c r="A26" s="46" t="s">
        <v>25</v>
      </c>
      <c r="B26" s="83">
        <v>0.40400000000000003</v>
      </c>
      <c r="C26" s="49">
        <f t="shared" si="13"/>
        <v>-1.087</v>
      </c>
      <c r="D26" s="49">
        <f t="shared" si="14"/>
        <v>0.94400000000000006</v>
      </c>
      <c r="E26" s="49">
        <f t="shared" si="15"/>
        <v>-0.84499999999999997</v>
      </c>
      <c r="F26" s="49">
        <f t="shared" si="16"/>
        <v>1.4969999999999999</v>
      </c>
      <c r="G26" s="49">
        <f>SUM(AH26:AK26)</f>
        <v>-0.95200000000000007</v>
      </c>
      <c r="H26" s="49">
        <f>SUM(AL26:AO26)</f>
        <v>9.8999999999999977E-2</v>
      </c>
      <c r="I26" s="49">
        <f t="shared" si="17"/>
        <v>0.25100000000000006</v>
      </c>
      <c r="J26" s="49">
        <f>SUM(AT26:AW26)</f>
        <v>-0.74</v>
      </c>
      <c r="K26" s="49">
        <f t="shared" si="18"/>
        <v>7.8E-2</v>
      </c>
      <c r="L26" s="13">
        <f t="shared" si="19"/>
        <v>10.632000000000001</v>
      </c>
      <c r="M26" s="82">
        <f t="shared" si="6"/>
        <v>0.10400000000000001</v>
      </c>
      <c r="N26" s="79">
        <v>2.1999999999999999E-2</v>
      </c>
      <c r="O26" s="13">
        <v>0.25700000000000001</v>
      </c>
      <c r="P26" s="13">
        <v>0.20699999999999999</v>
      </c>
      <c r="Q26" s="13">
        <f>B26-P26-O26-N26</f>
        <v>-8.1999999999999962E-2</v>
      </c>
      <c r="R26" s="69">
        <v>-0.03</v>
      </c>
      <c r="S26" s="69">
        <v>-0.06</v>
      </c>
      <c r="T26" s="13">
        <v>-1.0569999999999999</v>
      </c>
      <c r="U26" s="13">
        <v>0.06</v>
      </c>
      <c r="V26" s="13">
        <v>0.38400000000000001</v>
      </c>
      <c r="W26" s="13">
        <v>0.13100000000000001</v>
      </c>
      <c r="X26" s="13">
        <v>0.16</v>
      </c>
      <c r="Y26" s="13">
        <v>0.26900000000000002</v>
      </c>
      <c r="Z26" s="13">
        <v>-0.65100000000000002</v>
      </c>
      <c r="AA26" s="13">
        <v>0.36199999999999999</v>
      </c>
      <c r="AB26" s="13">
        <v>-0.35099999999999998</v>
      </c>
      <c r="AC26" s="13">
        <v>-0.20499999999999999</v>
      </c>
      <c r="AD26" s="13">
        <v>-0.218</v>
      </c>
      <c r="AE26" s="13">
        <v>-0.23300000000000001</v>
      </c>
      <c r="AF26" s="13">
        <v>-0.04</v>
      </c>
      <c r="AG26" s="13">
        <v>1.988</v>
      </c>
      <c r="AH26" s="13">
        <v>-1.381</v>
      </c>
      <c r="AI26" s="13">
        <v>1.0589999999999999</v>
      </c>
      <c r="AJ26" s="13">
        <v>-0.64100000000000001</v>
      </c>
      <c r="AK26" s="13">
        <v>1.0999999999999999E-2</v>
      </c>
      <c r="AL26" s="13">
        <v>-1.577</v>
      </c>
      <c r="AM26" s="13">
        <v>0.73499999999999999</v>
      </c>
      <c r="AN26" s="13">
        <v>0.23899999999999999</v>
      </c>
      <c r="AO26" s="13">
        <v>0.70199999999999996</v>
      </c>
      <c r="AP26" s="13">
        <v>-0.41099999999999998</v>
      </c>
      <c r="AQ26" s="13">
        <v>2.1999999999999999E-2</v>
      </c>
      <c r="AR26" s="13">
        <v>0.61499999999999999</v>
      </c>
      <c r="AS26" s="13">
        <v>2.5000000000000001E-2</v>
      </c>
      <c r="AT26" s="13">
        <v>5.1999999999999998E-2</v>
      </c>
      <c r="AU26" s="13">
        <v>-6.9000000000000006E-2</v>
      </c>
      <c r="AV26" s="13">
        <v>-0.72399999999999998</v>
      </c>
      <c r="AW26" s="13">
        <v>1E-3</v>
      </c>
      <c r="AX26" s="22">
        <v>0.128</v>
      </c>
      <c r="AY26" s="13">
        <v>-0.26200000000000001</v>
      </c>
      <c r="AZ26" s="22">
        <v>0.20100000000000001</v>
      </c>
      <c r="BA26" s="22">
        <v>1.0999999999999999E-2</v>
      </c>
      <c r="BB26" s="22">
        <v>0.24</v>
      </c>
      <c r="BC26" s="22">
        <v>14.845000000000001</v>
      </c>
      <c r="BD26" s="22">
        <v>-4.5279999999999996</v>
      </c>
      <c r="BE26" s="22">
        <v>7.4999999999999997E-2</v>
      </c>
      <c r="BF26" s="22">
        <v>-4.3999999999999997E-2</v>
      </c>
      <c r="BG26" s="22">
        <v>2.1999999999999999E-2</v>
      </c>
      <c r="BH26" s="22">
        <v>-0.122</v>
      </c>
      <c r="BI26" s="22">
        <f>248/1000</f>
        <v>0.248</v>
      </c>
      <c r="BJ26" s="22">
        <f>-8017/1000</f>
        <v>-8.0169999999999995</v>
      </c>
    </row>
    <row r="27" spans="1:62" s="14" customFormat="1">
      <c r="A27" s="46" t="s">
        <v>152</v>
      </c>
      <c r="B27" s="83">
        <v>0</v>
      </c>
      <c r="C27" s="49">
        <v>0</v>
      </c>
      <c r="D27" s="49">
        <v>0</v>
      </c>
      <c r="E27" s="49">
        <v>0</v>
      </c>
      <c r="F27" s="49">
        <v>0</v>
      </c>
      <c r="G27" s="49">
        <v>0</v>
      </c>
      <c r="H27" s="49">
        <v>0</v>
      </c>
      <c r="I27" s="49">
        <f t="shared" si="17"/>
        <v>0</v>
      </c>
      <c r="J27" s="49">
        <v>0</v>
      </c>
      <c r="K27" s="49">
        <f t="shared" si="18"/>
        <v>0</v>
      </c>
      <c r="L27" s="13">
        <f t="shared" si="19"/>
        <v>8.9999999999999993E-3</v>
      </c>
      <c r="M27" s="82">
        <f t="shared" si="6"/>
        <v>0</v>
      </c>
      <c r="N27" s="79">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0.55300000000000005</v>
      </c>
      <c r="AM27" s="13">
        <v>0</v>
      </c>
      <c r="AN27" s="13">
        <v>0</v>
      </c>
      <c r="AO27" s="13">
        <v>-0.55300000000000005</v>
      </c>
      <c r="AP27" s="13">
        <v>0</v>
      </c>
      <c r="AQ27" s="13">
        <v>0</v>
      </c>
      <c r="AR27" s="13">
        <v>0</v>
      </c>
      <c r="AS27" s="13">
        <v>0</v>
      </c>
      <c r="AT27" s="13">
        <v>0</v>
      </c>
      <c r="AU27" s="13">
        <v>0</v>
      </c>
      <c r="AV27" s="13">
        <v>0</v>
      </c>
      <c r="AW27" s="13">
        <v>0</v>
      </c>
      <c r="AX27" s="22">
        <v>0</v>
      </c>
      <c r="AY27" s="13">
        <v>0</v>
      </c>
      <c r="AZ27" s="22">
        <v>0</v>
      </c>
      <c r="BA27" s="22">
        <v>0</v>
      </c>
      <c r="BB27" s="22">
        <v>0</v>
      </c>
      <c r="BC27" s="22">
        <v>8.9999999999999993E-3</v>
      </c>
      <c r="BD27" s="22">
        <v>0</v>
      </c>
      <c r="BE27" s="22">
        <v>0</v>
      </c>
      <c r="BF27" s="22">
        <v>0</v>
      </c>
      <c r="BG27" s="22">
        <v>0</v>
      </c>
      <c r="BH27" s="22">
        <v>0</v>
      </c>
      <c r="BI27" s="22">
        <v>0</v>
      </c>
      <c r="BJ27" s="22">
        <v>0</v>
      </c>
    </row>
    <row r="28" spans="1:62" s="14" customFormat="1">
      <c r="A28" s="46" t="s">
        <v>66</v>
      </c>
      <c r="B28" s="83">
        <v>2.552</v>
      </c>
      <c r="C28" s="49">
        <f t="shared" si="13"/>
        <v>1.7469999999999999</v>
      </c>
      <c r="D28" s="49">
        <f t="shared" si="14"/>
        <v>-7.8010000000000002</v>
      </c>
      <c r="E28" s="49">
        <f t="shared" si="15"/>
        <v>-5.6459999999999999</v>
      </c>
      <c r="F28" s="49">
        <f t="shared" si="16"/>
        <v>-11.753</v>
      </c>
      <c r="G28" s="49">
        <f t="shared" ref="G28:G39" si="20">SUM(AH28:AK28)</f>
        <v>-2.863</v>
      </c>
      <c r="H28" s="49">
        <f t="shared" ref="H28:H39" si="21">SUM(AL28:AO28)</f>
        <v>6.5209999999999999</v>
      </c>
      <c r="I28" s="49">
        <f t="shared" si="17"/>
        <v>-2.1550000000000002</v>
      </c>
      <c r="J28" s="49">
        <f t="shared" ref="J28:J39" si="22">SUM(AT28:AW28)</f>
        <v>0.73300000000000054</v>
      </c>
      <c r="K28" s="49">
        <f t="shared" si="18"/>
        <v>-5.2619999999999996</v>
      </c>
      <c r="L28" s="13">
        <f t="shared" si="19"/>
        <v>-5.2050000000000001</v>
      </c>
      <c r="M28" s="82">
        <f t="shared" si="6"/>
        <v>-5.8349999999999991</v>
      </c>
      <c r="N28" s="79">
        <v>0.70699999999999996</v>
      </c>
      <c r="O28" s="13">
        <v>3.9210000000000003</v>
      </c>
      <c r="P28" s="13">
        <v>-1.9380000000000002</v>
      </c>
      <c r="Q28" s="13">
        <f t="shared" ref="Q28:Q39" si="23">B28-P28-O28-N28</f>
        <v>-0.13800000000000001</v>
      </c>
      <c r="R28" s="69">
        <v>-1.452</v>
      </c>
      <c r="S28" s="69">
        <v>4.5339999999999998</v>
      </c>
      <c r="T28" s="13">
        <v>-1.9730000000000001</v>
      </c>
      <c r="U28" s="13">
        <v>0.63800000000000001</v>
      </c>
      <c r="V28" s="13">
        <v>-1.857</v>
      </c>
      <c r="W28" s="13">
        <v>2.0169999999999999</v>
      </c>
      <c r="X28" s="13">
        <v>-3.173</v>
      </c>
      <c r="Y28" s="13">
        <v>-4.7880000000000003</v>
      </c>
      <c r="Z28" s="13">
        <v>-2.3250000000000002</v>
      </c>
      <c r="AA28" s="13">
        <v>-0.36899999999999999</v>
      </c>
      <c r="AB28" s="13">
        <v>-3.5000000000000003E-2</v>
      </c>
      <c r="AC28" s="13">
        <v>-2.9169999999999998</v>
      </c>
      <c r="AD28" s="13">
        <v>-5.1040000000000001</v>
      </c>
      <c r="AE28" s="13">
        <v>-0.52300000000000002</v>
      </c>
      <c r="AF28" s="13">
        <v>-2.7240000000000002</v>
      </c>
      <c r="AG28" s="13">
        <v>-3.4020000000000001</v>
      </c>
      <c r="AH28" s="13">
        <v>2.1859999999999999</v>
      </c>
      <c r="AI28" s="13">
        <v>2.5379999999999998</v>
      </c>
      <c r="AJ28" s="13">
        <v>-2.0169999999999999</v>
      </c>
      <c r="AK28" s="13">
        <v>-5.57</v>
      </c>
      <c r="AL28" s="13">
        <v>0.86</v>
      </c>
      <c r="AM28" s="13">
        <v>-3.2000000000000001E-2</v>
      </c>
      <c r="AN28" s="13">
        <v>-1.8089999999999999</v>
      </c>
      <c r="AO28" s="13">
        <v>7.5019999999999998</v>
      </c>
      <c r="AP28" s="13">
        <v>-3.7770000000000001</v>
      </c>
      <c r="AQ28" s="13">
        <v>3.544</v>
      </c>
      <c r="AR28" s="13">
        <v>-1.1020000000000001</v>
      </c>
      <c r="AS28" s="13">
        <v>-0.82</v>
      </c>
      <c r="AT28" s="13">
        <v>-0.73899999999999999</v>
      </c>
      <c r="AU28" s="13">
        <v>-4.3479999999999999</v>
      </c>
      <c r="AV28" s="13">
        <v>-4.5339999999999998</v>
      </c>
      <c r="AW28" s="13">
        <v>10.353999999999999</v>
      </c>
      <c r="AX28" s="22">
        <v>-1.9179999999999999</v>
      </c>
      <c r="AY28" s="13">
        <v>-2.4119999999999999</v>
      </c>
      <c r="AZ28" s="22">
        <v>-1.2410000000000001</v>
      </c>
      <c r="BA28" s="22">
        <v>0.309</v>
      </c>
      <c r="BB28" s="22">
        <v>-3.516</v>
      </c>
      <c r="BC28" s="22">
        <v>0</v>
      </c>
      <c r="BD28" s="22">
        <v>0</v>
      </c>
      <c r="BE28" s="22">
        <v>-1.6890000000000001</v>
      </c>
      <c r="BF28" s="22">
        <v>-1.448</v>
      </c>
      <c r="BG28" s="22">
        <v>-4.4409999999999998</v>
      </c>
      <c r="BH28" s="22">
        <v>1.0999999999999999E-2</v>
      </c>
      <c r="BI28" s="22">
        <f>43/1000</f>
        <v>4.2999999999999997E-2</v>
      </c>
      <c r="BJ28" s="22">
        <f>-3653/1000</f>
        <v>-3.653</v>
      </c>
    </row>
    <row r="29" spans="1:62" s="14" customFormat="1">
      <c r="A29" s="46" t="s">
        <v>27</v>
      </c>
      <c r="B29" s="83">
        <v>16.329000000000001</v>
      </c>
      <c r="C29" s="49">
        <f t="shared" si="13"/>
        <v>-2.5030000000000001</v>
      </c>
      <c r="D29" s="49">
        <f t="shared" si="14"/>
        <v>-1.4600000000000009</v>
      </c>
      <c r="E29" s="49">
        <f t="shared" si="15"/>
        <v>-30.280999999999999</v>
      </c>
      <c r="F29" s="49">
        <f t="shared" si="16"/>
        <v>29.747</v>
      </c>
      <c r="G29" s="49">
        <f t="shared" si="20"/>
        <v>-19.356000000000002</v>
      </c>
      <c r="H29" s="49">
        <f t="shared" si="21"/>
        <v>11.895999999999999</v>
      </c>
      <c r="I29" s="49">
        <f t="shared" si="17"/>
        <v>3.0809999999999995</v>
      </c>
      <c r="J29" s="49">
        <f t="shared" si="22"/>
        <v>-24.873999999999999</v>
      </c>
      <c r="K29" s="49">
        <f t="shared" si="18"/>
        <v>26.459</v>
      </c>
      <c r="L29" s="13">
        <f t="shared" si="19"/>
        <v>-0.85399999999999987</v>
      </c>
      <c r="M29" s="82">
        <f t="shared" si="6"/>
        <v>0.72800000000000009</v>
      </c>
      <c r="N29" s="79">
        <v>2.5579999999999998</v>
      </c>
      <c r="O29" s="13">
        <v>8.0519999999999996</v>
      </c>
      <c r="P29" s="13">
        <v>3.3930000000000007</v>
      </c>
      <c r="Q29" s="13">
        <f t="shared" si="23"/>
        <v>2.3260000000000005</v>
      </c>
      <c r="R29" s="69">
        <v>-8.9879999999999995</v>
      </c>
      <c r="S29" s="69">
        <v>6.7640000000000002</v>
      </c>
      <c r="T29" s="13">
        <v>-21.734999999999999</v>
      </c>
      <c r="U29" s="13">
        <v>21.456</v>
      </c>
      <c r="V29" s="13">
        <v>-9.7940000000000005</v>
      </c>
      <c r="W29" s="13">
        <v>-2.0539999999999998</v>
      </c>
      <c r="X29" s="13">
        <v>4.4790000000000001</v>
      </c>
      <c r="Y29" s="13">
        <v>5.9089999999999998</v>
      </c>
      <c r="Z29" s="13">
        <v>-18.419</v>
      </c>
      <c r="AA29" s="13">
        <v>1.1819999999999999</v>
      </c>
      <c r="AB29" s="13">
        <v>-7.2549999999999999</v>
      </c>
      <c r="AC29" s="13">
        <v>-5.7889999999999997</v>
      </c>
      <c r="AD29" s="13">
        <v>5.9340000000000002</v>
      </c>
      <c r="AE29" s="13">
        <v>13.135999999999999</v>
      </c>
      <c r="AF29" s="13">
        <v>6.2889999999999997</v>
      </c>
      <c r="AG29" s="13">
        <v>4.3879999999999999</v>
      </c>
      <c r="AH29" s="13">
        <v>-2.1709999999999998</v>
      </c>
      <c r="AI29" s="13">
        <v>3.1480000000000001</v>
      </c>
      <c r="AJ29" s="13">
        <v>-6.1509999999999998</v>
      </c>
      <c r="AK29" s="13">
        <v>-14.182</v>
      </c>
      <c r="AL29" s="13">
        <v>5.3869999999999996</v>
      </c>
      <c r="AM29" s="13">
        <v>2.0409999999999999</v>
      </c>
      <c r="AN29" s="13">
        <v>3.1160000000000001</v>
      </c>
      <c r="AO29" s="13">
        <v>1.3520000000000001</v>
      </c>
      <c r="AP29" s="13">
        <v>2.9620000000000002</v>
      </c>
      <c r="AQ29" s="13">
        <v>-26.632999999999999</v>
      </c>
      <c r="AR29" s="13">
        <v>0.94699999999999995</v>
      </c>
      <c r="AS29" s="13">
        <v>25.805</v>
      </c>
      <c r="AT29" s="13">
        <v>-3.077</v>
      </c>
      <c r="AU29" s="13">
        <v>0.7</v>
      </c>
      <c r="AV29" s="13">
        <v>-5.4720000000000004</v>
      </c>
      <c r="AW29" s="13">
        <v>-17.024999999999999</v>
      </c>
      <c r="AX29" s="22">
        <v>22.085000000000001</v>
      </c>
      <c r="AY29" s="13">
        <v>2.6909999999999998</v>
      </c>
      <c r="AZ29" s="22">
        <v>1.744</v>
      </c>
      <c r="BA29" s="22">
        <v>-6.0999999999999999E-2</v>
      </c>
      <c r="BB29" s="22">
        <v>-0.61599999999999999</v>
      </c>
      <c r="BC29" s="22">
        <v>-0.79800000000000004</v>
      </c>
      <c r="BD29" s="22">
        <v>-0.88100000000000001</v>
      </c>
      <c r="BE29" s="22">
        <v>1.4410000000000001</v>
      </c>
      <c r="BF29" s="22">
        <v>0.54400000000000004</v>
      </c>
      <c r="BG29" s="22">
        <v>0.23899999999999999</v>
      </c>
      <c r="BH29" s="22">
        <v>4.2999999999999997E-2</v>
      </c>
      <c r="BI29" s="22">
        <f>-98/1000</f>
        <v>-9.8000000000000004E-2</v>
      </c>
      <c r="BJ29" s="22">
        <f>-2475/1000</f>
        <v>-2.4750000000000001</v>
      </c>
    </row>
    <row r="30" spans="1:62" s="14" customFormat="1">
      <c r="A30" s="46" t="s">
        <v>28</v>
      </c>
      <c r="B30" s="83">
        <v>0.13700000000000001</v>
      </c>
      <c r="C30" s="49">
        <f t="shared" si="13"/>
        <v>-2.5340000000000003</v>
      </c>
      <c r="D30" s="49">
        <f t="shared" si="14"/>
        <v>2.2989999999999999</v>
      </c>
      <c r="E30" s="49">
        <f t="shared" si="15"/>
        <v>-3.6720000000000002</v>
      </c>
      <c r="F30" s="49">
        <f t="shared" si="16"/>
        <v>1.6739999999999999</v>
      </c>
      <c r="G30" s="49">
        <f t="shared" si="20"/>
        <v>-2.0429999999999993</v>
      </c>
      <c r="H30" s="49">
        <f t="shared" si="21"/>
        <v>-0.86800000000000033</v>
      </c>
      <c r="I30" s="49">
        <f t="shared" si="17"/>
        <v>-13.084999999999999</v>
      </c>
      <c r="J30" s="49">
        <f t="shared" si="22"/>
        <v>-15.084999999999999</v>
      </c>
      <c r="K30" s="49">
        <f t="shared" si="18"/>
        <v>1.6170000000000002</v>
      </c>
      <c r="L30" s="13">
        <f t="shared" si="19"/>
        <v>6.298</v>
      </c>
      <c r="M30" s="82">
        <f t="shared" si="6"/>
        <v>1.4000000000000012E-2</v>
      </c>
      <c r="N30" s="79">
        <v>0.61499999999999999</v>
      </c>
      <c r="O30" s="13">
        <v>-1.7749999999999999</v>
      </c>
      <c r="P30" s="13">
        <v>-5.7210000000000001</v>
      </c>
      <c r="Q30" s="13">
        <f t="shared" si="23"/>
        <v>7.0180000000000007</v>
      </c>
      <c r="R30" s="69">
        <v>0.85399999999999998</v>
      </c>
      <c r="S30" s="69">
        <v>0.8</v>
      </c>
      <c r="T30" s="13">
        <v>-0.75800000000000001</v>
      </c>
      <c r="U30" s="13">
        <v>-3.43</v>
      </c>
      <c r="V30" s="13">
        <v>3.3109999999999999</v>
      </c>
      <c r="W30" s="13">
        <v>-6.8739999999999997</v>
      </c>
      <c r="X30" s="13">
        <v>1.2909999999999999</v>
      </c>
      <c r="Y30" s="13">
        <v>4.5709999999999997</v>
      </c>
      <c r="Z30" s="13">
        <v>-4.1669999999999998</v>
      </c>
      <c r="AA30" s="13">
        <v>-2.31</v>
      </c>
      <c r="AB30" s="13">
        <v>1.0720000000000001</v>
      </c>
      <c r="AC30" s="13">
        <v>1.7330000000000001</v>
      </c>
      <c r="AD30" s="13">
        <v>-0.13100000000000001</v>
      </c>
      <c r="AE30" s="13">
        <v>-0.34100000000000003</v>
      </c>
      <c r="AF30" s="13">
        <v>-0.495</v>
      </c>
      <c r="AG30" s="13">
        <v>2.641</v>
      </c>
      <c r="AH30" s="13">
        <v>-2.7040000000000002</v>
      </c>
      <c r="AI30" s="13">
        <v>-4.2350000000000003</v>
      </c>
      <c r="AJ30" s="13">
        <v>-1.581</v>
      </c>
      <c r="AK30" s="13">
        <v>6.4770000000000003</v>
      </c>
      <c r="AL30" s="13">
        <v>-2.464</v>
      </c>
      <c r="AM30" s="13">
        <v>1.6060000000000001</v>
      </c>
      <c r="AN30" s="13">
        <v>-8.1449999999999996</v>
      </c>
      <c r="AO30" s="13">
        <v>8.1349999999999998</v>
      </c>
      <c r="AP30" s="13">
        <v>-8.9909999999999997</v>
      </c>
      <c r="AQ30" s="13">
        <v>2.3140000000000001</v>
      </c>
      <c r="AR30" s="13">
        <v>-2.6480000000000001</v>
      </c>
      <c r="AS30" s="13">
        <v>-3.76</v>
      </c>
      <c r="AT30" s="13">
        <v>-4.702</v>
      </c>
      <c r="AU30" s="13">
        <v>-1.508</v>
      </c>
      <c r="AV30" s="13">
        <v>-0.46</v>
      </c>
      <c r="AW30" s="13">
        <v>-8.4149999999999991</v>
      </c>
      <c r="AX30" s="22">
        <v>3.0739999999999998</v>
      </c>
      <c r="AY30" s="13">
        <v>-0.35299999999999998</v>
      </c>
      <c r="AZ30" s="22">
        <v>-0.84799999999999998</v>
      </c>
      <c r="BA30" s="22">
        <v>-0.25600000000000001</v>
      </c>
      <c r="BB30" s="22">
        <v>4.3890000000000002</v>
      </c>
      <c r="BC30" s="22">
        <v>-0.45300000000000001</v>
      </c>
      <c r="BD30" s="22">
        <v>1.121</v>
      </c>
      <c r="BE30" s="22">
        <v>1.2410000000000001</v>
      </c>
      <c r="BF30" s="22">
        <v>-1.1639999999999999</v>
      </c>
      <c r="BG30" s="22">
        <v>1.002</v>
      </c>
      <c r="BH30" s="22">
        <v>0.85899999999999999</v>
      </c>
      <c r="BI30" s="22">
        <f>-683/1000</f>
        <v>-0.68300000000000005</v>
      </c>
      <c r="BJ30" s="22">
        <f>-5787/1000</f>
        <v>-5.7869999999999999</v>
      </c>
    </row>
    <row r="31" spans="1:62" s="14" customFormat="1">
      <c r="A31" s="46" t="s">
        <v>32</v>
      </c>
      <c r="B31" s="83">
        <v>-0.63500000000000001</v>
      </c>
      <c r="C31" s="49">
        <f t="shared" si="13"/>
        <v>-1.2519999999999998</v>
      </c>
      <c r="D31" s="49">
        <f t="shared" si="14"/>
        <v>-1.6629999999999998</v>
      </c>
      <c r="E31" s="49">
        <f t="shared" si="15"/>
        <v>-0.998</v>
      </c>
      <c r="F31" s="49">
        <f t="shared" si="16"/>
        <v>-2.6120000000000001</v>
      </c>
      <c r="G31" s="49">
        <f t="shared" si="20"/>
        <v>-14.367999999999999</v>
      </c>
      <c r="H31" s="49">
        <f t="shared" si="21"/>
        <v>-1.2799999999999998</v>
      </c>
      <c r="I31" s="49">
        <f t="shared" si="17"/>
        <v>6.3E-2</v>
      </c>
      <c r="J31" s="49">
        <f t="shared" si="22"/>
        <v>14.166</v>
      </c>
      <c r="K31" s="49">
        <f t="shared" si="18"/>
        <v>0.25600000000000006</v>
      </c>
      <c r="L31" s="13">
        <f t="shared" si="19"/>
        <v>-2.0910000000000002</v>
      </c>
      <c r="M31" s="82">
        <f t="shared" si="6"/>
        <v>-1.196</v>
      </c>
      <c r="N31" s="79">
        <v>-0.223</v>
      </c>
      <c r="O31" s="13">
        <v>-7.1999999999999981E-2</v>
      </c>
      <c r="P31" s="13">
        <v>-0.14399999999999999</v>
      </c>
      <c r="Q31" s="13">
        <f t="shared" si="23"/>
        <v>-0.19600000000000004</v>
      </c>
      <c r="R31" s="69">
        <v>-0.35199999999999998</v>
      </c>
      <c r="S31" s="69">
        <v>-0.69399999999999995</v>
      </c>
      <c r="T31" s="13">
        <v>-0.59</v>
      </c>
      <c r="U31" s="13">
        <v>0.38400000000000001</v>
      </c>
      <c r="V31" s="13">
        <v>6.4000000000000001E-2</v>
      </c>
      <c r="W31" s="13">
        <v>-5.8000000000000003E-2</v>
      </c>
      <c r="X31" s="13">
        <v>-0.83299999999999996</v>
      </c>
      <c r="Y31" s="13">
        <v>-0.83599999999999997</v>
      </c>
      <c r="Z31" s="13">
        <v>2.5999999999999999E-2</v>
      </c>
      <c r="AA31" s="13">
        <v>-3.5999999999999997E-2</v>
      </c>
      <c r="AB31" s="13">
        <v>-0.78400000000000003</v>
      </c>
      <c r="AC31" s="13">
        <v>-0.20399999999999999</v>
      </c>
      <c r="AD31" s="13">
        <v>-3.08</v>
      </c>
      <c r="AE31" s="13">
        <v>-0.36799999999999999</v>
      </c>
      <c r="AF31" s="13">
        <v>-0.127</v>
      </c>
      <c r="AG31" s="13">
        <v>0.96299999999999997</v>
      </c>
      <c r="AH31" s="13">
        <v>-13.827999999999999</v>
      </c>
      <c r="AI31" s="13">
        <v>0.11799999999999999</v>
      </c>
      <c r="AJ31" s="13">
        <v>0.8</v>
      </c>
      <c r="AK31" s="13">
        <v>-1.458</v>
      </c>
      <c r="AL31" s="13">
        <v>-1.008</v>
      </c>
      <c r="AM31" s="13">
        <v>-0.182</v>
      </c>
      <c r="AN31" s="13">
        <v>-0.19</v>
      </c>
      <c r="AO31" s="13">
        <v>0.1</v>
      </c>
      <c r="AP31" s="13">
        <v>-0.34</v>
      </c>
      <c r="AQ31" s="13">
        <v>8.3000000000000004E-2</v>
      </c>
      <c r="AR31" s="13">
        <v>0.751</v>
      </c>
      <c r="AS31" s="13">
        <v>-0.43099999999999999</v>
      </c>
      <c r="AT31" s="13">
        <v>0.21199999999999999</v>
      </c>
      <c r="AU31" s="13">
        <v>-1.5920000000000001</v>
      </c>
      <c r="AV31" s="13">
        <v>15.89</v>
      </c>
      <c r="AW31" s="13">
        <v>-0.34399999999999997</v>
      </c>
      <c r="AX31" s="22">
        <v>-0.34799999999999998</v>
      </c>
      <c r="AY31" s="13">
        <v>0.20300000000000001</v>
      </c>
      <c r="AZ31" s="22">
        <v>0.442</v>
      </c>
      <c r="BA31" s="22">
        <v>-4.1000000000000002E-2</v>
      </c>
      <c r="BB31" s="22">
        <v>-0.04</v>
      </c>
      <c r="BC31" s="22">
        <v>-0.20100000000000001</v>
      </c>
      <c r="BD31" s="22">
        <v>-2.9729999999999999</v>
      </c>
      <c r="BE31" s="22">
        <v>1.123</v>
      </c>
      <c r="BF31" s="22">
        <v>-0.20200000000000001</v>
      </c>
      <c r="BG31" s="22">
        <v>7.6999999999999999E-2</v>
      </c>
      <c r="BH31" s="22">
        <v>-0.214</v>
      </c>
      <c r="BI31" s="22">
        <f>-857/1000</f>
        <v>-0.85699999999999998</v>
      </c>
      <c r="BJ31" s="22">
        <f>-115/1000</f>
        <v>-0.115</v>
      </c>
    </row>
    <row r="32" spans="1:62" s="14" customFormat="1">
      <c r="A32" s="46" t="s">
        <v>99</v>
      </c>
      <c r="B32" s="83">
        <v>-11.798</v>
      </c>
      <c r="C32" s="49">
        <f t="shared" si="13"/>
        <v>-17.129000000000001</v>
      </c>
      <c r="D32" s="49">
        <f t="shared" si="14"/>
        <v>24.725999999999985</v>
      </c>
      <c r="E32" s="49">
        <f t="shared" si="15"/>
        <v>-37.000999999999998</v>
      </c>
      <c r="F32" s="49">
        <f t="shared" si="16"/>
        <v>35.102999999999994</v>
      </c>
      <c r="G32" s="49">
        <f t="shared" si="20"/>
        <v>-59.540999999999997</v>
      </c>
      <c r="H32" s="49">
        <f t="shared" si="21"/>
        <v>47.287999999999997</v>
      </c>
      <c r="I32" s="49">
        <f t="shared" si="17"/>
        <v>-12.192</v>
      </c>
      <c r="J32" s="49">
        <f t="shared" si="22"/>
        <v>-7.8569999999999993</v>
      </c>
      <c r="K32" s="49">
        <f t="shared" si="18"/>
        <v>-4.8099999999999987</v>
      </c>
      <c r="L32" s="13">
        <f t="shared" si="19"/>
        <v>-14.372999999999994</v>
      </c>
      <c r="M32" s="82">
        <f t="shared" si="6"/>
        <v>25.311000000000003</v>
      </c>
      <c r="N32" s="79">
        <v>-13.962999999999999</v>
      </c>
      <c r="O32" s="13">
        <v>10.812999999999999</v>
      </c>
      <c r="P32" s="13">
        <v>-17.661000000000001</v>
      </c>
      <c r="Q32" s="13">
        <f t="shared" si="23"/>
        <v>9.0130000000000017</v>
      </c>
      <c r="R32" s="69">
        <v>-20.337</v>
      </c>
      <c r="S32" s="69">
        <v>31.814</v>
      </c>
      <c r="T32" s="13">
        <v>-18.678000000000001</v>
      </c>
      <c r="U32" s="13">
        <v>-9.9280000000000008</v>
      </c>
      <c r="V32" s="13">
        <v>-17.844000000000001</v>
      </c>
      <c r="W32" s="13">
        <v>-24.786000000000001</v>
      </c>
      <c r="X32" s="13">
        <v>-43.734999999999999</v>
      </c>
      <c r="Y32" s="13">
        <v>111.09099999999999</v>
      </c>
      <c r="Z32" s="13">
        <v>1.256</v>
      </c>
      <c r="AA32" s="13">
        <v>-21.658999999999999</v>
      </c>
      <c r="AB32" s="13">
        <v>-30.402000000000001</v>
      </c>
      <c r="AC32" s="13">
        <v>13.804</v>
      </c>
      <c r="AD32" s="13">
        <v>-40.21</v>
      </c>
      <c r="AE32" s="13">
        <v>20.893000000000001</v>
      </c>
      <c r="AF32" s="13">
        <v>32.457999999999998</v>
      </c>
      <c r="AG32" s="13">
        <v>21.962</v>
      </c>
      <c r="AH32" s="13">
        <v>-16.071999999999999</v>
      </c>
      <c r="AI32" s="13">
        <v>-3.802</v>
      </c>
      <c r="AJ32" s="13">
        <v>-10.371</v>
      </c>
      <c r="AK32" s="13">
        <v>-29.295999999999999</v>
      </c>
      <c r="AL32" s="13">
        <v>25.65</v>
      </c>
      <c r="AM32" s="13">
        <v>18.978000000000002</v>
      </c>
      <c r="AN32" s="13">
        <v>0.224</v>
      </c>
      <c r="AO32" s="13">
        <v>2.4359999999999999</v>
      </c>
      <c r="AP32" s="13">
        <v>-40.058</v>
      </c>
      <c r="AQ32" s="13">
        <v>24.594999999999999</v>
      </c>
      <c r="AR32" s="13">
        <v>0.66700000000000004</v>
      </c>
      <c r="AS32" s="13">
        <v>2.6040000000000001</v>
      </c>
      <c r="AT32" s="13">
        <v>2.1840000000000002</v>
      </c>
      <c r="AU32" s="13">
        <v>-53.680999999999997</v>
      </c>
      <c r="AV32" s="13">
        <v>-42.884999999999998</v>
      </c>
      <c r="AW32" s="13">
        <v>86.525000000000006</v>
      </c>
      <c r="AX32" s="22">
        <v>-29.074000000000002</v>
      </c>
      <c r="AY32" s="13">
        <v>46.13</v>
      </c>
      <c r="AZ32" s="22">
        <v>-0.29599999999999999</v>
      </c>
      <c r="BA32" s="22">
        <v>-21.57</v>
      </c>
      <c r="BB32" s="22">
        <v>-34.314</v>
      </c>
      <c r="BC32" s="22">
        <v>-0.26</v>
      </c>
      <c r="BD32" s="22">
        <v>2.0720000000000001</v>
      </c>
      <c r="BE32" s="22">
        <v>18.129000000000001</v>
      </c>
      <c r="BF32" s="22">
        <v>5.9720000000000004</v>
      </c>
      <c r="BG32" s="22">
        <v>19.571000000000002</v>
      </c>
      <c r="BH32" s="22">
        <v>-0.35399999999999998</v>
      </c>
      <c r="BI32" s="22">
        <f>122/1000</f>
        <v>0.122</v>
      </c>
      <c r="BJ32" s="22">
        <f>-1535/1000</f>
        <v>-1.5349999999999999</v>
      </c>
    </row>
    <row r="33" spans="1:62" s="14" customFormat="1">
      <c r="A33" s="46" t="s">
        <v>39</v>
      </c>
      <c r="B33" s="83">
        <v>7.3999999999999996E-2</v>
      </c>
      <c r="C33" s="49">
        <f t="shared" si="13"/>
        <v>8.0900000000000016</v>
      </c>
      <c r="D33" s="49">
        <f t="shared" si="14"/>
        <v>17.005000000000003</v>
      </c>
      <c r="E33" s="49">
        <f t="shared" si="15"/>
        <v>33.387</v>
      </c>
      <c r="F33" s="49">
        <f t="shared" si="16"/>
        <v>-31.53</v>
      </c>
      <c r="G33" s="49">
        <f t="shared" si="20"/>
        <v>39.668999999999997</v>
      </c>
      <c r="H33" s="49">
        <f t="shared" si="21"/>
        <v>-38.497</v>
      </c>
      <c r="I33" s="49">
        <f t="shared" si="17"/>
        <v>17.569000000000006</v>
      </c>
      <c r="J33" s="49">
        <f t="shared" si="22"/>
        <v>2.7389999999999954</v>
      </c>
      <c r="K33" s="49">
        <f t="shared" si="18"/>
        <v>1.0699999999999985</v>
      </c>
      <c r="L33" s="13">
        <f t="shared" si="19"/>
        <v>-4.9110000000000005</v>
      </c>
      <c r="M33" s="82">
        <f t="shared" si="6"/>
        <v>19.274999999999999</v>
      </c>
      <c r="N33" s="79">
        <v>30.279</v>
      </c>
      <c r="O33" s="13">
        <v>-22.928000000000001</v>
      </c>
      <c r="P33" s="13">
        <v>16.787000000000003</v>
      </c>
      <c r="Q33" s="13">
        <f t="shared" si="23"/>
        <v>-24.064</v>
      </c>
      <c r="R33" s="69">
        <v>9.5429999999999993</v>
      </c>
      <c r="S33" s="69">
        <v>1.8879999999999999</v>
      </c>
      <c r="T33" s="13">
        <v>5.282</v>
      </c>
      <c r="U33" s="13">
        <v>-8.6229999999999993</v>
      </c>
      <c r="V33" s="13">
        <v>4.5190000000000001</v>
      </c>
      <c r="W33" s="13">
        <v>1.2450000000000001</v>
      </c>
      <c r="X33" s="13">
        <v>9.266</v>
      </c>
      <c r="Y33" s="13">
        <v>1.9750000000000001</v>
      </c>
      <c r="Z33" s="13">
        <v>-7.8360000000000003</v>
      </c>
      <c r="AA33" s="13">
        <v>18.132000000000001</v>
      </c>
      <c r="AB33" s="13">
        <v>2.1659999999999999</v>
      </c>
      <c r="AC33" s="13">
        <v>20.925000000000001</v>
      </c>
      <c r="AD33" s="13">
        <v>12.917</v>
      </c>
      <c r="AE33" s="13">
        <v>6.7610000000000001</v>
      </c>
      <c r="AF33" s="13">
        <v>-18.233000000000001</v>
      </c>
      <c r="AG33" s="13">
        <v>-32.975000000000001</v>
      </c>
      <c r="AH33" s="13">
        <v>16.163</v>
      </c>
      <c r="AI33" s="13">
        <v>-0.81</v>
      </c>
      <c r="AJ33" s="13">
        <v>2.9860000000000002</v>
      </c>
      <c r="AK33" s="13">
        <v>21.33</v>
      </c>
      <c r="AL33" s="13">
        <v>42.807000000000002</v>
      </c>
      <c r="AM33" s="13">
        <v>-47.109000000000002</v>
      </c>
      <c r="AN33" s="13">
        <v>-16.216999999999999</v>
      </c>
      <c r="AO33" s="13">
        <v>-17.978000000000002</v>
      </c>
      <c r="AP33" s="13">
        <v>27.707000000000001</v>
      </c>
      <c r="AQ33" s="13">
        <v>57.430999999999997</v>
      </c>
      <c r="AR33" s="13">
        <v>-63.073999999999998</v>
      </c>
      <c r="AS33" s="13">
        <v>-4.4950000000000001</v>
      </c>
      <c r="AT33" s="13">
        <v>47.241999999999997</v>
      </c>
      <c r="AU33" s="13">
        <v>-43.238</v>
      </c>
      <c r="AV33" s="13">
        <v>13.19</v>
      </c>
      <c r="AW33" s="13">
        <v>-14.455</v>
      </c>
      <c r="AX33" s="22">
        <v>15.475</v>
      </c>
      <c r="AY33" s="13">
        <v>-11.364000000000001</v>
      </c>
      <c r="AZ33" s="22">
        <v>4.67</v>
      </c>
      <c r="BA33" s="22">
        <v>-7.7110000000000003</v>
      </c>
      <c r="BB33" s="22">
        <v>-2.7280000000000002</v>
      </c>
      <c r="BC33" s="22">
        <v>6.423</v>
      </c>
      <c r="BD33" s="22">
        <v>2.5569999999999999</v>
      </c>
      <c r="BE33" s="22">
        <v>-11.163</v>
      </c>
      <c r="BF33" s="22">
        <v>5.8650000000000002</v>
      </c>
      <c r="BG33" s="22">
        <v>-5.47</v>
      </c>
      <c r="BH33" s="22">
        <v>12.119</v>
      </c>
      <c r="BI33" s="22">
        <f>6761/1000</f>
        <v>6.7610000000000001</v>
      </c>
      <c r="BJ33" s="22">
        <f>110874/1000</f>
        <v>110.874</v>
      </c>
    </row>
    <row r="34" spans="1:62" s="14" customFormat="1">
      <c r="A34" s="46" t="s">
        <v>43</v>
      </c>
      <c r="B34" s="83">
        <v>-0.58799999999999997</v>
      </c>
      <c r="C34" s="49">
        <f t="shared" si="13"/>
        <v>-6.3100000000000005</v>
      </c>
      <c r="D34" s="49">
        <f t="shared" si="14"/>
        <v>7.2479999999999993</v>
      </c>
      <c r="E34" s="49">
        <f t="shared" si="15"/>
        <v>3.3819999999999988</v>
      </c>
      <c r="F34" s="49">
        <f t="shared" si="16"/>
        <v>-9.6960000000000015</v>
      </c>
      <c r="G34" s="49">
        <f t="shared" si="20"/>
        <v>8.7480000000000011</v>
      </c>
      <c r="H34" s="49">
        <f t="shared" si="21"/>
        <v>-3.5920000000000005</v>
      </c>
      <c r="I34" s="49">
        <f t="shared" si="17"/>
        <v>4.2280000000000006</v>
      </c>
      <c r="J34" s="49">
        <f t="shared" si="22"/>
        <v>-3.6109999999999998</v>
      </c>
      <c r="K34" s="49">
        <f t="shared" si="18"/>
        <v>0.93300000000000005</v>
      </c>
      <c r="L34" s="13">
        <f t="shared" si="19"/>
        <v>-4.3130000000000006</v>
      </c>
      <c r="M34" s="82">
        <f t="shared" si="6"/>
        <v>0.53300000000000036</v>
      </c>
      <c r="N34" s="79">
        <v>4.0940000000000003</v>
      </c>
      <c r="O34" s="13">
        <v>-6.024</v>
      </c>
      <c r="P34" s="13">
        <v>-1.3480000000000003</v>
      </c>
      <c r="Q34" s="13">
        <f t="shared" si="23"/>
        <v>2.6900000000000004</v>
      </c>
      <c r="R34" s="69">
        <v>-3.073</v>
      </c>
      <c r="S34" s="69">
        <v>-7.2789999999999999</v>
      </c>
      <c r="T34" s="13">
        <v>-0.23100000000000001</v>
      </c>
      <c r="U34" s="13">
        <v>4.2729999999999997</v>
      </c>
      <c r="V34" s="13">
        <v>1.3169999999999999</v>
      </c>
      <c r="W34" s="13">
        <v>-1.6080000000000001</v>
      </c>
      <c r="X34" s="13">
        <v>0.40100000000000002</v>
      </c>
      <c r="Y34" s="13">
        <v>7.1379999999999999</v>
      </c>
      <c r="Z34" s="13">
        <v>-5.07</v>
      </c>
      <c r="AA34" s="13">
        <v>0.61399999999999999</v>
      </c>
      <c r="AB34" s="13">
        <v>-2.577</v>
      </c>
      <c r="AC34" s="13">
        <v>10.414999999999999</v>
      </c>
      <c r="AD34" s="13">
        <v>-5.4530000000000003</v>
      </c>
      <c r="AE34" s="13">
        <v>-0.57199999999999995</v>
      </c>
      <c r="AF34" s="13">
        <v>3.569</v>
      </c>
      <c r="AG34" s="13">
        <v>-7.24</v>
      </c>
      <c r="AH34" s="13">
        <v>2.2170000000000001</v>
      </c>
      <c r="AI34" s="13">
        <v>0.98699999999999999</v>
      </c>
      <c r="AJ34" s="13">
        <v>1.1919999999999999</v>
      </c>
      <c r="AK34" s="13">
        <v>4.3520000000000003</v>
      </c>
      <c r="AL34" s="13">
        <v>6.6379999999999999</v>
      </c>
      <c r="AM34" s="13">
        <v>-10.518000000000001</v>
      </c>
      <c r="AN34" s="13">
        <v>3.9590000000000001</v>
      </c>
      <c r="AO34" s="13">
        <v>-3.6709999999999998</v>
      </c>
      <c r="AP34" s="13">
        <v>4.8470000000000004</v>
      </c>
      <c r="AQ34" s="13">
        <v>-3.1549999999999998</v>
      </c>
      <c r="AR34" s="13">
        <v>0.73599999999999999</v>
      </c>
      <c r="AS34" s="13">
        <v>1.8</v>
      </c>
      <c r="AT34" s="13">
        <v>12.925000000000001</v>
      </c>
      <c r="AU34" s="13">
        <v>-21.311</v>
      </c>
      <c r="AV34" s="13">
        <v>3.2890000000000001</v>
      </c>
      <c r="AW34" s="13">
        <v>1.486</v>
      </c>
      <c r="AX34" s="22">
        <v>11.269</v>
      </c>
      <c r="AY34" s="13">
        <v>-13.016</v>
      </c>
      <c r="AZ34" s="22">
        <v>2.569</v>
      </c>
      <c r="BA34" s="22">
        <v>0.111</v>
      </c>
      <c r="BB34" s="22">
        <v>-0.61399999999999999</v>
      </c>
      <c r="BC34" s="22">
        <v>-10.814</v>
      </c>
      <c r="BD34" s="22">
        <v>6.8639999999999999</v>
      </c>
      <c r="BE34" s="22">
        <v>0.251</v>
      </c>
      <c r="BF34" s="22">
        <v>0.30599999999999999</v>
      </c>
      <c r="BG34" s="22">
        <v>-0.308</v>
      </c>
      <c r="BH34" s="22">
        <v>4.5350000000000001</v>
      </c>
      <c r="BI34" s="22">
        <f>-4000/1000</f>
        <v>-4</v>
      </c>
      <c r="BJ34" s="22">
        <f>6874/1000</f>
        <v>6.8739999999999997</v>
      </c>
    </row>
    <row r="35" spans="1:62" s="14" customFormat="1">
      <c r="A35" s="46" t="s">
        <v>41</v>
      </c>
      <c r="B35" s="83">
        <v>2.7320000000000002</v>
      </c>
      <c r="C35" s="49">
        <f t="shared" si="13"/>
        <v>1.1099999999999999</v>
      </c>
      <c r="D35" s="49">
        <f t="shared" si="14"/>
        <v>-4.5839999999999996</v>
      </c>
      <c r="E35" s="49">
        <f t="shared" si="15"/>
        <v>-0.29499999999999993</v>
      </c>
      <c r="F35" s="49">
        <f t="shared" si="16"/>
        <v>7.7999999999999847E-2</v>
      </c>
      <c r="G35" s="49">
        <f t="shared" si="20"/>
        <v>2.5089999999999999</v>
      </c>
      <c r="H35" s="49">
        <f t="shared" si="21"/>
        <v>-1.851</v>
      </c>
      <c r="I35" s="49">
        <f t="shared" si="17"/>
        <v>-2.200000000000002E-2</v>
      </c>
      <c r="J35" s="49">
        <f t="shared" si="22"/>
        <v>0.44699999999999995</v>
      </c>
      <c r="K35" s="49">
        <f t="shared" si="18"/>
        <v>-2.391</v>
      </c>
      <c r="L35" s="13">
        <f t="shared" si="19"/>
        <v>-2.8319999999999999</v>
      </c>
      <c r="M35" s="82">
        <f t="shared" si="6"/>
        <v>-0.48299999999999998</v>
      </c>
      <c r="N35" s="79">
        <v>1.194</v>
      </c>
      <c r="O35" s="13">
        <v>0.74</v>
      </c>
      <c r="P35" s="13">
        <v>0.58900000000000019</v>
      </c>
      <c r="Q35" s="13">
        <f t="shared" si="23"/>
        <v>0.20899999999999985</v>
      </c>
      <c r="R35" s="69">
        <v>-2.0880000000000001</v>
      </c>
      <c r="S35" s="69">
        <v>2.1789999999999998</v>
      </c>
      <c r="T35" s="13">
        <v>1.544</v>
      </c>
      <c r="U35" s="13">
        <v>-0.52500000000000002</v>
      </c>
      <c r="V35" s="13">
        <v>-0.20899999999999999</v>
      </c>
      <c r="W35" s="13">
        <v>-2.7879999999999998</v>
      </c>
      <c r="X35" s="13">
        <v>0.86899999999999999</v>
      </c>
      <c r="Y35" s="13">
        <v>-2.456</v>
      </c>
      <c r="Z35" s="13">
        <v>0.72799999999999998</v>
      </c>
      <c r="AA35" s="13">
        <v>0.48399999999999999</v>
      </c>
      <c r="AB35" s="13">
        <v>1.018</v>
      </c>
      <c r="AC35" s="13">
        <v>-2.5249999999999999</v>
      </c>
      <c r="AD35" s="13">
        <v>0.96199999999999997</v>
      </c>
      <c r="AE35" s="13">
        <v>0.90300000000000002</v>
      </c>
      <c r="AF35" s="13">
        <v>-0.20699999999999999</v>
      </c>
      <c r="AG35" s="13">
        <v>-1.58</v>
      </c>
      <c r="AH35" s="13">
        <v>0.23100000000000001</v>
      </c>
      <c r="AI35" s="13">
        <v>-0.32200000000000001</v>
      </c>
      <c r="AJ35" s="13">
        <v>1.7589999999999999</v>
      </c>
      <c r="AK35" s="13">
        <v>0.84099999999999997</v>
      </c>
      <c r="AL35" s="13">
        <v>0.379</v>
      </c>
      <c r="AM35" s="13">
        <v>-0.374</v>
      </c>
      <c r="AN35" s="13">
        <v>-2.1819999999999999</v>
      </c>
      <c r="AO35" s="13">
        <v>0.32600000000000001</v>
      </c>
      <c r="AP35" s="13">
        <v>1.91</v>
      </c>
      <c r="AQ35" s="13">
        <v>-0.436</v>
      </c>
      <c r="AR35" s="13">
        <v>0.40300000000000002</v>
      </c>
      <c r="AS35" s="13">
        <v>-1.899</v>
      </c>
      <c r="AT35" s="13">
        <v>1.6120000000000001</v>
      </c>
      <c r="AU35" s="13">
        <v>-0.73399999999999999</v>
      </c>
      <c r="AV35" s="13">
        <v>0.56599999999999995</v>
      </c>
      <c r="AW35" s="13">
        <v>-0.997</v>
      </c>
      <c r="AX35" s="22">
        <v>-2.4900000000000002</v>
      </c>
      <c r="AY35" s="13">
        <v>-0.79200000000000004</v>
      </c>
      <c r="AZ35" s="22">
        <v>0.16300000000000001</v>
      </c>
      <c r="BA35" s="22">
        <v>0.72799999999999998</v>
      </c>
      <c r="BB35" s="22">
        <v>0.35099999999999998</v>
      </c>
      <c r="BC35" s="22">
        <v>1.454</v>
      </c>
      <c r="BD35" s="22">
        <v>-2.85</v>
      </c>
      <c r="BE35" s="22">
        <v>-1.7869999999999999</v>
      </c>
      <c r="BF35" s="22">
        <v>-0.51500000000000001</v>
      </c>
      <c r="BG35" s="22">
        <v>-0.124</v>
      </c>
      <c r="BH35" s="22">
        <v>0.39200000000000002</v>
      </c>
      <c r="BI35" s="22">
        <f>-236/1000</f>
        <v>-0.23599999999999999</v>
      </c>
      <c r="BJ35" s="22">
        <f>292/1000</f>
        <v>0.29199999999999998</v>
      </c>
    </row>
    <row r="36" spans="1:62" s="14" customFormat="1">
      <c r="A36" s="46" t="s">
        <v>44</v>
      </c>
      <c r="B36" s="83">
        <v>21.901</v>
      </c>
      <c r="C36" s="49">
        <f t="shared" si="13"/>
        <v>-46.083000000000006</v>
      </c>
      <c r="D36" s="49">
        <f t="shared" si="14"/>
        <v>-40.150999999999982</v>
      </c>
      <c r="E36" s="49">
        <f t="shared" si="15"/>
        <v>95.247000000000014</v>
      </c>
      <c r="F36" s="49">
        <f t="shared" si="16"/>
        <v>-46.712999999999994</v>
      </c>
      <c r="G36" s="49">
        <f t="shared" si="20"/>
        <v>275.60000000000002</v>
      </c>
      <c r="H36" s="49">
        <f t="shared" si="21"/>
        <v>-240.06199999999995</v>
      </c>
      <c r="I36" s="49">
        <f t="shared" si="17"/>
        <v>99.468000000000004</v>
      </c>
      <c r="J36" s="49">
        <f t="shared" si="22"/>
        <v>-76.314999999999998</v>
      </c>
      <c r="K36" s="49">
        <f t="shared" si="18"/>
        <v>-10.753999999999998</v>
      </c>
      <c r="L36" s="13">
        <f t="shared" si="19"/>
        <v>26.663</v>
      </c>
      <c r="M36" s="82">
        <f t="shared" si="6"/>
        <v>33.917999999999999</v>
      </c>
      <c r="N36" s="79">
        <v>-20.404</v>
      </c>
      <c r="O36" s="13">
        <v>-26.166999999999998</v>
      </c>
      <c r="P36" s="13">
        <v>29.100999999999999</v>
      </c>
      <c r="Q36" s="13">
        <f t="shared" si="23"/>
        <v>39.370999999999995</v>
      </c>
      <c r="R36" s="69">
        <v>35.865000000000002</v>
      </c>
      <c r="S36" s="69">
        <v>-81.917000000000002</v>
      </c>
      <c r="T36" s="13">
        <v>76.322999999999993</v>
      </c>
      <c r="U36" s="13">
        <v>-76.353999999999999</v>
      </c>
      <c r="V36" s="13">
        <v>-1.1379999999999999</v>
      </c>
      <c r="W36" s="13">
        <v>57.843000000000004</v>
      </c>
      <c r="X36" s="13">
        <v>33.183999999999997</v>
      </c>
      <c r="Y36" s="13">
        <v>-130.04</v>
      </c>
      <c r="Z36" s="13">
        <v>28.379000000000001</v>
      </c>
      <c r="AA36" s="13">
        <v>74.322000000000003</v>
      </c>
      <c r="AB36" s="13">
        <v>33.999000000000002</v>
      </c>
      <c r="AC36" s="13">
        <v>-41.453000000000003</v>
      </c>
      <c r="AD36" s="13">
        <v>45.417000000000002</v>
      </c>
      <c r="AE36" s="13">
        <v>-103.154</v>
      </c>
      <c r="AF36" s="13">
        <v>7.2169999999999996</v>
      </c>
      <c r="AG36" s="13">
        <v>3.8069999999999999</v>
      </c>
      <c r="AH36" s="13">
        <v>-35.039000000000001</v>
      </c>
      <c r="AI36" s="13">
        <v>41.438000000000002</v>
      </c>
      <c r="AJ36" s="13">
        <v>100.98</v>
      </c>
      <c r="AK36" s="13">
        <v>168.221</v>
      </c>
      <c r="AL36" s="13">
        <v>-230.89</v>
      </c>
      <c r="AM36" s="13">
        <v>-39.652000000000001</v>
      </c>
      <c r="AN36" s="13">
        <v>7.5330000000000004</v>
      </c>
      <c r="AO36" s="13">
        <v>22.946999999999999</v>
      </c>
      <c r="AP36" s="13">
        <v>16.146000000000001</v>
      </c>
      <c r="AQ36" s="13">
        <v>9.0830000000000002</v>
      </c>
      <c r="AR36" s="13">
        <v>45.866</v>
      </c>
      <c r="AS36" s="13">
        <v>28.373000000000001</v>
      </c>
      <c r="AT36" s="13">
        <v>-73.965999999999994</v>
      </c>
      <c r="AU36" s="13">
        <v>3.2770000000000001</v>
      </c>
      <c r="AV36" s="13">
        <v>31.465</v>
      </c>
      <c r="AW36" s="13">
        <v>-37.091000000000001</v>
      </c>
      <c r="AX36" s="22">
        <v>-13.202</v>
      </c>
      <c r="AY36" s="13">
        <v>-70.069999999999993</v>
      </c>
      <c r="AZ36" s="22">
        <v>26.513999999999999</v>
      </c>
      <c r="BA36" s="22">
        <v>46.003999999999998</v>
      </c>
      <c r="BB36" s="22">
        <v>28.577999999999999</v>
      </c>
      <c r="BC36" s="22">
        <v>-2.1469999999999998</v>
      </c>
      <c r="BD36" s="22">
        <v>-0.84599999999999997</v>
      </c>
      <c r="BE36" s="22">
        <v>1.0780000000000001</v>
      </c>
      <c r="BF36" s="22">
        <v>-2.4529999999999998</v>
      </c>
      <c r="BG36" s="22">
        <v>8.8999999999999996E-2</v>
      </c>
      <c r="BH36" s="22">
        <v>-1.036</v>
      </c>
      <c r="BI36" s="22">
        <f>37318/1000</f>
        <v>37.317999999999998</v>
      </c>
      <c r="BJ36" s="22">
        <f>-97615/1000</f>
        <v>-97.614999999999995</v>
      </c>
    </row>
    <row r="37" spans="1:62" s="14" customFormat="1">
      <c r="A37" s="46" t="s">
        <v>67</v>
      </c>
      <c r="B37" s="83">
        <v>0</v>
      </c>
      <c r="C37" s="49">
        <f t="shared" si="13"/>
        <v>-0.40799999999999997</v>
      </c>
      <c r="D37" s="49">
        <f t="shared" si="14"/>
        <v>-1.1479999999999999</v>
      </c>
      <c r="E37" s="49">
        <f t="shared" si="15"/>
        <v>-1.1640000000000001</v>
      </c>
      <c r="F37" s="49">
        <f t="shared" si="16"/>
        <v>-0.90999999999999992</v>
      </c>
      <c r="G37" s="49">
        <f t="shared" si="20"/>
        <v>-0.39400000000000002</v>
      </c>
      <c r="H37" s="49">
        <f t="shared" si="21"/>
        <v>0</v>
      </c>
      <c r="I37" s="49">
        <f t="shared" si="17"/>
        <v>-0.17899999999999999</v>
      </c>
      <c r="J37" s="49">
        <f t="shared" si="22"/>
        <v>-16.806999999999999</v>
      </c>
      <c r="K37" s="49">
        <f t="shared" si="18"/>
        <v>-0.45400000000000001</v>
      </c>
      <c r="L37" s="13">
        <f t="shared" si="19"/>
        <v>0.9830000000000001</v>
      </c>
      <c r="M37" s="82">
        <f t="shared" si="6"/>
        <v>-8.6279999999999983</v>
      </c>
      <c r="N37" s="79">
        <v>0</v>
      </c>
      <c r="O37" s="13">
        <v>-0.42099999999999999</v>
      </c>
      <c r="P37" s="13">
        <v>-0.8899999999999999</v>
      </c>
      <c r="Q37" s="13">
        <f t="shared" si="23"/>
        <v>1.3109999999999999</v>
      </c>
      <c r="R37" s="69">
        <v>-5.5E-2</v>
      </c>
      <c r="S37" s="69">
        <v>-0.378</v>
      </c>
      <c r="T37" s="13">
        <v>-0.16200000000000001</v>
      </c>
      <c r="U37" s="13">
        <v>0.187</v>
      </c>
      <c r="V37" s="13">
        <v>-0.66</v>
      </c>
      <c r="W37" s="13">
        <v>-2.5999999999999999E-2</v>
      </c>
      <c r="X37" s="13">
        <v>-0.29599999999999999</v>
      </c>
      <c r="Y37" s="13">
        <v>-0.16600000000000001</v>
      </c>
      <c r="Z37" s="13">
        <v>-0.245</v>
      </c>
      <c r="AA37" s="13">
        <v>-0.14499999999999999</v>
      </c>
      <c r="AB37" s="13">
        <v>-0.32500000000000001</v>
      </c>
      <c r="AC37" s="13">
        <v>-0.44900000000000001</v>
      </c>
      <c r="AD37" s="13">
        <v>-5.0999999999999997E-2</v>
      </c>
      <c r="AE37" s="13">
        <v>-8.2000000000000003E-2</v>
      </c>
      <c r="AF37" s="13">
        <v>-0.434</v>
      </c>
      <c r="AG37" s="13">
        <v>-0.34300000000000003</v>
      </c>
      <c r="AH37" s="13">
        <v>0</v>
      </c>
      <c r="AI37" s="13">
        <v>0</v>
      </c>
      <c r="AJ37" s="13">
        <v>0</v>
      </c>
      <c r="AK37" s="13">
        <v>-0.39400000000000002</v>
      </c>
      <c r="AL37" s="13">
        <v>0</v>
      </c>
      <c r="AM37" s="13">
        <v>0</v>
      </c>
      <c r="AN37" s="13">
        <v>0</v>
      </c>
      <c r="AO37" s="13">
        <v>0</v>
      </c>
      <c r="AP37" s="13">
        <v>0</v>
      </c>
      <c r="AQ37" s="13">
        <v>0</v>
      </c>
      <c r="AR37" s="13">
        <v>0</v>
      </c>
      <c r="AS37" s="13">
        <v>-0.17899999999999999</v>
      </c>
      <c r="AT37" s="13">
        <v>-0.435</v>
      </c>
      <c r="AU37" s="13">
        <v>-0.77900000000000003</v>
      </c>
      <c r="AV37" s="13">
        <v>-15.779</v>
      </c>
      <c r="AW37" s="13">
        <v>0.186</v>
      </c>
      <c r="AX37" s="22">
        <v>-0.215</v>
      </c>
      <c r="AY37" s="13">
        <v>-2E-3</v>
      </c>
      <c r="AZ37" s="22">
        <v>4.2000000000000003E-2</v>
      </c>
      <c r="BA37" s="22">
        <v>-0.27900000000000003</v>
      </c>
      <c r="BB37" s="22">
        <v>8.0000000000000002E-3</v>
      </c>
      <c r="BC37" s="22">
        <v>1.409</v>
      </c>
      <c r="BD37" s="22">
        <v>0.23499999999999999</v>
      </c>
      <c r="BE37" s="22">
        <v>-0.66900000000000004</v>
      </c>
      <c r="BF37" s="22">
        <v>-3.8149999999999999</v>
      </c>
      <c r="BG37" s="22">
        <v>-1.3169999999999999</v>
      </c>
      <c r="BH37" s="22">
        <v>-7.2679999999999998</v>
      </c>
      <c r="BI37" s="22">
        <f>3772/1000</f>
        <v>3.7719999999999998</v>
      </c>
      <c r="BJ37" s="22">
        <f>-289/1000</f>
        <v>-0.28899999999999998</v>
      </c>
    </row>
    <row r="38" spans="1:62" s="14" customFormat="1">
      <c r="A38" s="46" t="s">
        <v>68</v>
      </c>
      <c r="B38" s="83">
        <v>-2.407</v>
      </c>
      <c r="C38" s="49">
        <f t="shared" si="13"/>
        <v>2.1999999999999797E-2</v>
      </c>
      <c r="D38" s="49">
        <f t="shared" si="14"/>
        <v>-3.3389999999999995</v>
      </c>
      <c r="E38" s="49">
        <f t="shared" si="15"/>
        <v>4.4880000000000013</v>
      </c>
      <c r="F38" s="49">
        <f t="shared" si="16"/>
        <v>-0.39200000000000035</v>
      </c>
      <c r="G38" s="49">
        <f t="shared" si="20"/>
        <v>5.2150000000000007</v>
      </c>
      <c r="H38" s="49">
        <f t="shared" si="21"/>
        <v>-3.588000000000001</v>
      </c>
      <c r="I38" s="49">
        <f t="shared" si="17"/>
        <v>12.777999999999992</v>
      </c>
      <c r="J38" s="49">
        <f t="shared" si="22"/>
        <v>-6.5520000000000014</v>
      </c>
      <c r="K38" s="49">
        <f t="shared" si="18"/>
        <v>7.2219999999999995</v>
      </c>
      <c r="L38" s="13">
        <f t="shared" si="19"/>
        <v>-6.7329999999999997</v>
      </c>
      <c r="M38" s="82">
        <f t="shared" si="6"/>
        <v>-3.0700000000000003</v>
      </c>
      <c r="N38" s="79">
        <v>0.27300000000000002</v>
      </c>
      <c r="O38" s="13">
        <v>-1.758</v>
      </c>
      <c r="P38" s="13">
        <v>-1.2010000000000001</v>
      </c>
      <c r="Q38" s="13">
        <f t="shared" si="23"/>
        <v>0.27900000000000003</v>
      </c>
      <c r="R38" s="69">
        <v>2.996</v>
      </c>
      <c r="S38" s="69">
        <v>-1.2509999999999999</v>
      </c>
      <c r="T38" s="13">
        <v>-4.6210000000000004</v>
      </c>
      <c r="U38" s="13">
        <v>2.8980000000000001</v>
      </c>
      <c r="V38" s="13">
        <v>1.577</v>
      </c>
      <c r="W38" s="13">
        <v>3.39</v>
      </c>
      <c r="X38" s="13">
        <v>-0.93600000000000005</v>
      </c>
      <c r="Y38" s="13">
        <v>-7.37</v>
      </c>
      <c r="Z38" s="13">
        <v>3.8050000000000002</v>
      </c>
      <c r="AA38" s="13">
        <v>6.8730000000000002</v>
      </c>
      <c r="AB38" s="13">
        <v>-8.3059999999999992</v>
      </c>
      <c r="AC38" s="13">
        <v>2.1160000000000001</v>
      </c>
      <c r="AD38" s="13">
        <v>-1.1639999999999999</v>
      </c>
      <c r="AE38" s="13">
        <v>-1.34</v>
      </c>
      <c r="AF38" s="13">
        <v>7.6870000000000003</v>
      </c>
      <c r="AG38" s="13">
        <v>-5.5750000000000002</v>
      </c>
      <c r="AH38" s="13">
        <v>3.8140000000000001</v>
      </c>
      <c r="AI38" s="13">
        <v>-3.3239999999999998</v>
      </c>
      <c r="AJ38" s="13">
        <v>11.55</v>
      </c>
      <c r="AK38" s="13">
        <v>-6.8250000000000002</v>
      </c>
      <c r="AL38" s="13">
        <v>-0.93500000000000005</v>
      </c>
      <c r="AM38" s="13">
        <v>3.843</v>
      </c>
      <c r="AN38" s="13">
        <v>8.4109999999999996</v>
      </c>
      <c r="AO38" s="13">
        <v>-14.907</v>
      </c>
      <c r="AP38" s="13">
        <v>9.984</v>
      </c>
      <c r="AQ38" s="13">
        <v>27.73</v>
      </c>
      <c r="AR38" s="13">
        <v>18.385999999999999</v>
      </c>
      <c r="AS38" s="13">
        <v>-43.322000000000003</v>
      </c>
      <c r="AT38" s="13">
        <v>21.280999999999999</v>
      </c>
      <c r="AU38" s="13">
        <v>-21.666</v>
      </c>
      <c r="AV38" s="13">
        <v>-8.3849999999999998</v>
      </c>
      <c r="AW38" s="13">
        <v>2.218</v>
      </c>
      <c r="AX38" s="22">
        <v>2.8980000000000001</v>
      </c>
      <c r="AY38" s="13">
        <v>6.2240000000000002</v>
      </c>
      <c r="AZ38" s="22">
        <v>2.4689999999999999</v>
      </c>
      <c r="BA38" s="22">
        <v>-4.3689999999999998</v>
      </c>
      <c r="BB38" s="22">
        <v>-4.6319999999999997</v>
      </c>
      <c r="BC38" s="22">
        <v>2.5000000000000001E-2</v>
      </c>
      <c r="BD38" s="22">
        <v>-3.24</v>
      </c>
      <c r="BE38" s="22">
        <v>1.1140000000000001</v>
      </c>
      <c r="BF38" s="22">
        <v>0.28899999999999998</v>
      </c>
      <c r="BG38" s="22">
        <v>-9.9000000000000005E-2</v>
      </c>
      <c r="BH38" s="22">
        <v>2.9060000000000001</v>
      </c>
      <c r="BI38" s="22">
        <f>-6166/1000</f>
        <v>-6.1660000000000004</v>
      </c>
      <c r="BJ38" s="22">
        <f>-1322/1000</f>
        <v>-1.3220000000000001</v>
      </c>
    </row>
    <row r="39" spans="1:62" s="14" customFormat="1">
      <c r="A39" s="46" t="s">
        <v>100</v>
      </c>
      <c r="B39" s="83">
        <v>0</v>
      </c>
      <c r="C39" s="49">
        <f t="shared" si="13"/>
        <v>-2.9220000000000006</v>
      </c>
      <c r="D39" s="49">
        <f t="shared" si="14"/>
        <v>-4.4030000000000005</v>
      </c>
      <c r="E39" s="49">
        <f t="shared" si="15"/>
        <v>-2.5130000000000003</v>
      </c>
      <c r="F39" s="49">
        <f t="shared" si="16"/>
        <v>-2.5129999999999999</v>
      </c>
      <c r="G39" s="49">
        <f t="shared" si="20"/>
        <v>0</v>
      </c>
      <c r="H39" s="49">
        <f t="shared" si="21"/>
        <v>-1.0980000000000001</v>
      </c>
      <c r="I39" s="49">
        <f t="shared" ref="I39" si="24">SUM(AP39:AS39)</f>
        <v>0</v>
      </c>
      <c r="J39" s="49">
        <f t="shared" si="22"/>
        <v>0</v>
      </c>
      <c r="K39" s="49">
        <f t="shared" si="18"/>
        <v>-2.0390000000000001</v>
      </c>
      <c r="L39" s="13">
        <f t="shared" si="19"/>
        <v>-5.2000000000000046E-2</v>
      </c>
      <c r="M39" s="82">
        <f t="shared" si="6"/>
        <v>0</v>
      </c>
      <c r="N39" s="79">
        <v>0</v>
      </c>
      <c r="O39" s="13">
        <v>0</v>
      </c>
      <c r="P39" s="13">
        <v>0</v>
      </c>
      <c r="Q39" s="13">
        <f t="shared" si="23"/>
        <v>0</v>
      </c>
      <c r="R39" s="69">
        <v>-2.9220000000000002</v>
      </c>
      <c r="S39" s="69">
        <v>1.5369999999999999</v>
      </c>
      <c r="T39" s="13">
        <v>1.385</v>
      </c>
      <c r="U39" s="13">
        <v>-2.9220000000000002</v>
      </c>
      <c r="V39" s="13">
        <v>-1.7130000000000001</v>
      </c>
      <c r="W39" s="13">
        <v>-1.0660000000000001</v>
      </c>
      <c r="X39" s="13">
        <v>-1.0349999999999999</v>
      </c>
      <c r="Y39" s="13">
        <v>-0.58899999999999997</v>
      </c>
      <c r="Z39" s="13">
        <v>-1.8620000000000001</v>
      </c>
      <c r="AA39" s="13">
        <v>-0.31</v>
      </c>
      <c r="AB39" s="13">
        <v>-0.34100000000000003</v>
      </c>
      <c r="AC39" s="13">
        <v>0</v>
      </c>
      <c r="AD39" s="13">
        <v>-2.5129999999999999</v>
      </c>
      <c r="AE39" s="13">
        <v>0</v>
      </c>
      <c r="AF39" s="13">
        <v>0</v>
      </c>
      <c r="AG39" s="13">
        <v>0</v>
      </c>
      <c r="AH39" s="13">
        <v>0</v>
      </c>
      <c r="AI39" s="13">
        <v>0</v>
      </c>
      <c r="AJ39" s="13">
        <v>0</v>
      </c>
      <c r="AK39" s="13"/>
      <c r="AL39" s="13"/>
      <c r="AM39" s="13"/>
      <c r="AN39" s="13"/>
      <c r="AO39" s="13">
        <v>-1.0980000000000001</v>
      </c>
      <c r="AP39" s="13">
        <v>0</v>
      </c>
      <c r="AQ39" s="13">
        <v>0</v>
      </c>
      <c r="AR39" s="13">
        <v>0</v>
      </c>
      <c r="AS39" s="13">
        <v>0</v>
      </c>
      <c r="AT39" s="13">
        <v>0</v>
      </c>
      <c r="AU39" s="13">
        <v>0</v>
      </c>
      <c r="AV39" s="13">
        <v>0</v>
      </c>
      <c r="AW39" s="13">
        <v>0</v>
      </c>
      <c r="AX39" s="22">
        <v>0</v>
      </c>
      <c r="AY39" s="13">
        <v>0</v>
      </c>
      <c r="AZ39" s="22">
        <v>0</v>
      </c>
      <c r="BA39" s="22">
        <v>-2.0390000000000001</v>
      </c>
      <c r="BB39" s="22">
        <v>0</v>
      </c>
      <c r="BC39" s="22">
        <v>-1.1859999999999999</v>
      </c>
      <c r="BD39" s="22">
        <v>1.2609999999999999</v>
      </c>
      <c r="BE39" s="22">
        <v>-0.127</v>
      </c>
      <c r="BF39" s="22">
        <v>0</v>
      </c>
      <c r="BG39" s="22">
        <v>0</v>
      </c>
      <c r="BH39" s="22">
        <v>0</v>
      </c>
      <c r="BI39" s="22">
        <v>0</v>
      </c>
      <c r="BJ39" s="22">
        <v>0</v>
      </c>
    </row>
    <row r="40" spans="1:62" s="14" customFormat="1">
      <c r="A40" s="46" t="s">
        <v>169</v>
      </c>
      <c r="B40" s="83">
        <v>0</v>
      </c>
      <c r="C40" s="49">
        <v>0</v>
      </c>
      <c r="D40" s="49">
        <v>0</v>
      </c>
      <c r="E40" s="49">
        <v>0</v>
      </c>
      <c r="F40" s="49">
        <v>0</v>
      </c>
      <c r="G40" s="49">
        <v>0</v>
      </c>
      <c r="H40" s="49">
        <v>0</v>
      </c>
      <c r="I40" s="49">
        <f t="shared" si="17"/>
        <v>0</v>
      </c>
      <c r="J40" s="49">
        <v>0</v>
      </c>
      <c r="K40" s="49">
        <f t="shared" si="18"/>
        <v>0</v>
      </c>
      <c r="L40" s="13">
        <f t="shared" si="19"/>
        <v>0</v>
      </c>
      <c r="M40" s="82">
        <f t="shared" si="6"/>
        <v>0</v>
      </c>
      <c r="N40" s="79">
        <v>0</v>
      </c>
      <c r="O40" s="49">
        <v>0</v>
      </c>
      <c r="P40" s="49">
        <v>0</v>
      </c>
      <c r="Q40" s="49">
        <v>0</v>
      </c>
      <c r="R40" s="49">
        <v>0</v>
      </c>
      <c r="S40" s="49">
        <v>0</v>
      </c>
      <c r="T40" s="49">
        <v>0</v>
      </c>
      <c r="U40" s="49">
        <v>0</v>
      </c>
      <c r="V40" s="49">
        <v>0</v>
      </c>
      <c r="W40" s="49">
        <v>0</v>
      </c>
      <c r="X40" s="49">
        <v>0</v>
      </c>
      <c r="Y40" s="49">
        <v>0</v>
      </c>
      <c r="Z40" s="49">
        <v>0</v>
      </c>
      <c r="AA40" s="49">
        <v>0</v>
      </c>
      <c r="AB40" s="49">
        <v>0</v>
      </c>
      <c r="AC40" s="49">
        <v>0</v>
      </c>
      <c r="AD40" s="49">
        <v>0</v>
      </c>
      <c r="AE40" s="49">
        <v>0</v>
      </c>
      <c r="AF40" s="49">
        <v>0</v>
      </c>
      <c r="AG40" s="49">
        <v>0</v>
      </c>
      <c r="AH40" s="49">
        <v>0</v>
      </c>
      <c r="AI40" s="49">
        <v>0</v>
      </c>
      <c r="AJ40" s="49">
        <v>0</v>
      </c>
      <c r="AK40" s="49">
        <v>0</v>
      </c>
      <c r="AL40" s="49">
        <v>0</v>
      </c>
      <c r="AM40" s="49">
        <v>0</v>
      </c>
      <c r="AN40" s="49">
        <v>0</v>
      </c>
      <c r="AO40" s="49">
        <v>0</v>
      </c>
      <c r="AP40" s="49">
        <v>0</v>
      </c>
      <c r="AQ40" s="49">
        <v>0</v>
      </c>
      <c r="AR40" s="49">
        <v>0</v>
      </c>
      <c r="AS40" s="49">
        <v>0</v>
      </c>
      <c r="AT40" s="49">
        <v>0</v>
      </c>
      <c r="AU40" s="49">
        <v>0</v>
      </c>
      <c r="AV40" s="49">
        <v>0</v>
      </c>
      <c r="AW40" s="49">
        <v>0</v>
      </c>
      <c r="AX40" s="22">
        <v>0.70599999999999996</v>
      </c>
      <c r="AY40" s="13">
        <v>0.66100000000000003</v>
      </c>
      <c r="AZ40" s="22">
        <v>0.79700000000000004</v>
      </c>
      <c r="BA40" s="22">
        <v>-2.1640000000000001</v>
      </c>
      <c r="BB40" s="22">
        <v>0</v>
      </c>
      <c r="BC40" s="22">
        <v>-2.0390000000000001</v>
      </c>
      <c r="BD40" s="22">
        <v>2.0390000000000001</v>
      </c>
      <c r="BE40" s="22">
        <v>0</v>
      </c>
      <c r="BF40" s="22">
        <v>0</v>
      </c>
      <c r="BG40" s="22">
        <v>0</v>
      </c>
      <c r="BH40" s="22">
        <v>0</v>
      </c>
      <c r="BI40" s="22">
        <v>0</v>
      </c>
      <c r="BJ40" s="22">
        <v>0</v>
      </c>
    </row>
    <row r="41" spans="1:62" s="19" customFormat="1">
      <c r="A41" s="45" t="s">
        <v>139</v>
      </c>
      <c r="B41" s="84">
        <f t="shared" ref="B41:M41" si="25">SUM(B7:B40)</f>
        <v>101.17100000000002</v>
      </c>
      <c r="C41" s="48">
        <f t="shared" si="25"/>
        <v>54.775999999999996</v>
      </c>
      <c r="D41" s="48">
        <f t="shared" si="25"/>
        <v>-62.853999999999985</v>
      </c>
      <c r="E41" s="48">
        <f t="shared" si="25"/>
        <v>63.817000000000014</v>
      </c>
      <c r="F41" s="48">
        <f t="shared" si="25"/>
        <v>-31.595000000000006</v>
      </c>
      <c r="G41" s="48">
        <f t="shared" si="25"/>
        <v>168.97100000000003</v>
      </c>
      <c r="H41" s="48">
        <f t="shared" si="25"/>
        <v>-80.499000000000009</v>
      </c>
      <c r="I41" s="48">
        <f t="shared" si="25"/>
        <v>86.355000000000032</v>
      </c>
      <c r="J41" s="48">
        <f t="shared" si="25"/>
        <v>-77.914000000000001</v>
      </c>
      <c r="K41" s="48">
        <f t="shared" si="25"/>
        <v>24.075000000000003</v>
      </c>
      <c r="L41" s="18">
        <f t="shared" si="25"/>
        <v>-30.129999999999992</v>
      </c>
      <c r="M41" s="85">
        <f t="shared" si="25"/>
        <v>9.329000000000006</v>
      </c>
      <c r="N41" s="78">
        <f>SUM(N7:N40)</f>
        <v>25.759</v>
      </c>
      <c r="O41" s="18">
        <f t="shared" ref="O41:AW41" si="26">SUM(O6:O40)</f>
        <v>10.564999999999998</v>
      </c>
      <c r="P41" s="18">
        <f t="shared" si="26"/>
        <v>3.4310000000000023</v>
      </c>
      <c r="Q41" s="18">
        <f t="shared" si="26"/>
        <v>61.416000000000018</v>
      </c>
      <c r="R41" s="18">
        <f t="shared" si="26"/>
        <v>31.589000000000002</v>
      </c>
      <c r="S41" s="18">
        <f t="shared" si="26"/>
        <v>-27.41</v>
      </c>
      <c r="T41" s="18">
        <f t="shared" si="26"/>
        <v>49.91899999999999</v>
      </c>
      <c r="U41" s="18">
        <f t="shared" si="26"/>
        <v>0.67799999999998617</v>
      </c>
      <c r="V41" s="18">
        <f t="shared" si="26"/>
        <v>-26.833000000000006</v>
      </c>
      <c r="W41" s="18">
        <f t="shared" si="26"/>
        <v>-1.2319999999999867</v>
      </c>
      <c r="X41" s="18">
        <f t="shared" si="26"/>
        <v>16.861999999999998</v>
      </c>
      <c r="Y41" s="18">
        <f t="shared" si="26"/>
        <v>-51.650999999999989</v>
      </c>
      <c r="Z41" s="18">
        <f t="shared" si="26"/>
        <v>-3.9580000000000024</v>
      </c>
      <c r="AA41" s="18">
        <f t="shared" si="26"/>
        <v>40.87299999999999</v>
      </c>
      <c r="AB41" s="18">
        <f t="shared" si="26"/>
        <v>43.164000000000009</v>
      </c>
      <c r="AC41" s="18">
        <f t="shared" si="26"/>
        <v>-16.262000000000004</v>
      </c>
      <c r="AD41" s="18">
        <f t="shared" si="26"/>
        <v>-22.032999999999994</v>
      </c>
      <c r="AE41" s="18">
        <f t="shared" si="26"/>
        <v>-32.329000000000001</v>
      </c>
      <c r="AF41" s="18">
        <f t="shared" si="26"/>
        <v>11.319999999999997</v>
      </c>
      <c r="AG41" s="18">
        <f t="shared" si="26"/>
        <v>11.446999999999992</v>
      </c>
      <c r="AH41" s="18">
        <f t="shared" si="26"/>
        <v>-52.818999999999996</v>
      </c>
      <c r="AI41" s="18">
        <f t="shared" si="26"/>
        <v>38.048000000000002</v>
      </c>
      <c r="AJ41" s="18">
        <f t="shared" si="26"/>
        <v>82.243000000000009</v>
      </c>
      <c r="AK41" s="18">
        <f t="shared" si="26"/>
        <v>101.49899999999998</v>
      </c>
      <c r="AL41" s="18">
        <f t="shared" si="26"/>
        <v>-65.94599999999997</v>
      </c>
      <c r="AM41" s="18">
        <f t="shared" si="26"/>
        <v>-39.814999999999998</v>
      </c>
      <c r="AN41" s="18">
        <f t="shared" si="26"/>
        <v>0.50700000000000056</v>
      </c>
      <c r="AO41" s="18">
        <f t="shared" si="26"/>
        <v>24.755000000000006</v>
      </c>
      <c r="AP41" s="18">
        <f t="shared" si="26"/>
        <v>-0.51299999999999635</v>
      </c>
      <c r="AQ41" s="18">
        <f t="shared" si="26"/>
        <v>52.48599999999999</v>
      </c>
      <c r="AR41" s="18">
        <f t="shared" si="26"/>
        <v>53.478000000000009</v>
      </c>
      <c r="AS41" s="18">
        <f t="shared" si="26"/>
        <v>-19.096000000000004</v>
      </c>
      <c r="AT41" s="18">
        <f t="shared" si="26"/>
        <v>51.729000000000013</v>
      </c>
      <c r="AU41" s="18">
        <f t="shared" si="26"/>
        <v>-58.079000000000008</v>
      </c>
      <c r="AV41" s="132">
        <f t="shared" ref="AV41" si="27">SUM(AV6:AV40)</f>
        <v>-54.35799999999999</v>
      </c>
      <c r="AW41" s="18">
        <f t="shared" si="26"/>
        <v>-17.240999999999993</v>
      </c>
      <c r="AX41" s="145">
        <f t="shared" ref="AX41:BD41" si="28">SUM(AX6:AX40)</f>
        <v>64.249000000000009</v>
      </c>
      <c r="AY41" s="18">
        <f t="shared" si="28"/>
        <v>-33.475999999999985</v>
      </c>
      <c r="AZ41" s="145">
        <f t="shared" si="28"/>
        <v>6.4360000000000026</v>
      </c>
      <c r="BA41" s="145">
        <f t="shared" si="28"/>
        <v>-13.134</v>
      </c>
      <c r="BB41" s="145">
        <f t="shared" si="28"/>
        <v>13.028999999999998</v>
      </c>
      <c r="BC41" s="145">
        <f t="shared" si="28"/>
        <v>-9.2170000000000005</v>
      </c>
      <c r="BD41" s="145">
        <f t="shared" si="28"/>
        <v>-19.535</v>
      </c>
      <c r="BE41" s="145">
        <f t="shared" ref="BE41" si="29">SUM(BE6:BE40)</f>
        <v>-14.406999999999998</v>
      </c>
      <c r="BF41" s="145">
        <f>SUM(BF6:BF40)</f>
        <v>-4.347999999999999</v>
      </c>
      <c r="BG41" s="145">
        <f>SUM(BG6:BG40)</f>
        <v>-4.316999999999994</v>
      </c>
      <c r="BH41" s="145">
        <f>SUM(BH6:BH40)</f>
        <v>-5.6250000000000018</v>
      </c>
      <c r="BI41" s="145">
        <f>SUM(BI6:BI40)</f>
        <v>23.618999999999989</v>
      </c>
      <c r="BJ41" s="145">
        <f>SUM(BJ6:BJ40)</f>
        <v>-30.579000000000004</v>
      </c>
    </row>
    <row r="42" spans="1:62" s="14" customFormat="1">
      <c r="A42" s="46"/>
      <c r="B42" s="83"/>
      <c r="C42" s="49"/>
      <c r="D42" s="49"/>
      <c r="E42" s="49"/>
      <c r="F42" s="49"/>
      <c r="G42" s="49"/>
      <c r="H42" s="49"/>
      <c r="I42" s="49"/>
      <c r="J42" s="49"/>
      <c r="K42" s="49"/>
      <c r="L42" s="13"/>
      <c r="M42" s="82"/>
      <c r="N42" s="79"/>
      <c r="O42" s="13"/>
      <c r="P42" s="13"/>
      <c r="Q42" s="13"/>
      <c r="R42" s="69"/>
      <c r="S42" s="69"/>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22"/>
      <c r="AY42" s="13"/>
      <c r="AZ42" s="22"/>
      <c r="BA42" s="22"/>
      <c r="BB42" s="22"/>
      <c r="BC42" s="22"/>
      <c r="BD42" s="22"/>
      <c r="BE42" s="22"/>
      <c r="BF42" s="22"/>
      <c r="BG42" s="22"/>
      <c r="BH42" s="145"/>
      <c r="BI42" s="145"/>
      <c r="BJ42" s="145"/>
    </row>
    <row r="43" spans="1:62" s="19" customFormat="1">
      <c r="A43" s="45" t="s">
        <v>69</v>
      </c>
      <c r="B43" s="84"/>
      <c r="C43" s="48"/>
      <c r="D43" s="48"/>
      <c r="E43" s="48"/>
      <c r="F43" s="48"/>
      <c r="G43" s="48"/>
      <c r="H43" s="48"/>
      <c r="I43" s="48"/>
      <c r="J43" s="48"/>
      <c r="K43" s="48"/>
      <c r="L43" s="13"/>
      <c r="M43" s="82"/>
      <c r="N43" s="78"/>
      <c r="O43" s="18"/>
      <c r="P43" s="18"/>
      <c r="Q43" s="18"/>
      <c r="R43" s="67"/>
      <c r="S43" s="67"/>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45"/>
      <c r="AY43" s="18"/>
      <c r="AZ43" s="145"/>
      <c r="BA43" s="145"/>
      <c r="BB43" s="145"/>
      <c r="BC43" s="145"/>
      <c r="BD43" s="145"/>
      <c r="BE43" s="145"/>
      <c r="BF43" s="145"/>
      <c r="BG43" s="145"/>
      <c r="BH43" s="145"/>
      <c r="BI43" s="22"/>
      <c r="BJ43" s="145"/>
    </row>
    <row r="44" spans="1:62" s="14" customFormat="1">
      <c r="A44" s="46" t="s">
        <v>101</v>
      </c>
      <c r="B44" s="83">
        <v>0</v>
      </c>
      <c r="C44" s="49">
        <f t="shared" ref="C44:C52" si="30">SUM(R44:U44)</f>
        <v>0</v>
      </c>
      <c r="D44" s="49">
        <f t="shared" ref="D44:D52" si="31">SUM(V44:Y44)</f>
        <v>0</v>
      </c>
      <c r="E44" s="49">
        <f t="shared" ref="E44:E52" si="32">SUM(Z44:AC44)</f>
        <v>0</v>
      </c>
      <c r="F44" s="49">
        <f t="shared" ref="F44" si="33">SUM(AD44:AG44)</f>
        <v>0</v>
      </c>
      <c r="G44" s="49">
        <f t="shared" ref="G44:G52" si="34">SUM(AH44:AK44)</f>
        <v>0</v>
      </c>
      <c r="H44" s="49">
        <f t="shared" ref="H44:H52" si="35">SUM(AL44:AO44)</f>
        <v>0</v>
      </c>
      <c r="I44" s="49">
        <f t="shared" ref="I44:I52" si="36">SUM(AP44:AS44)</f>
        <v>0</v>
      </c>
      <c r="J44" s="49">
        <f>SUM(AT44:AW44)</f>
        <v>0</v>
      </c>
      <c r="K44" s="49">
        <f t="shared" ref="K44:K52" si="37">SUM(AX44:BA44)</f>
        <v>0</v>
      </c>
      <c r="L44" s="13">
        <f t="shared" ref="L44:L52" si="38">SUM(BB44:BE44)</f>
        <v>0</v>
      </c>
      <c r="M44" s="82">
        <f>SUM(BF44:BI44)</f>
        <v>0</v>
      </c>
      <c r="N44" s="79">
        <v>0</v>
      </c>
      <c r="O44" s="13">
        <v>0</v>
      </c>
      <c r="P44" s="13">
        <v>0</v>
      </c>
      <c r="Q44" s="13">
        <f>B44-P44-O44-N44</f>
        <v>0</v>
      </c>
      <c r="R44" s="69">
        <v>0</v>
      </c>
      <c r="S44" s="69">
        <v>0</v>
      </c>
      <c r="T44" s="13">
        <v>0</v>
      </c>
      <c r="U44" s="13">
        <v>0</v>
      </c>
      <c r="V44" s="13">
        <v>0</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0</v>
      </c>
      <c r="AW44" s="13">
        <v>0</v>
      </c>
      <c r="AX44" s="22">
        <v>0</v>
      </c>
      <c r="AY44" s="13">
        <v>0</v>
      </c>
      <c r="AZ44" s="22">
        <v>0</v>
      </c>
      <c r="BA44" s="22">
        <v>0</v>
      </c>
      <c r="BB44" s="22">
        <v>0</v>
      </c>
      <c r="BC44" s="22">
        <v>0</v>
      </c>
      <c r="BD44" s="22">
        <v>0</v>
      </c>
      <c r="BE44" s="22">
        <v>0</v>
      </c>
      <c r="BF44" s="22">
        <v>0</v>
      </c>
      <c r="BG44" s="22">
        <v>0</v>
      </c>
      <c r="BH44" s="22">
        <v>0</v>
      </c>
      <c r="BI44" s="22">
        <v>0</v>
      </c>
      <c r="BJ44" s="145">
        <v>0</v>
      </c>
    </row>
    <row r="45" spans="1:62" s="14" customFormat="1" ht="14.25" customHeight="1">
      <c r="A45" s="46" t="s">
        <v>35</v>
      </c>
      <c r="B45" s="83">
        <v>0</v>
      </c>
      <c r="C45" s="49">
        <v>0</v>
      </c>
      <c r="D45" s="49">
        <v>0</v>
      </c>
      <c r="E45" s="49">
        <v>0</v>
      </c>
      <c r="F45" s="49">
        <v>0</v>
      </c>
      <c r="G45" s="49">
        <v>0</v>
      </c>
      <c r="H45" s="49">
        <v>0</v>
      </c>
      <c r="I45" s="49">
        <f t="shared" si="36"/>
        <v>0.13900000000000001</v>
      </c>
      <c r="J45" s="49">
        <f t="shared" ref="J45:J52" si="39">SUM(AT45:AW45)</f>
        <v>0</v>
      </c>
      <c r="K45" s="49">
        <f t="shared" si="37"/>
        <v>-0.99900000000000011</v>
      </c>
      <c r="L45" s="13">
        <f t="shared" si="38"/>
        <v>-4.7439999999999998</v>
      </c>
      <c r="M45" s="82">
        <f t="shared" ref="M45:M52" si="40">SUM(BF45:BI45)</f>
        <v>0</v>
      </c>
      <c r="N45" s="79">
        <v>0</v>
      </c>
      <c r="O45" s="49">
        <v>0</v>
      </c>
      <c r="P45" s="49">
        <v>0</v>
      </c>
      <c r="Q45" s="49">
        <v>0</v>
      </c>
      <c r="R45" s="49">
        <v>0</v>
      </c>
      <c r="S45" s="49">
        <v>0</v>
      </c>
      <c r="T45" s="49">
        <v>0</v>
      </c>
      <c r="U45" s="49">
        <v>0</v>
      </c>
      <c r="V45" s="49">
        <v>0</v>
      </c>
      <c r="W45" s="49">
        <v>0</v>
      </c>
      <c r="X45" s="49">
        <v>0</v>
      </c>
      <c r="Y45" s="49">
        <v>0</v>
      </c>
      <c r="Z45" s="49">
        <v>0</v>
      </c>
      <c r="AA45" s="49">
        <v>0</v>
      </c>
      <c r="AB45" s="49">
        <v>0</v>
      </c>
      <c r="AC45" s="49">
        <v>0</v>
      </c>
      <c r="AD45" s="49">
        <v>0</v>
      </c>
      <c r="AE45" s="49">
        <v>0</v>
      </c>
      <c r="AF45" s="49">
        <v>0</v>
      </c>
      <c r="AG45" s="49">
        <v>0</v>
      </c>
      <c r="AH45" s="49">
        <v>0</v>
      </c>
      <c r="AI45" s="49">
        <v>0</v>
      </c>
      <c r="AJ45" s="49">
        <v>0</v>
      </c>
      <c r="AK45" s="49">
        <v>0</v>
      </c>
      <c r="AL45" s="49">
        <v>0</v>
      </c>
      <c r="AM45" s="49">
        <v>0</v>
      </c>
      <c r="AN45" s="49">
        <v>0</v>
      </c>
      <c r="AO45" s="49">
        <v>0</v>
      </c>
      <c r="AP45" s="49">
        <v>0</v>
      </c>
      <c r="AQ45" s="49">
        <v>0</v>
      </c>
      <c r="AR45" s="49">
        <v>0</v>
      </c>
      <c r="AS45" s="49">
        <v>0.13900000000000001</v>
      </c>
      <c r="AT45" s="49">
        <v>0</v>
      </c>
      <c r="AU45" s="49">
        <v>0</v>
      </c>
      <c r="AV45" s="49">
        <v>0</v>
      </c>
      <c r="AW45" s="49">
        <v>0</v>
      </c>
      <c r="AX45" s="22">
        <v>-3</v>
      </c>
      <c r="AY45" s="13">
        <v>-8.0000000000000002E-3</v>
      </c>
      <c r="AZ45" s="22">
        <v>8.0000000000000002E-3</v>
      </c>
      <c r="BA45" s="22">
        <v>2.0009999999999999</v>
      </c>
      <c r="BB45" s="22">
        <v>0</v>
      </c>
      <c r="BC45" s="22">
        <v>0</v>
      </c>
      <c r="BD45" s="22">
        <v>-2.11</v>
      </c>
      <c r="BE45" s="22">
        <v>-2.6339999999999999</v>
      </c>
      <c r="BF45" s="22">
        <v>0</v>
      </c>
      <c r="BG45" s="22">
        <v>0</v>
      </c>
      <c r="BH45" s="22">
        <v>0</v>
      </c>
      <c r="BI45" s="22">
        <v>0</v>
      </c>
      <c r="BJ45" s="145">
        <v>0</v>
      </c>
    </row>
    <row r="46" spans="1:62" s="14" customFormat="1" ht="13.5" customHeight="1">
      <c r="A46" s="46" t="s">
        <v>160</v>
      </c>
      <c r="B46" s="83">
        <v>0</v>
      </c>
      <c r="C46" s="49">
        <f t="shared" si="30"/>
        <v>0</v>
      </c>
      <c r="D46" s="49">
        <f t="shared" si="31"/>
        <v>-1.7709999999999999</v>
      </c>
      <c r="E46" s="49">
        <f t="shared" si="32"/>
        <v>-1.5379999999999998</v>
      </c>
      <c r="F46" s="49">
        <f t="shared" ref="F46:F52" si="41">SUM(AD46:AG46)</f>
        <v>0</v>
      </c>
      <c r="G46" s="49">
        <f t="shared" si="34"/>
        <v>-0.55300000000000005</v>
      </c>
      <c r="H46" s="49">
        <f t="shared" si="35"/>
        <v>-13.760999999999999</v>
      </c>
      <c r="I46" s="49">
        <f t="shared" si="36"/>
        <v>14.314</v>
      </c>
      <c r="J46" s="49">
        <f t="shared" si="39"/>
        <v>-5</v>
      </c>
      <c r="K46" s="49">
        <f t="shared" si="37"/>
        <v>-1E-3</v>
      </c>
      <c r="L46" s="13">
        <f t="shared" si="38"/>
        <v>5.0010000000000003</v>
      </c>
      <c r="M46" s="82">
        <f t="shared" si="40"/>
        <v>-5.0810000000000004</v>
      </c>
      <c r="N46" s="79">
        <v>0</v>
      </c>
      <c r="O46" s="13">
        <v>0</v>
      </c>
      <c r="P46" s="13">
        <v>0</v>
      </c>
      <c r="Q46" s="13">
        <f>B46-P46-O46-N46</f>
        <v>0</v>
      </c>
      <c r="R46" s="69">
        <v>0</v>
      </c>
      <c r="S46" s="69">
        <v>0</v>
      </c>
      <c r="T46" s="13">
        <v>0</v>
      </c>
      <c r="U46" s="13">
        <v>0</v>
      </c>
      <c r="V46" s="13">
        <v>0</v>
      </c>
      <c r="W46" s="13">
        <v>-2.012</v>
      </c>
      <c r="X46" s="13">
        <v>0</v>
      </c>
      <c r="Y46" s="13">
        <v>0.24099999999999999</v>
      </c>
      <c r="Z46" s="13">
        <v>0</v>
      </c>
      <c r="AA46" s="13">
        <v>-1.6539999999999999</v>
      </c>
      <c r="AB46" s="13">
        <v>0</v>
      </c>
      <c r="AC46" s="13">
        <v>0.11600000000000001</v>
      </c>
      <c r="AD46" s="13">
        <v>0</v>
      </c>
      <c r="AE46" s="13">
        <v>0</v>
      </c>
      <c r="AF46" s="13">
        <v>0</v>
      </c>
      <c r="AG46" s="13">
        <v>0</v>
      </c>
      <c r="AH46" s="13">
        <v>0</v>
      </c>
      <c r="AI46" s="13">
        <v>0</v>
      </c>
      <c r="AJ46" s="13">
        <v>0</v>
      </c>
      <c r="AK46" s="13">
        <v>-0.55300000000000005</v>
      </c>
      <c r="AL46" s="13">
        <v>0</v>
      </c>
      <c r="AM46" s="13">
        <v>0</v>
      </c>
      <c r="AN46" s="13">
        <v>0</v>
      </c>
      <c r="AO46" s="13">
        <v>-13.760999999999999</v>
      </c>
      <c r="AP46" s="13">
        <v>10.898999999999999</v>
      </c>
      <c r="AQ46" s="13">
        <v>-3.1659999999999999</v>
      </c>
      <c r="AR46" s="13">
        <v>6.5810000000000004</v>
      </c>
      <c r="AS46" s="13">
        <v>0</v>
      </c>
      <c r="AT46" s="13">
        <v>0</v>
      </c>
      <c r="AU46" s="13">
        <v>-0.503</v>
      </c>
      <c r="AV46" s="13">
        <v>0.503</v>
      </c>
      <c r="AW46" s="13">
        <v>-5</v>
      </c>
      <c r="AX46" s="22">
        <v>0</v>
      </c>
      <c r="AY46" s="13">
        <v>0</v>
      </c>
      <c r="AZ46" s="22">
        <v>0</v>
      </c>
      <c r="BA46" s="22">
        <v>-1E-3</v>
      </c>
      <c r="BB46" s="22">
        <v>0</v>
      </c>
      <c r="BC46" s="22">
        <v>0</v>
      </c>
      <c r="BD46" s="22">
        <v>0</v>
      </c>
      <c r="BE46" s="22">
        <v>5.0010000000000003</v>
      </c>
      <c r="BF46" s="22">
        <v>0</v>
      </c>
      <c r="BG46" s="22">
        <v>0</v>
      </c>
      <c r="BH46" s="22">
        <v>0</v>
      </c>
      <c r="BI46" s="22">
        <f>-5081/1000</f>
        <v>-5.0810000000000004</v>
      </c>
      <c r="BJ46" s="145">
        <v>0</v>
      </c>
    </row>
    <row r="47" spans="1:62" s="14" customFormat="1">
      <c r="A47" s="46" t="s">
        <v>70</v>
      </c>
      <c r="B47" s="83">
        <v>-7.0629999999999997</v>
      </c>
      <c r="C47" s="49">
        <f t="shared" si="30"/>
        <v>-23.524000000000001</v>
      </c>
      <c r="D47" s="49">
        <f t="shared" si="31"/>
        <v>-11.092000000000001</v>
      </c>
      <c r="E47" s="49">
        <f t="shared" si="32"/>
        <v>-12.861000000000001</v>
      </c>
      <c r="F47" s="49">
        <f t="shared" si="41"/>
        <v>-6.6639999999999997</v>
      </c>
      <c r="G47" s="49">
        <f t="shared" si="34"/>
        <v>-11.926</v>
      </c>
      <c r="H47" s="49">
        <f t="shared" si="35"/>
        <v>-4.016</v>
      </c>
      <c r="I47" s="49">
        <f t="shared" si="36"/>
        <v>-2.8079999999999998</v>
      </c>
      <c r="J47" s="49">
        <f t="shared" si="39"/>
        <v>-1.4049999999999998</v>
      </c>
      <c r="K47" s="49">
        <f t="shared" si="37"/>
        <v>-3.742</v>
      </c>
      <c r="L47" s="13">
        <f t="shared" si="38"/>
        <v>-2.3149999999999999</v>
      </c>
      <c r="M47" s="82">
        <f t="shared" si="40"/>
        <v>-2.7890000000000001</v>
      </c>
      <c r="N47" s="79">
        <v>-1.1240000000000001</v>
      </c>
      <c r="O47" s="13">
        <v>-1.6869999999999998</v>
      </c>
      <c r="P47" s="13">
        <v>-1.6379999999999999</v>
      </c>
      <c r="Q47" s="13">
        <f>B47-P47-O47-N47</f>
        <v>-2.6139999999999999</v>
      </c>
      <c r="R47" s="69">
        <v>-1.9079999999999999</v>
      </c>
      <c r="S47" s="69">
        <v>-2.859</v>
      </c>
      <c r="T47" s="13">
        <v>-8.0839999999999996</v>
      </c>
      <c r="U47" s="13">
        <v>-10.673</v>
      </c>
      <c r="V47" s="13">
        <v>-4.6349999999999998</v>
      </c>
      <c r="W47" s="13">
        <v>-2.0270000000000001</v>
      </c>
      <c r="X47" s="13">
        <v>-2.6040000000000001</v>
      </c>
      <c r="Y47" s="13">
        <v>-1.8260000000000001</v>
      </c>
      <c r="Z47" s="13">
        <v>-2.0059999999999998</v>
      </c>
      <c r="AA47" s="13">
        <v>-2.1850000000000001</v>
      </c>
      <c r="AB47" s="13">
        <v>-2.89</v>
      </c>
      <c r="AC47" s="13">
        <v>-5.78</v>
      </c>
      <c r="AD47" s="13">
        <v>-1.5249999999999999</v>
      </c>
      <c r="AE47" s="13">
        <v>-1.804</v>
      </c>
      <c r="AF47" s="13">
        <v>-2.3879999999999999</v>
      </c>
      <c r="AG47" s="13">
        <v>-0.94699999999999995</v>
      </c>
      <c r="AH47" s="13">
        <v>-1.657</v>
      </c>
      <c r="AI47" s="13">
        <v>-1.502</v>
      </c>
      <c r="AJ47" s="13">
        <v>-5.7249999999999996</v>
      </c>
      <c r="AK47" s="13">
        <v>-3.0419999999999998</v>
      </c>
      <c r="AL47" s="13">
        <v>-1.302</v>
      </c>
      <c r="AM47" s="13">
        <v>-1.0860000000000001</v>
      </c>
      <c r="AN47" s="13">
        <v>-0.83199999999999996</v>
      </c>
      <c r="AO47" s="13">
        <v>-0.79600000000000004</v>
      </c>
      <c r="AP47" s="13">
        <v>-0.63</v>
      </c>
      <c r="AQ47" s="13">
        <v>-0.94899999999999995</v>
      </c>
      <c r="AR47" s="13">
        <v>-0.74399999999999999</v>
      </c>
      <c r="AS47" s="13">
        <v>-0.48499999999999999</v>
      </c>
      <c r="AT47" s="13">
        <v>-0.41199999999999998</v>
      </c>
      <c r="AU47" s="13">
        <v>-0.56699999999999995</v>
      </c>
      <c r="AV47" s="13">
        <v>-0.27400000000000002</v>
      </c>
      <c r="AW47" s="13">
        <v>-0.152</v>
      </c>
      <c r="AX47" s="22">
        <v>-0.37</v>
      </c>
      <c r="AY47" s="13">
        <v>-0.76</v>
      </c>
      <c r="AZ47" s="22">
        <v>-0.495</v>
      </c>
      <c r="BA47" s="22">
        <v>-2.117</v>
      </c>
      <c r="BB47" s="22">
        <v>-0.42799999999999999</v>
      </c>
      <c r="BC47" s="22">
        <v>-0.151</v>
      </c>
      <c r="BD47" s="22">
        <v>-1.196</v>
      </c>
      <c r="BE47" s="22">
        <v>-0.54</v>
      </c>
      <c r="BF47" s="22">
        <v>-0.56200000000000006</v>
      </c>
      <c r="BG47" s="22">
        <v>-1.196</v>
      </c>
      <c r="BH47" s="22">
        <v>-0.91300000000000003</v>
      </c>
      <c r="BI47" s="22">
        <f>-118/1000</f>
        <v>-0.11799999999999999</v>
      </c>
      <c r="BJ47" s="22">
        <f>-686/1000</f>
        <v>-0.68600000000000005</v>
      </c>
    </row>
    <row r="48" spans="1:62" s="14" customFormat="1">
      <c r="A48" s="46" t="s">
        <v>187</v>
      </c>
      <c r="B48" s="83">
        <v>0</v>
      </c>
      <c r="C48" s="49">
        <v>0</v>
      </c>
      <c r="D48" s="49">
        <v>0</v>
      </c>
      <c r="E48" s="49">
        <v>0</v>
      </c>
      <c r="F48" s="49">
        <v>0</v>
      </c>
      <c r="G48" s="49">
        <v>0</v>
      </c>
      <c r="H48" s="49">
        <v>0</v>
      </c>
      <c r="I48" s="49">
        <f t="shared" si="36"/>
        <v>0</v>
      </c>
      <c r="J48" s="49">
        <v>0</v>
      </c>
      <c r="K48" s="49">
        <f t="shared" si="37"/>
        <v>0</v>
      </c>
      <c r="L48" s="13">
        <f t="shared" si="38"/>
        <v>-0.13300000000000001</v>
      </c>
      <c r="M48" s="82">
        <f t="shared" si="40"/>
        <v>0</v>
      </c>
      <c r="N48" s="79">
        <v>0</v>
      </c>
      <c r="O48" s="13">
        <v>0</v>
      </c>
      <c r="P48" s="13">
        <v>0</v>
      </c>
      <c r="Q48" s="13">
        <v>0</v>
      </c>
      <c r="R48" s="69">
        <v>0</v>
      </c>
      <c r="S48" s="69">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22">
        <v>0</v>
      </c>
      <c r="AY48" s="13">
        <v>0</v>
      </c>
      <c r="AZ48" s="22">
        <v>0</v>
      </c>
      <c r="BA48" s="22">
        <v>0</v>
      </c>
      <c r="BB48" s="22">
        <v>0</v>
      </c>
      <c r="BC48" s="22">
        <v>0</v>
      </c>
      <c r="BD48" s="22">
        <v>-0.13300000000000001</v>
      </c>
      <c r="BE48" s="22">
        <v>0</v>
      </c>
      <c r="BF48" s="22">
        <v>0</v>
      </c>
      <c r="BG48" s="22">
        <v>0</v>
      </c>
      <c r="BH48" s="22">
        <v>0</v>
      </c>
      <c r="BI48" s="22">
        <v>0</v>
      </c>
      <c r="BJ48" s="145">
        <v>0</v>
      </c>
    </row>
    <row r="49" spans="1:62" s="14" customFormat="1">
      <c r="A49" s="46" t="s">
        <v>102</v>
      </c>
      <c r="B49" s="83">
        <v>0</v>
      </c>
      <c r="C49" s="49">
        <f t="shared" ref="C49" si="42">SUM(R49:U49)</f>
        <v>0</v>
      </c>
      <c r="D49" s="49">
        <f t="shared" si="31"/>
        <v>-4</v>
      </c>
      <c r="E49" s="49">
        <f t="shared" si="32"/>
        <v>0</v>
      </c>
      <c r="F49" s="49">
        <f t="shared" si="41"/>
        <v>0</v>
      </c>
      <c r="G49" s="49">
        <f t="shared" si="34"/>
        <v>0</v>
      </c>
      <c r="H49" s="49">
        <f t="shared" si="35"/>
        <v>0</v>
      </c>
      <c r="I49" s="49">
        <f t="shared" si="36"/>
        <v>0</v>
      </c>
      <c r="J49" s="49">
        <f t="shared" si="39"/>
        <v>0</v>
      </c>
      <c r="K49" s="49">
        <f t="shared" si="37"/>
        <v>0</v>
      </c>
      <c r="L49" s="13">
        <f t="shared" si="38"/>
        <v>0</v>
      </c>
      <c r="M49" s="82">
        <f t="shared" si="40"/>
        <v>0</v>
      </c>
      <c r="N49" s="79">
        <v>0</v>
      </c>
      <c r="O49" s="13">
        <v>0</v>
      </c>
      <c r="P49" s="13">
        <v>0</v>
      </c>
      <c r="Q49" s="13">
        <f>B49-P49-O49-N49</f>
        <v>0</v>
      </c>
      <c r="R49" s="69">
        <v>0</v>
      </c>
      <c r="S49" s="69">
        <v>0</v>
      </c>
      <c r="T49" s="13">
        <v>0</v>
      </c>
      <c r="U49" s="13">
        <v>0</v>
      </c>
      <c r="V49" s="13">
        <v>0</v>
      </c>
      <c r="W49" s="13">
        <v>0</v>
      </c>
      <c r="X49" s="13">
        <v>-4</v>
      </c>
      <c r="Y49" s="13">
        <v>0</v>
      </c>
      <c r="Z49" s="13">
        <v>0</v>
      </c>
      <c r="AA49" s="13">
        <v>0</v>
      </c>
      <c r="AB49" s="13">
        <v>0</v>
      </c>
      <c r="AC49" s="13">
        <v>0</v>
      </c>
      <c r="AD49" s="13">
        <v>0</v>
      </c>
      <c r="AE49" s="13">
        <v>0</v>
      </c>
      <c r="AF49" s="13">
        <v>0</v>
      </c>
      <c r="AG49" s="13">
        <v>0</v>
      </c>
      <c r="AH49" s="13">
        <v>0</v>
      </c>
      <c r="AI49" s="13">
        <v>0</v>
      </c>
      <c r="AJ49" s="13">
        <v>0</v>
      </c>
      <c r="AK49" s="13">
        <v>0</v>
      </c>
      <c r="AL49" s="13">
        <v>0</v>
      </c>
      <c r="AM49" s="13">
        <v>0</v>
      </c>
      <c r="AN49" s="13">
        <v>0</v>
      </c>
      <c r="AO49" s="13">
        <v>0</v>
      </c>
      <c r="AP49" s="13">
        <v>0</v>
      </c>
      <c r="AQ49" s="13">
        <v>0</v>
      </c>
      <c r="AR49" s="13">
        <v>0</v>
      </c>
      <c r="AS49" s="13">
        <v>0</v>
      </c>
      <c r="AT49" s="13">
        <v>0</v>
      </c>
      <c r="AU49" s="13">
        <v>0</v>
      </c>
      <c r="AV49" s="13">
        <v>0</v>
      </c>
      <c r="AW49" s="13">
        <v>0</v>
      </c>
      <c r="AX49" s="22">
        <v>0</v>
      </c>
      <c r="AY49" s="13">
        <v>0</v>
      </c>
      <c r="AZ49" s="22">
        <v>0</v>
      </c>
      <c r="BA49" s="22">
        <v>0</v>
      </c>
      <c r="BB49" s="22">
        <v>0</v>
      </c>
      <c r="BC49" s="22">
        <v>0</v>
      </c>
      <c r="BD49" s="22">
        <v>0</v>
      </c>
      <c r="BE49" s="22">
        <v>0</v>
      </c>
      <c r="BF49" s="22">
        <v>0</v>
      </c>
      <c r="BG49" s="22">
        <v>0</v>
      </c>
      <c r="BH49" s="22">
        <v>0</v>
      </c>
      <c r="BI49" s="22">
        <v>0</v>
      </c>
      <c r="BJ49" s="145">
        <v>0</v>
      </c>
    </row>
    <row r="50" spans="1:62" s="14" customFormat="1">
      <c r="A50" s="46" t="s">
        <v>138</v>
      </c>
      <c r="B50" s="83">
        <v>0</v>
      </c>
      <c r="C50" s="49">
        <f t="shared" si="30"/>
        <v>0</v>
      </c>
      <c r="D50" s="49">
        <v>0</v>
      </c>
      <c r="E50" s="49">
        <f t="shared" si="32"/>
        <v>-1.7849999999999999</v>
      </c>
      <c r="F50" s="49">
        <f t="shared" si="41"/>
        <v>0</v>
      </c>
      <c r="G50" s="49">
        <f t="shared" si="34"/>
        <v>0</v>
      </c>
      <c r="H50" s="49">
        <f t="shared" si="35"/>
        <v>0</v>
      </c>
      <c r="I50" s="49">
        <f t="shared" si="36"/>
        <v>0</v>
      </c>
      <c r="J50" s="49">
        <f t="shared" si="39"/>
        <v>0</v>
      </c>
      <c r="K50" s="49">
        <f t="shared" si="37"/>
        <v>0</v>
      </c>
      <c r="L50" s="13">
        <f t="shared" si="38"/>
        <v>0</v>
      </c>
      <c r="M50" s="82">
        <f t="shared" si="40"/>
        <v>0</v>
      </c>
      <c r="N50" s="79">
        <v>0</v>
      </c>
      <c r="O50" s="13">
        <v>0</v>
      </c>
      <c r="P50" s="13">
        <v>0</v>
      </c>
      <c r="Q50" s="13">
        <f>B50-P50-O50-N50</f>
        <v>0</v>
      </c>
      <c r="R50" s="69">
        <v>0</v>
      </c>
      <c r="S50" s="69">
        <v>0</v>
      </c>
      <c r="T50" s="13">
        <v>0</v>
      </c>
      <c r="U50" s="13">
        <v>0</v>
      </c>
      <c r="V50" s="13">
        <v>0</v>
      </c>
      <c r="W50" s="13">
        <v>0</v>
      </c>
      <c r="X50" s="13">
        <v>0</v>
      </c>
      <c r="Y50" s="13">
        <v>0</v>
      </c>
      <c r="Z50" s="13">
        <v>0</v>
      </c>
      <c r="AA50" s="13">
        <v>-1.7849999999999999</v>
      </c>
      <c r="AB50" s="13">
        <v>0</v>
      </c>
      <c r="AC50" s="13">
        <v>0</v>
      </c>
      <c r="AD50" s="13">
        <v>0</v>
      </c>
      <c r="AE50" s="13">
        <v>0</v>
      </c>
      <c r="AF50" s="13">
        <v>0</v>
      </c>
      <c r="AG50" s="13">
        <v>0</v>
      </c>
      <c r="AH50" s="13">
        <v>0</v>
      </c>
      <c r="AI50" s="13">
        <v>0</v>
      </c>
      <c r="AJ50" s="13">
        <v>0</v>
      </c>
      <c r="AK50" s="13">
        <v>0</v>
      </c>
      <c r="AL50" s="13">
        <v>0</v>
      </c>
      <c r="AM50" s="13">
        <v>0</v>
      </c>
      <c r="AN50" s="13">
        <v>0</v>
      </c>
      <c r="AO50" s="13">
        <v>0</v>
      </c>
      <c r="AP50" s="13">
        <v>0</v>
      </c>
      <c r="AQ50" s="13">
        <v>0</v>
      </c>
      <c r="AR50" s="13">
        <v>0</v>
      </c>
      <c r="AS50" s="13">
        <v>0</v>
      </c>
      <c r="AT50" s="13">
        <v>0</v>
      </c>
      <c r="AU50" s="13">
        <v>0</v>
      </c>
      <c r="AV50" s="13">
        <v>0</v>
      </c>
      <c r="AW50" s="13">
        <v>0</v>
      </c>
      <c r="AX50" s="22">
        <v>0</v>
      </c>
      <c r="AY50" s="13">
        <v>0</v>
      </c>
      <c r="AZ50" s="22">
        <v>0</v>
      </c>
      <c r="BA50" s="22">
        <v>0</v>
      </c>
      <c r="BB50" s="22">
        <v>0</v>
      </c>
      <c r="BC50" s="22">
        <v>0</v>
      </c>
      <c r="BD50" s="22">
        <v>0</v>
      </c>
      <c r="BE50" s="22">
        <v>0</v>
      </c>
      <c r="BF50" s="22">
        <v>0</v>
      </c>
      <c r="BG50" s="22">
        <v>0</v>
      </c>
      <c r="BH50" s="22">
        <v>0</v>
      </c>
      <c r="BI50" s="22">
        <v>0</v>
      </c>
      <c r="BJ50" s="145">
        <v>0</v>
      </c>
    </row>
    <row r="51" spans="1:62" s="14" customFormat="1">
      <c r="A51" s="46" t="s">
        <v>186</v>
      </c>
      <c r="B51" s="83">
        <v>0</v>
      </c>
      <c r="C51" s="49">
        <f t="shared" ref="C51" si="43">SUM(R51:U51)</f>
        <v>0</v>
      </c>
      <c r="D51" s="49">
        <v>0</v>
      </c>
      <c r="E51" s="49">
        <f t="shared" ref="E51" si="44">SUM(Z51:AC51)</f>
        <v>0</v>
      </c>
      <c r="F51" s="49">
        <f t="shared" ref="F51" si="45">SUM(AD51:AG51)</f>
        <v>0</v>
      </c>
      <c r="G51" s="49">
        <f t="shared" ref="G51" si="46">SUM(AH51:AK51)</f>
        <v>0</v>
      </c>
      <c r="H51" s="49">
        <f t="shared" ref="H51" si="47">SUM(AL51:AO51)</f>
        <v>0</v>
      </c>
      <c r="I51" s="49">
        <f t="shared" si="36"/>
        <v>0</v>
      </c>
      <c r="J51" s="49">
        <f t="shared" ref="J51" si="48">SUM(AT51:AW51)</f>
        <v>0</v>
      </c>
      <c r="K51" s="49">
        <f t="shared" si="37"/>
        <v>0</v>
      </c>
      <c r="L51" s="13">
        <f t="shared" si="38"/>
        <v>21.195</v>
      </c>
      <c r="M51" s="82">
        <f t="shared" si="40"/>
        <v>7.1290000000000004</v>
      </c>
      <c r="N51" s="79">
        <v>0</v>
      </c>
      <c r="O51" s="49">
        <v>0</v>
      </c>
      <c r="P51" s="49">
        <v>0</v>
      </c>
      <c r="Q51" s="49">
        <v>0</v>
      </c>
      <c r="R51" s="49">
        <v>0</v>
      </c>
      <c r="S51" s="49">
        <v>0</v>
      </c>
      <c r="T51" s="49">
        <v>0</v>
      </c>
      <c r="U51" s="49">
        <v>0</v>
      </c>
      <c r="V51" s="49">
        <v>0</v>
      </c>
      <c r="W51" s="49">
        <v>0</v>
      </c>
      <c r="X51" s="49">
        <v>0</v>
      </c>
      <c r="Y51" s="49">
        <v>0</v>
      </c>
      <c r="Z51" s="49">
        <v>0</v>
      </c>
      <c r="AA51" s="49">
        <v>0</v>
      </c>
      <c r="AB51" s="49">
        <v>0</v>
      </c>
      <c r="AC51" s="49">
        <v>0</v>
      </c>
      <c r="AD51" s="49">
        <v>0</v>
      </c>
      <c r="AE51" s="49">
        <v>0</v>
      </c>
      <c r="AF51" s="49">
        <v>0</v>
      </c>
      <c r="AG51" s="49">
        <v>0</v>
      </c>
      <c r="AH51" s="49">
        <v>0</v>
      </c>
      <c r="AI51" s="49">
        <v>0</v>
      </c>
      <c r="AJ51" s="49">
        <v>0</v>
      </c>
      <c r="AK51" s="49">
        <v>0</v>
      </c>
      <c r="AL51" s="49">
        <v>0</v>
      </c>
      <c r="AM51" s="49">
        <v>0</v>
      </c>
      <c r="AN51" s="49">
        <v>0</v>
      </c>
      <c r="AO51" s="49">
        <v>0</v>
      </c>
      <c r="AP51" s="49">
        <v>0</v>
      </c>
      <c r="AQ51" s="49">
        <v>0</v>
      </c>
      <c r="AR51" s="49">
        <v>0</v>
      </c>
      <c r="AS51" s="49">
        <v>0</v>
      </c>
      <c r="AT51" s="49">
        <v>0</v>
      </c>
      <c r="AU51" s="49">
        <v>0</v>
      </c>
      <c r="AV51" s="49">
        <v>0</v>
      </c>
      <c r="AW51" s="49">
        <v>0</v>
      </c>
      <c r="AX51" s="49">
        <v>0</v>
      </c>
      <c r="AY51" s="49">
        <v>0</v>
      </c>
      <c r="AZ51" s="49">
        <v>0</v>
      </c>
      <c r="BA51" s="49">
        <v>0</v>
      </c>
      <c r="BB51" s="49">
        <v>0</v>
      </c>
      <c r="BC51" s="22">
        <v>0</v>
      </c>
      <c r="BD51" s="22">
        <v>12.695</v>
      </c>
      <c r="BE51" s="22">
        <v>8.5</v>
      </c>
      <c r="BF51" s="22">
        <v>0</v>
      </c>
      <c r="BG51" s="22">
        <v>0</v>
      </c>
      <c r="BH51" s="22">
        <v>7.6420000000000003</v>
      </c>
      <c r="BI51" s="22">
        <f>-513/1000</f>
        <v>-0.51300000000000001</v>
      </c>
      <c r="BJ51" s="145">
        <v>0</v>
      </c>
    </row>
    <row r="52" spans="1:62" s="14" customFormat="1">
      <c r="A52" s="46" t="s">
        <v>103</v>
      </c>
      <c r="B52" s="83">
        <v>0</v>
      </c>
      <c r="C52" s="49">
        <f t="shared" si="30"/>
        <v>0</v>
      </c>
      <c r="D52" s="49">
        <f t="shared" si="31"/>
        <v>0</v>
      </c>
      <c r="E52" s="49">
        <f t="shared" si="32"/>
        <v>0</v>
      </c>
      <c r="F52" s="49">
        <f t="shared" si="41"/>
        <v>0</v>
      </c>
      <c r="G52" s="49">
        <f t="shared" si="34"/>
        <v>0.76100000000000001</v>
      </c>
      <c r="H52" s="49">
        <f t="shared" si="35"/>
        <v>0</v>
      </c>
      <c r="I52" s="49">
        <f t="shared" si="36"/>
        <v>0</v>
      </c>
      <c r="J52" s="49">
        <f t="shared" si="39"/>
        <v>0</v>
      </c>
      <c r="K52" s="49">
        <f t="shared" si="37"/>
        <v>0</v>
      </c>
      <c r="L52" s="13">
        <f t="shared" si="38"/>
        <v>0</v>
      </c>
      <c r="M52" s="82">
        <f t="shared" si="40"/>
        <v>0</v>
      </c>
      <c r="N52" s="79">
        <v>0</v>
      </c>
      <c r="O52" s="13">
        <v>0</v>
      </c>
      <c r="P52" s="13">
        <v>0</v>
      </c>
      <c r="Q52" s="13">
        <f>B52-P52-O52-N52</f>
        <v>0</v>
      </c>
      <c r="R52" s="69">
        <v>0</v>
      </c>
      <c r="S52" s="69">
        <v>0</v>
      </c>
      <c r="T52" s="13">
        <v>0</v>
      </c>
      <c r="U52" s="13">
        <v>0</v>
      </c>
      <c r="V52" s="13">
        <v>0</v>
      </c>
      <c r="W52" s="13">
        <v>0</v>
      </c>
      <c r="X52" s="13">
        <v>0</v>
      </c>
      <c r="Y52" s="13">
        <v>0</v>
      </c>
      <c r="Z52" s="13">
        <v>0</v>
      </c>
      <c r="AA52" s="13">
        <v>0</v>
      </c>
      <c r="AB52" s="13">
        <v>0</v>
      </c>
      <c r="AC52" s="13">
        <v>0</v>
      </c>
      <c r="AD52" s="13">
        <v>0</v>
      </c>
      <c r="AE52" s="13">
        <v>0</v>
      </c>
      <c r="AF52" s="13">
        <v>0</v>
      </c>
      <c r="AG52" s="13">
        <v>0</v>
      </c>
      <c r="AH52" s="13">
        <v>0</v>
      </c>
      <c r="AI52" s="13">
        <v>0</v>
      </c>
      <c r="AJ52" s="13">
        <v>0.16700000000000001</v>
      </c>
      <c r="AK52" s="13">
        <v>0.59399999999999997</v>
      </c>
      <c r="AL52" s="13">
        <v>0</v>
      </c>
      <c r="AM52" s="13">
        <v>0</v>
      </c>
      <c r="AN52" s="13">
        <v>0</v>
      </c>
      <c r="AO52" s="13">
        <v>0</v>
      </c>
      <c r="AP52" s="13">
        <v>0</v>
      </c>
      <c r="AQ52" s="13">
        <v>0</v>
      </c>
      <c r="AR52" s="13">
        <v>0</v>
      </c>
      <c r="AS52" s="13">
        <v>0</v>
      </c>
      <c r="AT52" s="13">
        <v>0</v>
      </c>
      <c r="AU52" s="13">
        <v>0</v>
      </c>
      <c r="AV52" s="13">
        <v>0</v>
      </c>
      <c r="AW52" s="13">
        <v>0</v>
      </c>
      <c r="AX52" s="22">
        <v>0</v>
      </c>
      <c r="AY52" s="13">
        <v>0</v>
      </c>
      <c r="AZ52" s="22">
        <v>0</v>
      </c>
      <c r="BA52" s="22">
        <v>0</v>
      </c>
      <c r="BB52" s="22">
        <v>0</v>
      </c>
      <c r="BC52" s="22">
        <v>0</v>
      </c>
      <c r="BD52" s="22">
        <v>0</v>
      </c>
      <c r="BE52" s="22">
        <v>0</v>
      </c>
      <c r="BF52" s="22">
        <v>0</v>
      </c>
      <c r="BG52" s="22">
        <v>0</v>
      </c>
      <c r="BH52" s="22">
        <v>0</v>
      </c>
      <c r="BI52" s="22">
        <v>0</v>
      </c>
      <c r="BJ52" s="145">
        <v>0</v>
      </c>
    </row>
    <row r="53" spans="1:62" s="19" customFormat="1">
      <c r="A53" s="45" t="s">
        <v>71</v>
      </c>
      <c r="B53" s="84">
        <f t="shared" ref="B53:M53" si="49">SUM(B44:B52)</f>
        <v>-7.0629999999999997</v>
      </c>
      <c r="C53" s="48">
        <f t="shared" si="49"/>
        <v>-23.524000000000001</v>
      </c>
      <c r="D53" s="48">
        <f t="shared" si="49"/>
        <v>-16.863</v>
      </c>
      <c r="E53" s="48">
        <f t="shared" si="49"/>
        <v>-16.184000000000001</v>
      </c>
      <c r="F53" s="48">
        <f t="shared" si="49"/>
        <v>-6.6639999999999997</v>
      </c>
      <c r="G53" s="48">
        <f t="shared" si="49"/>
        <v>-11.718000000000002</v>
      </c>
      <c r="H53" s="48">
        <f t="shared" si="49"/>
        <v>-17.777000000000001</v>
      </c>
      <c r="I53" s="48">
        <f t="shared" si="49"/>
        <v>11.645</v>
      </c>
      <c r="J53" s="48">
        <f t="shared" si="49"/>
        <v>-6.4049999999999994</v>
      </c>
      <c r="K53" s="48">
        <f t="shared" si="49"/>
        <v>-4.742</v>
      </c>
      <c r="L53" s="18">
        <f t="shared" si="49"/>
        <v>19.004000000000001</v>
      </c>
      <c r="M53" s="85">
        <f t="shared" si="49"/>
        <v>-0.74100000000000055</v>
      </c>
      <c r="N53" s="78">
        <f t="shared" ref="N53:AS53" si="50">SUM(N44:N52)</f>
        <v>-1.1240000000000001</v>
      </c>
      <c r="O53" s="18">
        <f t="shared" si="50"/>
        <v>-1.6869999999999998</v>
      </c>
      <c r="P53" s="18">
        <f t="shared" si="50"/>
        <v>-1.6379999999999999</v>
      </c>
      <c r="Q53" s="18">
        <f t="shared" si="50"/>
        <v>-2.6139999999999999</v>
      </c>
      <c r="R53" s="67">
        <f t="shared" si="50"/>
        <v>-1.9079999999999999</v>
      </c>
      <c r="S53" s="67">
        <f t="shared" si="50"/>
        <v>-2.859</v>
      </c>
      <c r="T53" s="18">
        <f t="shared" si="50"/>
        <v>-8.0839999999999996</v>
      </c>
      <c r="U53" s="18">
        <f t="shared" si="50"/>
        <v>-10.673</v>
      </c>
      <c r="V53" s="18">
        <f t="shared" si="50"/>
        <v>-4.6349999999999998</v>
      </c>
      <c r="W53" s="18">
        <f t="shared" si="50"/>
        <v>-4.0389999999999997</v>
      </c>
      <c r="X53" s="18">
        <f t="shared" si="50"/>
        <v>-6.6040000000000001</v>
      </c>
      <c r="Y53" s="18">
        <f t="shared" si="50"/>
        <v>-1.585</v>
      </c>
      <c r="Z53" s="18">
        <f t="shared" si="50"/>
        <v>-2.0059999999999998</v>
      </c>
      <c r="AA53" s="18">
        <f t="shared" si="50"/>
        <v>-5.6239999999999997</v>
      </c>
      <c r="AB53" s="18">
        <f t="shared" si="50"/>
        <v>-2.89</v>
      </c>
      <c r="AC53" s="18">
        <f t="shared" si="50"/>
        <v>-5.6640000000000006</v>
      </c>
      <c r="AD53" s="18">
        <f t="shared" si="50"/>
        <v>-1.5249999999999999</v>
      </c>
      <c r="AE53" s="18">
        <f t="shared" si="50"/>
        <v>-1.804</v>
      </c>
      <c r="AF53" s="18">
        <f t="shared" si="50"/>
        <v>-2.3879999999999999</v>
      </c>
      <c r="AG53" s="18">
        <f t="shared" si="50"/>
        <v>-0.94699999999999995</v>
      </c>
      <c r="AH53" s="18">
        <f t="shared" si="50"/>
        <v>-1.657</v>
      </c>
      <c r="AI53" s="18">
        <f t="shared" si="50"/>
        <v>-1.502</v>
      </c>
      <c r="AJ53" s="18">
        <f t="shared" si="50"/>
        <v>-5.5579999999999998</v>
      </c>
      <c r="AK53" s="18">
        <f t="shared" si="50"/>
        <v>-3.0009999999999999</v>
      </c>
      <c r="AL53" s="18">
        <f t="shared" si="50"/>
        <v>-1.302</v>
      </c>
      <c r="AM53" s="18">
        <f t="shared" si="50"/>
        <v>-1.0860000000000001</v>
      </c>
      <c r="AN53" s="18">
        <f t="shared" si="50"/>
        <v>-0.83199999999999996</v>
      </c>
      <c r="AO53" s="18">
        <f t="shared" si="50"/>
        <v>-14.556999999999999</v>
      </c>
      <c r="AP53" s="18">
        <f t="shared" si="50"/>
        <v>10.268999999999998</v>
      </c>
      <c r="AQ53" s="18">
        <f t="shared" si="50"/>
        <v>-4.1150000000000002</v>
      </c>
      <c r="AR53" s="18">
        <f t="shared" si="50"/>
        <v>5.8370000000000006</v>
      </c>
      <c r="AS53" s="18">
        <f t="shared" si="50"/>
        <v>-0.34599999999999997</v>
      </c>
      <c r="AT53" s="18">
        <f t="shared" ref="AT53:AY53" si="51">SUM(AT44:AT52)</f>
        <v>-0.41199999999999998</v>
      </c>
      <c r="AU53" s="18">
        <f t="shared" si="51"/>
        <v>-1.0699999999999998</v>
      </c>
      <c r="AV53" s="132">
        <f t="shared" si="51"/>
        <v>0.22899999999999998</v>
      </c>
      <c r="AW53" s="18">
        <f t="shared" si="51"/>
        <v>-5.1520000000000001</v>
      </c>
      <c r="AX53" s="145">
        <f>SUM(AX44:AX52)</f>
        <v>-3.37</v>
      </c>
      <c r="AY53" s="18">
        <f t="shared" si="51"/>
        <v>-0.76800000000000002</v>
      </c>
      <c r="AZ53" s="145">
        <f t="shared" ref="AZ53:BA53" si="52">SUM(AZ44:AZ52)</f>
        <v>-0.48699999999999999</v>
      </c>
      <c r="BA53" s="145">
        <f t="shared" si="52"/>
        <v>-0.11699999999999999</v>
      </c>
      <c r="BB53" s="145">
        <f t="shared" ref="BB53:BJ53" si="53">SUM(BB44:BB52)</f>
        <v>-0.42799999999999999</v>
      </c>
      <c r="BC53" s="145">
        <f t="shared" si="53"/>
        <v>-0.151</v>
      </c>
      <c r="BD53" s="145">
        <f t="shared" si="53"/>
        <v>9.2560000000000002</v>
      </c>
      <c r="BE53" s="145">
        <f t="shared" si="53"/>
        <v>10.327</v>
      </c>
      <c r="BF53" s="145">
        <f t="shared" si="53"/>
        <v>-0.56200000000000006</v>
      </c>
      <c r="BG53" s="145">
        <f t="shared" si="53"/>
        <v>-1.196</v>
      </c>
      <c r="BH53" s="145">
        <f t="shared" si="53"/>
        <v>6.7290000000000001</v>
      </c>
      <c r="BI53" s="145">
        <f t="shared" si="53"/>
        <v>-5.7120000000000006</v>
      </c>
      <c r="BJ53" s="145">
        <f t="shared" si="53"/>
        <v>-0.68600000000000005</v>
      </c>
    </row>
    <row r="54" spans="1:62" s="14" customFormat="1">
      <c r="A54" s="46"/>
      <c r="B54" s="83"/>
      <c r="C54" s="49"/>
      <c r="D54" s="49"/>
      <c r="E54" s="49"/>
      <c r="F54" s="49"/>
      <c r="G54" s="49"/>
      <c r="H54" s="49"/>
      <c r="I54" s="49"/>
      <c r="J54" s="49"/>
      <c r="K54" s="49"/>
      <c r="L54" s="18"/>
      <c r="M54" s="85"/>
      <c r="N54" s="79"/>
      <c r="O54" s="13"/>
      <c r="P54" s="13"/>
      <c r="Q54" s="13"/>
      <c r="R54" s="69"/>
      <c r="S54" s="69"/>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22"/>
      <c r="AY54" s="13"/>
      <c r="AZ54" s="22"/>
      <c r="BA54" s="22"/>
      <c r="BB54" s="22"/>
      <c r="BC54" s="22"/>
      <c r="BD54" s="22"/>
      <c r="BE54" s="22"/>
      <c r="BF54" s="22"/>
      <c r="BG54" s="22"/>
      <c r="BH54" s="145"/>
      <c r="BI54" s="22"/>
      <c r="BJ54" s="145"/>
    </row>
    <row r="55" spans="1:62" s="19" customFormat="1">
      <c r="A55" s="45" t="s">
        <v>72</v>
      </c>
      <c r="B55" s="84"/>
      <c r="C55" s="48"/>
      <c r="D55" s="48"/>
      <c r="E55" s="48"/>
      <c r="F55" s="48"/>
      <c r="G55" s="48"/>
      <c r="H55" s="48"/>
      <c r="I55" s="48"/>
      <c r="J55" s="48"/>
      <c r="K55" s="48"/>
      <c r="L55" s="18"/>
      <c r="M55" s="85"/>
      <c r="N55" s="78"/>
      <c r="O55" s="18"/>
      <c r="P55" s="18"/>
      <c r="Q55" s="18"/>
      <c r="R55" s="67"/>
      <c r="S55" s="67"/>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45"/>
      <c r="AY55" s="18"/>
      <c r="AZ55" s="145"/>
      <c r="BA55" s="145"/>
      <c r="BB55" s="145"/>
      <c r="BC55" s="145"/>
      <c r="BD55" s="145"/>
      <c r="BE55" s="145"/>
      <c r="BF55" s="145"/>
      <c r="BG55" s="145"/>
      <c r="BH55" s="145"/>
      <c r="BI55" s="22"/>
      <c r="BJ55" s="145"/>
    </row>
    <row r="56" spans="1:62" s="14" customFormat="1">
      <c r="A56" s="46" t="s">
        <v>104</v>
      </c>
      <c r="B56" s="83">
        <v>0</v>
      </c>
      <c r="C56" s="49">
        <f t="shared" ref="C56:C65" si="54">SUM(R56:U56)</f>
        <v>188.58700000000002</v>
      </c>
      <c r="D56" s="49">
        <f t="shared" ref="D56:D65" si="55">SUM(V56:Y56)</f>
        <v>4.8979999999999997</v>
      </c>
      <c r="E56" s="49">
        <f>SUM(Z56:AC56)</f>
        <v>0</v>
      </c>
      <c r="F56" s="49">
        <f t="shared" ref="F56:F70" si="56">SUM(AD56:AG56)</f>
        <v>0</v>
      </c>
      <c r="G56" s="49">
        <f t="shared" ref="G56:G65" si="57">SUM(AH56:AK56)</f>
        <v>0</v>
      </c>
      <c r="H56" s="49">
        <f t="shared" ref="H56:H65" si="58">SUM(AL56:AO56)</f>
        <v>0</v>
      </c>
      <c r="I56" s="49">
        <f t="shared" ref="I56:I65" si="59">SUM(AP56:AS56)</f>
        <v>0</v>
      </c>
      <c r="J56" s="49">
        <f t="shared" ref="J56:J64" si="60">SUM(AT56:AW56)</f>
        <v>0</v>
      </c>
      <c r="K56" s="49">
        <f t="shared" ref="K56:K67" si="61">SUM(AX56:BA56)</f>
        <v>0</v>
      </c>
      <c r="L56" s="13">
        <f t="shared" ref="L56:L67" si="62">SUM(BB56:BE56)</f>
        <v>0</v>
      </c>
      <c r="M56" s="82">
        <f>SUM(BF56:BI56)</f>
        <v>0</v>
      </c>
      <c r="N56" s="79">
        <v>0</v>
      </c>
      <c r="O56" s="13">
        <v>0</v>
      </c>
      <c r="P56" s="13">
        <v>0</v>
      </c>
      <c r="Q56" s="13">
        <f t="shared" ref="Q56:Q65" si="63">B56-P56-O56-N56</f>
        <v>0</v>
      </c>
      <c r="R56" s="69">
        <v>0</v>
      </c>
      <c r="S56" s="69">
        <v>187.58600000000001</v>
      </c>
      <c r="T56" s="13">
        <v>1.0009999999999999</v>
      </c>
      <c r="U56" s="13">
        <v>0</v>
      </c>
      <c r="V56" s="13">
        <v>0</v>
      </c>
      <c r="W56" s="13">
        <v>0</v>
      </c>
      <c r="X56" s="13">
        <v>4.8979999999999997</v>
      </c>
      <c r="Y56" s="13">
        <v>0</v>
      </c>
      <c r="Z56" s="13">
        <v>0</v>
      </c>
      <c r="AA56" s="13">
        <v>0</v>
      </c>
      <c r="AB56" s="13">
        <v>0</v>
      </c>
      <c r="AC56" s="13">
        <v>0</v>
      </c>
      <c r="AD56" s="13">
        <v>0</v>
      </c>
      <c r="AE56" s="13">
        <v>0</v>
      </c>
      <c r="AF56" s="13">
        <v>0</v>
      </c>
      <c r="AG56" s="13">
        <v>0</v>
      </c>
      <c r="AH56" s="13">
        <v>0</v>
      </c>
      <c r="AI56" s="13">
        <v>0</v>
      </c>
      <c r="AJ56" s="13">
        <v>0</v>
      </c>
      <c r="AK56" s="13">
        <v>0</v>
      </c>
      <c r="AL56" s="13">
        <v>0</v>
      </c>
      <c r="AM56" s="13">
        <v>0</v>
      </c>
      <c r="AN56" s="13">
        <v>0</v>
      </c>
      <c r="AO56" s="13">
        <v>0</v>
      </c>
      <c r="AP56" s="13">
        <v>0</v>
      </c>
      <c r="AQ56" s="13">
        <v>0</v>
      </c>
      <c r="AR56" s="13">
        <v>0</v>
      </c>
      <c r="AS56" s="13">
        <v>0</v>
      </c>
      <c r="AT56" s="13">
        <v>0</v>
      </c>
      <c r="AU56" s="13">
        <v>0</v>
      </c>
      <c r="AV56" s="13">
        <v>0</v>
      </c>
      <c r="AW56" s="13">
        <v>0</v>
      </c>
      <c r="AX56" s="22">
        <v>0</v>
      </c>
      <c r="AY56" s="13">
        <v>0</v>
      </c>
      <c r="AZ56" s="22">
        <v>0</v>
      </c>
      <c r="BA56" s="22">
        <v>0</v>
      </c>
      <c r="BB56" s="22">
        <v>0</v>
      </c>
      <c r="BC56" s="22">
        <v>0</v>
      </c>
      <c r="BD56" s="22">
        <v>0</v>
      </c>
      <c r="BE56" s="22">
        <v>0</v>
      </c>
      <c r="BF56" s="22">
        <v>0</v>
      </c>
      <c r="BG56" s="22">
        <v>0</v>
      </c>
      <c r="BH56" s="22">
        <v>0</v>
      </c>
      <c r="BI56" s="22">
        <v>0</v>
      </c>
      <c r="BJ56" s="22">
        <v>0</v>
      </c>
    </row>
    <row r="57" spans="1:62" s="14" customFormat="1">
      <c r="A57" s="46" t="s">
        <v>137</v>
      </c>
      <c r="B57" s="83">
        <v>0</v>
      </c>
      <c r="C57" s="49">
        <f t="shared" si="54"/>
        <v>0</v>
      </c>
      <c r="D57" s="49">
        <f t="shared" si="55"/>
        <v>0</v>
      </c>
      <c r="E57" s="49">
        <f>SUM(Z57:AC57)</f>
        <v>-5.3920000000000003</v>
      </c>
      <c r="F57" s="49">
        <f t="shared" si="56"/>
        <v>-3.2803396500000019</v>
      </c>
      <c r="G57" s="49">
        <f t="shared" si="57"/>
        <v>-1.371</v>
      </c>
      <c r="H57" s="49">
        <f t="shared" si="58"/>
        <v>0</v>
      </c>
      <c r="I57" s="49">
        <f t="shared" si="59"/>
        <v>-0.26300000000000001</v>
      </c>
      <c r="J57" s="49">
        <f t="shared" si="60"/>
        <v>-1.8680000000000001</v>
      </c>
      <c r="K57" s="49">
        <f t="shared" si="61"/>
        <v>0</v>
      </c>
      <c r="L57" s="13">
        <f t="shared" si="62"/>
        <v>0</v>
      </c>
      <c r="M57" s="82">
        <f t="shared" ref="M57:M64" si="64">SUM(BF57:BI57)</f>
        <v>0</v>
      </c>
      <c r="N57" s="79">
        <v>0</v>
      </c>
      <c r="O57" s="13">
        <v>0</v>
      </c>
      <c r="P57" s="13">
        <v>0</v>
      </c>
      <c r="Q57" s="13">
        <f t="shared" si="63"/>
        <v>0</v>
      </c>
      <c r="R57" s="69">
        <v>0</v>
      </c>
      <c r="S57" s="69">
        <v>0</v>
      </c>
      <c r="T57" s="13">
        <v>0</v>
      </c>
      <c r="U57" s="13">
        <v>0</v>
      </c>
      <c r="V57" s="13">
        <v>0</v>
      </c>
      <c r="W57" s="13">
        <v>0</v>
      </c>
      <c r="X57" s="13">
        <v>0</v>
      </c>
      <c r="Y57" s="13">
        <v>0</v>
      </c>
      <c r="Z57" s="13">
        <v>0</v>
      </c>
      <c r="AA57" s="13">
        <v>0</v>
      </c>
      <c r="AB57" s="13">
        <v>0</v>
      </c>
      <c r="AC57" s="13">
        <v>-5.3920000000000003</v>
      </c>
      <c r="AD57" s="13">
        <v>-1.6060000000000001</v>
      </c>
      <c r="AE57" s="13">
        <v>-0.24216475000000015</v>
      </c>
      <c r="AF57" s="13">
        <v>-0.94388922000000075</v>
      </c>
      <c r="AG57" s="13">
        <f>-0.488285680000001</f>
        <v>-0.488285680000001</v>
      </c>
      <c r="AH57" s="13">
        <v>-0.37230551000000001</v>
      </c>
      <c r="AI57" s="13">
        <v>-0.99869448999999999</v>
      </c>
      <c r="AJ57" s="13">
        <v>0</v>
      </c>
      <c r="AK57" s="13">
        <v>0</v>
      </c>
      <c r="AL57" s="13">
        <v>0</v>
      </c>
      <c r="AM57" s="13">
        <v>0</v>
      </c>
      <c r="AN57" s="13">
        <v>0</v>
      </c>
      <c r="AO57" s="13">
        <v>0</v>
      </c>
      <c r="AP57" s="13">
        <v>0</v>
      </c>
      <c r="AQ57" s="13">
        <v>-3.6999999999999998E-2</v>
      </c>
      <c r="AR57" s="13">
        <v>-8.9999999999999993E-3</v>
      </c>
      <c r="AS57" s="13">
        <v>-0.217</v>
      </c>
      <c r="AT57" s="13">
        <v>-0.74399999999999999</v>
      </c>
      <c r="AU57" s="13">
        <v>-1.1240000000000001</v>
      </c>
      <c r="AV57" s="13">
        <v>0</v>
      </c>
      <c r="AW57" s="13">
        <v>0</v>
      </c>
      <c r="AX57" s="22">
        <v>0</v>
      </c>
      <c r="AY57" s="13">
        <v>0</v>
      </c>
      <c r="AZ57" s="22">
        <v>0</v>
      </c>
      <c r="BA57" s="22">
        <v>0</v>
      </c>
      <c r="BB57" s="22">
        <v>0</v>
      </c>
      <c r="BC57" s="22">
        <v>0</v>
      </c>
      <c r="BD57" s="22">
        <v>0</v>
      </c>
      <c r="BE57" s="22">
        <v>0</v>
      </c>
      <c r="BF57" s="22">
        <v>0</v>
      </c>
      <c r="BG57" s="22">
        <v>0</v>
      </c>
      <c r="BH57" s="22">
        <v>0</v>
      </c>
      <c r="BI57" s="22">
        <v>0</v>
      </c>
      <c r="BJ57" s="22">
        <v>0</v>
      </c>
    </row>
    <row r="58" spans="1:62" s="14" customFormat="1">
      <c r="A58" s="46" t="s">
        <v>73</v>
      </c>
      <c r="B58" s="83">
        <v>0</v>
      </c>
      <c r="C58" s="49">
        <f t="shared" si="54"/>
        <v>-14.643000000000001</v>
      </c>
      <c r="D58" s="49">
        <f t="shared" si="55"/>
        <v>0</v>
      </c>
      <c r="E58" s="49">
        <f t="shared" ref="E58:E65" si="65">SUM(Z58:AC58)</f>
        <v>0</v>
      </c>
      <c r="F58" s="49">
        <f t="shared" si="56"/>
        <v>0</v>
      </c>
      <c r="G58" s="49">
        <f t="shared" si="57"/>
        <v>0</v>
      </c>
      <c r="H58" s="49">
        <f t="shared" si="58"/>
        <v>0</v>
      </c>
      <c r="I58" s="49">
        <f t="shared" si="59"/>
        <v>0</v>
      </c>
      <c r="J58" s="49">
        <f t="shared" si="60"/>
        <v>0</v>
      </c>
      <c r="K58" s="49">
        <f t="shared" si="61"/>
        <v>0</v>
      </c>
      <c r="L58" s="13">
        <f t="shared" si="62"/>
        <v>0</v>
      </c>
      <c r="M58" s="82">
        <f>SUM(BF58:BI58)</f>
        <v>0</v>
      </c>
      <c r="N58" s="79">
        <v>0</v>
      </c>
      <c r="O58" s="13">
        <v>0</v>
      </c>
      <c r="P58" s="13">
        <v>0</v>
      </c>
      <c r="Q58" s="13">
        <f t="shared" si="63"/>
        <v>0</v>
      </c>
      <c r="R58" s="69">
        <v>0</v>
      </c>
      <c r="S58" s="69">
        <v>-14.4</v>
      </c>
      <c r="T58" s="13">
        <v>0</v>
      </c>
      <c r="U58" s="13">
        <v>-0.24299999999999999</v>
      </c>
      <c r="V58" s="13">
        <v>0</v>
      </c>
      <c r="W58" s="13">
        <v>0</v>
      </c>
      <c r="X58" s="13">
        <v>0</v>
      </c>
      <c r="Y58" s="13">
        <v>0</v>
      </c>
      <c r="Z58" s="13">
        <v>0</v>
      </c>
      <c r="AA58" s="13">
        <v>0</v>
      </c>
      <c r="AB58" s="13">
        <v>0</v>
      </c>
      <c r="AC58" s="13">
        <v>0</v>
      </c>
      <c r="AD58" s="13">
        <v>0</v>
      </c>
      <c r="AE58" s="13">
        <v>0</v>
      </c>
      <c r="AF58" s="13">
        <v>0</v>
      </c>
      <c r="AG58" s="13">
        <v>0</v>
      </c>
      <c r="AH58" s="13">
        <v>0</v>
      </c>
      <c r="AI58" s="13">
        <v>0</v>
      </c>
      <c r="AJ58" s="13">
        <v>0</v>
      </c>
      <c r="AK58" s="13">
        <v>0</v>
      </c>
      <c r="AL58" s="13">
        <v>0</v>
      </c>
      <c r="AM58" s="13">
        <v>0</v>
      </c>
      <c r="AN58" s="13">
        <v>0</v>
      </c>
      <c r="AO58" s="13">
        <v>0</v>
      </c>
      <c r="AP58" s="13">
        <v>0</v>
      </c>
      <c r="AQ58" s="13">
        <v>0</v>
      </c>
      <c r="AR58" s="13">
        <v>0</v>
      </c>
      <c r="AS58" s="13">
        <v>0</v>
      </c>
      <c r="AT58" s="13">
        <v>0</v>
      </c>
      <c r="AU58" s="13">
        <v>0</v>
      </c>
      <c r="AV58" s="13">
        <v>0</v>
      </c>
      <c r="AW58" s="13">
        <v>0</v>
      </c>
      <c r="AX58" s="22">
        <v>0</v>
      </c>
      <c r="AY58" s="13">
        <v>0</v>
      </c>
      <c r="AZ58" s="22">
        <v>0</v>
      </c>
      <c r="BA58" s="22">
        <v>0</v>
      </c>
      <c r="BB58" s="22">
        <v>0</v>
      </c>
      <c r="BC58" s="22">
        <v>0</v>
      </c>
      <c r="BD58" s="22">
        <v>0</v>
      </c>
      <c r="BE58" s="22">
        <v>0</v>
      </c>
      <c r="BF58" s="22">
        <v>0</v>
      </c>
      <c r="BG58" s="22">
        <v>0</v>
      </c>
      <c r="BH58" s="22">
        <v>0</v>
      </c>
      <c r="BI58" s="22">
        <v>0</v>
      </c>
      <c r="BJ58" s="22">
        <v>0</v>
      </c>
    </row>
    <row r="59" spans="1:62" s="14" customFormat="1">
      <c r="A59" s="46" t="s">
        <v>33</v>
      </c>
      <c r="B59" s="83">
        <v>3.44</v>
      </c>
      <c r="C59" s="49">
        <f t="shared" si="54"/>
        <v>-3.0699999999999994</v>
      </c>
      <c r="D59" s="49">
        <f t="shared" si="55"/>
        <v>2.4000000000000004</v>
      </c>
      <c r="E59" s="49">
        <f t="shared" si="65"/>
        <v>-0.19500000000000009</v>
      </c>
      <c r="F59" s="49">
        <f t="shared" si="56"/>
        <v>-2.4420000000000002</v>
      </c>
      <c r="G59" s="49">
        <f t="shared" si="57"/>
        <v>7.8370000000000006</v>
      </c>
      <c r="H59" s="49">
        <f t="shared" si="58"/>
        <v>-0.87300000000000022</v>
      </c>
      <c r="I59" s="49">
        <f t="shared" si="59"/>
        <v>-0.87399999999999967</v>
      </c>
      <c r="J59" s="49">
        <f t="shared" si="60"/>
        <v>1.1300000000000008</v>
      </c>
      <c r="K59" s="49">
        <f t="shared" si="61"/>
        <v>-0.3210000000000004</v>
      </c>
      <c r="L59" s="13">
        <f t="shared" si="62"/>
        <v>1.0000000000000009E-2</v>
      </c>
      <c r="M59" s="82">
        <f t="shared" si="64"/>
        <v>-1.133</v>
      </c>
      <c r="N59" s="79">
        <v>-0.15</v>
      </c>
      <c r="O59" s="13">
        <v>-2.3839999999999999</v>
      </c>
      <c r="P59" s="13">
        <v>1.0249999999999999</v>
      </c>
      <c r="Q59" s="13">
        <f t="shared" si="63"/>
        <v>4.9489999999999998</v>
      </c>
      <c r="R59" s="69">
        <v>-0.76100000000000001</v>
      </c>
      <c r="S59" s="69">
        <v>9.2119999999999997</v>
      </c>
      <c r="T59" s="13">
        <v>-1.889</v>
      </c>
      <c r="U59" s="13">
        <v>-9.6319999999999997</v>
      </c>
      <c r="V59" s="13">
        <v>3.0310000000000001</v>
      </c>
      <c r="W59" s="13">
        <v>-4.5609999999999999</v>
      </c>
      <c r="X59" s="13">
        <v>5.6349999999999998</v>
      </c>
      <c r="Y59" s="13">
        <v>-1.7050000000000001</v>
      </c>
      <c r="Z59" s="13">
        <v>-0.14499999999999999</v>
      </c>
      <c r="AA59" s="13">
        <v>-0.51900000000000002</v>
      </c>
      <c r="AB59" s="13">
        <v>0.69799999999999995</v>
      </c>
      <c r="AC59" s="13">
        <v>-0.22900000000000001</v>
      </c>
      <c r="AD59" s="13">
        <v>-0.47699999999999998</v>
      </c>
      <c r="AE59" s="13">
        <v>-5.0000000000000001E-3</v>
      </c>
      <c r="AF59" s="13">
        <v>-0.106</v>
      </c>
      <c r="AG59" s="13">
        <v>-1.8540000000000001</v>
      </c>
      <c r="AH59" s="13">
        <v>9.1180000000000003</v>
      </c>
      <c r="AI59" s="13">
        <v>-0.91700000000000004</v>
      </c>
      <c r="AJ59" s="13">
        <v>-0.48799999999999999</v>
      </c>
      <c r="AK59" s="13">
        <v>0.124</v>
      </c>
      <c r="AL59" s="13">
        <v>0.96599999999999997</v>
      </c>
      <c r="AM59" s="13">
        <v>-4.0330000000000004</v>
      </c>
      <c r="AN59" s="13">
        <v>4.0529999999999999</v>
      </c>
      <c r="AO59" s="13">
        <v>-1.859</v>
      </c>
      <c r="AP59" s="13">
        <v>0.74299999999999999</v>
      </c>
      <c r="AQ59" s="13">
        <v>3.8260000000000001</v>
      </c>
      <c r="AR59" s="13">
        <v>-1.2709999999999999</v>
      </c>
      <c r="AS59" s="13">
        <v>-4.1719999999999997</v>
      </c>
      <c r="AT59" s="13">
        <v>3.085</v>
      </c>
      <c r="AU59" s="13">
        <v>3.43</v>
      </c>
      <c r="AV59" s="13">
        <v>-6.1109999999999998</v>
      </c>
      <c r="AW59" s="13">
        <v>0.72599999999999998</v>
      </c>
      <c r="AX59" s="22">
        <v>-4.9820000000000002</v>
      </c>
      <c r="AY59" s="13">
        <v>2.5739999999999998</v>
      </c>
      <c r="AZ59" s="22">
        <v>2.097</v>
      </c>
      <c r="BA59" s="22">
        <v>-0.01</v>
      </c>
      <c r="BB59" s="22">
        <v>-0.434</v>
      </c>
      <c r="BC59" s="22">
        <v>3.5999999999999997E-2</v>
      </c>
      <c r="BD59" s="22">
        <v>0.67800000000000005</v>
      </c>
      <c r="BE59" s="22">
        <v>-0.27</v>
      </c>
      <c r="BF59" s="22">
        <v>-0.42</v>
      </c>
      <c r="BG59" s="22">
        <v>-0.105</v>
      </c>
      <c r="BH59" s="22">
        <v>-0.378</v>
      </c>
      <c r="BI59" s="22">
        <f>-230/1000</f>
        <v>-0.23</v>
      </c>
      <c r="BJ59" s="22">
        <f>-413/1000</f>
        <v>-0.41299999999999998</v>
      </c>
    </row>
    <row r="60" spans="1:62" s="14" customFormat="1">
      <c r="A60" s="46" t="s">
        <v>105</v>
      </c>
      <c r="B60" s="83">
        <v>-21.536000000000001</v>
      </c>
      <c r="C60" s="49">
        <f t="shared" si="54"/>
        <v>-28.334999999999997</v>
      </c>
      <c r="D60" s="49">
        <f t="shared" si="55"/>
        <v>-13.048999999999999</v>
      </c>
      <c r="E60" s="49">
        <f t="shared" si="65"/>
        <v>-1E-3</v>
      </c>
      <c r="F60" s="49">
        <f t="shared" si="56"/>
        <v>-0.54030276136249999</v>
      </c>
      <c r="G60" s="49">
        <f t="shared" si="57"/>
        <v>-0.23300000000000001</v>
      </c>
      <c r="H60" s="49">
        <f t="shared" si="58"/>
        <v>-1.9790000000000001</v>
      </c>
      <c r="I60" s="49">
        <f t="shared" si="59"/>
        <v>-6.3160000000000007</v>
      </c>
      <c r="J60" s="49">
        <f t="shared" si="60"/>
        <v>-21.058</v>
      </c>
      <c r="K60" s="49">
        <f t="shared" si="61"/>
        <v>-3.992</v>
      </c>
      <c r="L60" s="13">
        <f t="shared" si="62"/>
        <v>0</v>
      </c>
      <c r="M60" s="82">
        <f t="shared" si="64"/>
        <v>0</v>
      </c>
      <c r="N60" s="79">
        <v>0</v>
      </c>
      <c r="O60" s="13">
        <v>-16.143000000000001</v>
      </c>
      <c r="P60" s="13">
        <v>1.620000000000001</v>
      </c>
      <c r="Q60" s="13">
        <f t="shared" si="63"/>
        <v>-7.0130000000000017</v>
      </c>
      <c r="R60" s="69">
        <v>-27.895</v>
      </c>
      <c r="S60" s="69">
        <v>-8.8040000000000003</v>
      </c>
      <c r="T60" s="13">
        <v>0</v>
      </c>
      <c r="U60" s="13">
        <v>8.3640000000000008</v>
      </c>
      <c r="V60" s="13">
        <v>-0.17699999999999999</v>
      </c>
      <c r="W60" s="13">
        <v>0</v>
      </c>
      <c r="X60" s="13">
        <v>-14.273999999999999</v>
      </c>
      <c r="Y60" s="13">
        <v>1.4019999999999999</v>
      </c>
      <c r="Z60" s="13">
        <v>0</v>
      </c>
      <c r="AA60" s="13">
        <v>0</v>
      </c>
      <c r="AB60" s="13">
        <v>0</v>
      </c>
      <c r="AC60" s="13">
        <v>-1E-3</v>
      </c>
      <c r="AD60" s="13">
        <v>-9.5000000000000001E-2</v>
      </c>
      <c r="AE60" s="13">
        <v>0</v>
      </c>
      <c r="AF60" s="13">
        <v>0</v>
      </c>
      <c r="AG60" s="13">
        <v>-0.44530276136250002</v>
      </c>
      <c r="AH60" s="13">
        <v>0</v>
      </c>
      <c r="AI60" s="13">
        <v>-0.23400000000000001</v>
      </c>
      <c r="AJ60" s="13">
        <v>0</v>
      </c>
      <c r="AK60" s="13">
        <v>1E-3</v>
      </c>
      <c r="AL60" s="13">
        <v>0</v>
      </c>
      <c r="AM60" s="13">
        <v>-1.9790000000000001</v>
      </c>
      <c r="AN60" s="13">
        <v>0</v>
      </c>
      <c r="AO60" s="13">
        <v>0</v>
      </c>
      <c r="AP60" s="13">
        <v>0</v>
      </c>
      <c r="AQ60" s="13">
        <v>-6.3150000000000004</v>
      </c>
      <c r="AR60" s="13">
        <v>0</v>
      </c>
      <c r="AS60" s="13">
        <v>-1E-3</v>
      </c>
      <c r="AT60" s="13">
        <v>0</v>
      </c>
      <c r="AU60" s="13">
        <v>-21.068000000000001</v>
      </c>
      <c r="AV60" s="13">
        <v>0</v>
      </c>
      <c r="AW60" s="13">
        <v>0.01</v>
      </c>
      <c r="AX60" s="22">
        <v>0</v>
      </c>
      <c r="AY60" s="13">
        <v>-3.9820000000000002</v>
      </c>
      <c r="AZ60" s="22">
        <v>-0.01</v>
      </c>
      <c r="BA60" s="22">
        <v>0</v>
      </c>
      <c r="BB60" s="22">
        <v>0</v>
      </c>
      <c r="BC60" s="22">
        <v>0</v>
      </c>
      <c r="BD60" s="22">
        <v>0</v>
      </c>
      <c r="BE60" s="22">
        <v>0</v>
      </c>
      <c r="BF60" s="22">
        <v>0</v>
      </c>
      <c r="BG60" s="22">
        <v>0</v>
      </c>
      <c r="BH60" s="22">
        <v>0</v>
      </c>
      <c r="BI60" s="22">
        <v>0</v>
      </c>
      <c r="BJ60" s="22">
        <v>0</v>
      </c>
    </row>
    <row r="61" spans="1:62" s="14" customFormat="1">
      <c r="A61" s="46" t="s">
        <v>108</v>
      </c>
      <c r="B61" s="83">
        <v>150</v>
      </c>
      <c r="C61" s="49">
        <f t="shared" si="54"/>
        <v>0</v>
      </c>
      <c r="D61" s="49">
        <f t="shared" si="55"/>
        <v>0</v>
      </c>
      <c r="E61" s="49">
        <f t="shared" si="65"/>
        <v>0</v>
      </c>
      <c r="F61" s="49">
        <f t="shared" si="56"/>
        <v>0</v>
      </c>
      <c r="G61" s="49">
        <f t="shared" si="57"/>
        <v>50</v>
      </c>
      <c r="H61" s="49">
        <f t="shared" si="58"/>
        <v>0</v>
      </c>
      <c r="I61" s="49">
        <f t="shared" si="59"/>
        <v>0</v>
      </c>
      <c r="J61" s="49">
        <f t="shared" si="60"/>
        <v>120</v>
      </c>
      <c r="K61" s="49">
        <f t="shared" si="61"/>
        <v>0</v>
      </c>
      <c r="L61" s="13">
        <f t="shared" si="62"/>
        <v>0</v>
      </c>
      <c r="M61" s="82">
        <f t="shared" si="64"/>
        <v>-0.45100000000000001</v>
      </c>
      <c r="N61" s="79">
        <v>150</v>
      </c>
      <c r="O61" s="13">
        <v>0</v>
      </c>
      <c r="P61" s="13">
        <v>0</v>
      </c>
      <c r="Q61" s="13">
        <f t="shared" si="63"/>
        <v>0</v>
      </c>
      <c r="R61" s="69">
        <v>0</v>
      </c>
      <c r="S61" s="69">
        <v>0</v>
      </c>
      <c r="T61" s="13">
        <v>0</v>
      </c>
      <c r="U61" s="13">
        <v>0</v>
      </c>
      <c r="V61" s="13">
        <v>0</v>
      </c>
      <c r="W61" s="13">
        <v>0</v>
      </c>
      <c r="X61" s="13">
        <v>0</v>
      </c>
      <c r="Y61" s="13">
        <v>0</v>
      </c>
      <c r="Z61" s="13">
        <v>0</v>
      </c>
      <c r="AA61" s="13">
        <v>0</v>
      </c>
      <c r="AB61" s="13">
        <v>0</v>
      </c>
      <c r="AC61" s="13">
        <v>0</v>
      </c>
      <c r="AD61" s="13">
        <v>0</v>
      </c>
      <c r="AE61" s="13">
        <v>0</v>
      </c>
      <c r="AF61" s="13">
        <v>0</v>
      </c>
      <c r="AG61" s="13">
        <v>0</v>
      </c>
      <c r="AH61" s="13">
        <v>50</v>
      </c>
      <c r="AI61" s="13">
        <v>0</v>
      </c>
      <c r="AJ61" s="13">
        <v>0</v>
      </c>
      <c r="AK61" s="13">
        <v>0</v>
      </c>
      <c r="AL61" s="13">
        <v>0</v>
      </c>
      <c r="AM61" s="13">
        <v>0</v>
      </c>
      <c r="AN61" s="13">
        <v>0</v>
      </c>
      <c r="AO61" s="13">
        <v>0</v>
      </c>
      <c r="AP61" s="13">
        <v>0</v>
      </c>
      <c r="AQ61" s="13">
        <v>0</v>
      </c>
      <c r="AR61" s="13">
        <v>0</v>
      </c>
      <c r="AS61" s="13">
        <v>0</v>
      </c>
      <c r="AT61" s="13">
        <v>0</v>
      </c>
      <c r="AU61" s="13">
        <v>0</v>
      </c>
      <c r="AV61" s="13">
        <v>0</v>
      </c>
      <c r="AW61" s="13">
        <v>120</v>
      </c>
      <c r="AX61" s="22">
        <v>0</v>
      </c>
      <c r="AY61" s="13">
        <v>0</v>
      </c>
      <c r="AZ61" s="22">
        <v>0</v>
      </c>
      <c r="BA61" s="22">
        <v>0</v>
      </c>
      <c r="BB61" s="22">
        <v>0</v>
      </c>
      <c r="BC61" s="22">
        <v>0</v>
      </c>
      <c r="BD61" s="22">
        <v>0</v>
      </c>
      <c r="BE61" s="22">
        <v>0</v>
      </c>
      <c r="BF61" s="22">
        <v>0</v>
      </c>
      <c r="BG61" s="22">
        <v>0</v>
      </c>
      <c r="BH61" s="22">
        <v>-0.45100000000000001</v>
      </c>
      <c r="BI61" s="22">
        <v>0</v>
      </c>
      <c r="BJ61" s="22">
        <v>0</v>
      </c>
    </row>
    <row r="62" spans="1:62" s="14" customFormat="1">
      <c r="A62" s="46" t="s">
        <v>106</v>
      </c>
      <c r="B62" s="83">
        <v>0</v>
      </c>
      <c r="C62" s="49">
        <f t="shared" si="54"/>
        <v>0</v>
      </c>
      <c r="D62" s="49">
        <f t="shared" si="55"/>
        <v>44.353000000000002</v>
      </c>
      <c r="E62" s="49">
        <f t="shared" si="65"/>
        <v>9.4855605889139998</v>
      </c>
      <c r="F62" s="49">
        <f t="shared" si="56"/>
        <v>27.366884000000002</v>
      </c>
      <c r="G62" s="49">
        <f t="shared" si="57"/>
        <v>49.097999999999999</v>
      </c>
      <c r="H62" s="49">
        <f t="shared" si="58"/>
        <v>4.5179999999999998</v>
      </c>
      <c r="I62" s="49">
        <f t="shared" si="59"/>
        <v>0</v>
      </c>
      <c r="J62" s="49">
        <f t="shared" si="60"/>
        <v>0</v>
      </c>
      <c r="K62" s="49">
        <f t="shared" si="61"/>
        <v>0</v>
      </c>
      <c r="L62" s="13">
        <f t="shared" si="62"/>
        <v>0</v>
      </c>
      <c r="M62" s="82">
        <f t="shared" si="64"/>
        <v>0.45100000000000001</v>
      </c>
      <c r="N62" s="79">
        <v>0</v>
      </c>
      <c r="O62" s="13">
        <v>0</v>
      </c>
      <c r="P62" s="13">
        <v>0</v>
      </c>
      <c r="Q62" s="13">
        <f t="shared" si="63"/>
        <v>0</v>
      </c>
      <c r="R62" s="69">
        <v>0</v>
      </c>
      <c r="S62" s="69">
        <v>0</v>
      </c>
      <c r="T62" s="13">
        <v>0</v>
      </c>
      <c r="U62" s="13">
        <v>0</v>
      </c>
      <c r="V62" s="13">
        <v>0</v>
      </c>
      <c r="W62" s="13">
        <v>10.627000000000001</v>
      </c>
      <c r="X62" s="13">
        <v>35.311</v>
      </c>
      <c r="Y62" s="13">
        <v>-1.585</v>
      </c>
      <c r="Z62" s="13">
        <v>8.734</v>
      </c>
      <c r="AA62" s="13">
        <v>8.8539999999999992</v>
      </c>
      <c r="AB62" s="13">
        <v>4.7795605889139985</v>
      </c>
      <c r="AC62" s="13">
        <v>-12.882</v>
      </c>
      <c r="AD62" s="13">
        <v>0</v>
      </c>
      <c r="AE62" s="13">
        <v>2.9769999999999999</v>
      </c>
      <c r="AF62" s="13">
        <v>17.367000000000001</v>
      </c>
      <c r="AG62" s="13">
        <v>7.0228840000000003</v>
      </c>
      <c r="AH62" s="13">
        <v>5.4690000000000003</v>
      </c>
      <c r="AI62" s="13">
        <v>8.0020000000000007</v>
      </c>
      <c r="AJ62" s="13">
        <v>12.143000000000001</v>
      </c>
      <c r="AK62" s="13">
        <v>23.484000000000002</v>
      </c>
      <c r="AL62" s="13">
        <v>5.13</v>
      </c>
      <c r="AM62" s="13">
        <v>-0.61199999999999999</v>
      </c>
      <c r="AN62" s="13">
        <v>0</v>
      </c>
      <c r="AO62" s="13">
        <v>0</v>
      </c>
      <c r="AP62" s="13">
        <v>0</v>
      </c>
      <c r="AQ62" s="13">
        <v>0</v>
      </c>
      <c r="AR62" s="13">
        <v>0</v>
      </c>
      <c r="AS62" s="13">
        <v>0</v>
      </c>
      <c r="AT62" s="13">
        <v>0</v>
      </c>
      <c r="AU62" s="13">
        <v>0</v>
      </c>
      <c r="AV62" s="13">
        <v>0</v>
      </c>
      <c r="AW62" s="13">
        <v>0</v>
      </c>
      <c r="AX62" s="22">
        <v>0</v>
      </c>
      <c r="AY62" s="13">
        <v>0</v>
      </c>
      <c r="AZ62" s="22">
        <v>0</v>
      </c>
      <c r="BA62" s="22">
        <v>0</v>
      </c>
      <c r="BB62" s="22">
        <v>0</v>
      </c>
      <c r="BC62" s="22">
        <v>0</v>
      </c>
      <c r="BD62" s="22">
        <v>0</v>
      </c>
      <c r="BE62" s="22">
        <v>0</v>
      </c>
      <c r="BF62" s="22">
        <v>0</v>
      </c>
      <c r="BG62" s="22">
        <v>0.45100000000000001</v>
      </c>
      <c r="BH62" s="22">
        <v>0</v>
      </c>
      <c r="BI62" s="22">
        <v>0</v>
      </c>
      <c r="BJ62" s="22">
        <v>0</v>
      </c>
    </row>
    <row r="63" spans="1:62" s="14" customFormat="1">
      <c r="A63" s="46" t="s">
        <v>107</v>
      </c>
      <c r="B63" s="83">
        <v>-163.68100000000001</v>
      </c>
      <c r="C63" s="49">
        <f t="shared" si="54"/>
        <v>0</v>
      </c>
      <c r="D63" s="49">
        <f t="shared" si="55"/>
        <v>-31.687000000000001</v>
      </c>
      <c r="E63" s="49">
        <f t="shared" si="65"/>
        <v>-12.887696800000001</v>
      </c>
      <c r="F63" s="49">
        <f t="shared" si="56"/>
        <v>-14.26300128732</v>
      </c>
      <c r="G63" s="49">
        <f t="shared" si="57"/>
        <v>-71.033000000000001</v>
      </c>
      <c r="H63" s="49">
        <f t="shared" si="58"/>
        <v>-10.361000000000001</v>
      </c>
      <c r="I63" s="49">
        <f t="shared" si="59"/>
        <v>0</v>
      </c>
      <c r="J63" s="49">
        <f t="shared" si="60"/>
        <v>0</v>
      </c>
      <c r="K63" s="49">
        <f t="shared" si="61"/>
        <v>0</v>
      </c>
      <c r="L63" s="13">
        <f t="shared" si="62"/>
        <v>0</v>
      </c>
      <c r="M63" s="82">
        <f t="shared" si="64"/>
        <v>0</v>
      </c>
      <c r="N63" s="79">
        <v>-150.58799999999999</v>
      </c>
      <c r="O63" s="13">
        <v>-13.367999999999995</v>
      </c>
      <c r="P63" s="13">
        <v>8.4429999999999836</v>
      </c>
      <c r="Q63" s="13">
        <f t="shared" si="63"/>
        <v>-8.1680000000000064</v>
      </c>
      <c r="R63" s="69">
        <v>0</v>
      </c>
      <c r="S63" s="69">
        <v>0</v>
      </c>
      <c r="T63" s="13">
        <v>0</v>
      </c>
      <c r="U63" s="13">
        <v>0</v>
      </c>
      <c r="V63" s="13">
        <v>0</v>
      </c>
      <c r="W63" s="13">
        <v>0</v>
      </c>
      <c r="X63" s="13">
        <v>-28.004000000000001</v>
      </c>
      <c r="Y63" s="13">
        <v>-3.6829999999999998</v>
      </c>
      <c r="Z63" s="13">
        <v>0</v>
      </c>
      <c r="AA63" s="13">
        <v>-15.052</v>
      </c>
      <c r="AB63" s="13">
        <v>-7.9516967999999997</v>
      </c>
      <c r="AC63" s="13">
        <v>10.116</v>
      </c>
      <c r="AD63" s="13">
        <v>0</v>
      </c>
      <c r="AE63" s="13">
        <v>-2.0893838464959997</v>
      </c>
      <c r="AF63" s="13">
        <v>-12.173617440824</v>
      </c>
      <c r="AG63" s="13">
        <v>0</v>
      </c>
      <c r="AH63" s="13">
        <v>-3.7966776914340001</v>
      </c>
      <c r="AI63" s="13">
        <v>-16.062322308565999</v>
      </c>
      <c r="AJ63" s="13">
        <v>-26.475000000000001</v>
      </c>
      <c r="AK63" s="13">
        <v>-24.699000000000002</v>
      </c>
      <c r="AL63" s="13">
        <v>-9.4920000000000009</v>
      </c>
      <c r="AM63" s="13">
        <v>-1.121</v>
      </c>
      <c r="AN63" s="13">
        <v>4.7E-2</v>
      </c>
      <c r="AO63" s="13">
        <v>0.20499999999999999</v>
      </c>
      <c r="AP63" s="13">
        <v>0</v>
      </c>
      <c r="AQ63" s="13">
        <v>0</v>
      </c>
      <c r="AR63" s="13">
        <v>0</v>
      </c>
      <c r="AS63" s="13">
        <v>0</v>
      </c>
      <c r="AT63" s="13">
        <v>0</v>
      </c>
      <c r="AU63" s="13">
        <v>0</v>
      </c>
      <c r="AV63" s="13">
        <v>0</v>
      </c>
      <c r="AW63" s="13">
        <v>0</v>
      </c>
      <c r="AX63" s="22">
        <v>0</v>
      </c>
      <c r="AY63" s="13">
        <v>0</v>
      </c>
      <c r="AZ63" s="22">
        <v>0</v>
      </c>
      <c r="BA63" s="22">
        <v>0</v>
      </c>
      <c r="BB63" s="22">
        <v>0</v>
      </c>
      <c r="BC63" s="22">
        <v>0</v>
      </c>
      <c r="BD63" s="22">
        <v>0</v>
      </c>
      <c r="BE63" s="22">
        <v>0</v>
      </c>
      <c r="BF63" s="22">
        <v>0</v>
      </c>
      <c r="BG63" s="22">
        <v>0</v>
      </c>
      <c r="BH63" s="22">
        <v>0</v>
      </c>
      <c r="BI63" s="22">
        <v>0</v>
      </c>
      <c r="BJ63" s="22">
        <v>0</v>
      </c>
    </row>
    <row r="64" spans="1:62" s="14" customFormat="1">
      <c r="A64" s="46" t="s">
        <v>74</v>
      </c>
      <c r="B64" s="83">
        <v>0</v>
      </c>
      <c r="C64" s="49">
        <f t="shared" si="54"/>
        <v>-18.75</v>
      </c>
      <c r="D64" s="49">
        <f t="shared" si="55"/>
        <v>-37.5</v>
      </c>
      <c r="E64" s="49">
        <f t="shared" si="65"/>
        <v>-37.5</v>
      </c>
      <c r="F64" s="49">
        <f t="shared" si="56"/>
        <v>-41.161984300412001</v>
      </c>
      <c r="G64" s="49">
        <f t="shared" si="57"/>
        <v>-18.75</v>
      </c>
      <c r="H64" s="49">
        <f t="shared" si="58"/>
        <v>-8.3330000000000002</v>
      </c>
      <c r="I64" s="49">
        <f t="shared" si="59"/>
        <v>-16.667000000000002</v>
      </c>
      <c r="J64" s="49">
        <f t="shared" si="60"/>
        <v>-25</v>
      </c>
      <c r="K64" s="49">
        <f t="shared" si="61"/>
        <v>-8.8550000000000004</v>
      </c>
      <c r="L64" s="13">
        <f t="shared" si="62"/>
        <v>0</v>
      </c>
      <c r="M64" s="82">
        <f t="shared" si="64"/>
        <v>0</v>
      </c>
      <c r="N64" s="79">
        <v>0</v>
      </c>
      <c r="O64" s="13">
        <v>0</v>
      </c>
      <c r="P64" s="13">
        <v>0</v>
      </c>
      <c r="Q64" s="13">
        <f t="shared" si="63"/>
        <v>0</v>
      </c>
      <c r="R64" s="69">
        <v>0</v>
      </c>
      <c r="S64" s="69">
        <v>0</v>
      </c>
      <c r="T64" s="13">
        <v>-18.75</v>
      </c>
      <c r="U64" s="13">
        <v>0</v>
      </c>
      <c r="V64" s="13">
        <v>-18.75</v>
      </c>
      <c r="W64" s="13">
        <v>0</v>
      </c>
      <c r="X64" s="13">
        <v>-18.75</v>
      </c>
      <c r="Y64" s="13">
        <v>0</v>
      </c>
      <c r="Z64" s="13">
        <v>-18.75</v>
      </c>
      <c r="AA64" s="13">
        <v>0</v>
      </c>
      <c r="AB64" s="13">
        <v>-18.75</v>
      </c>
      <c r="AC64" s="13">
        <v>0</v>
      </c>
      <c r="AD64" s="13">
        <v>-18.75</v>
      </c>
      <c r="AE64" s="13">
        <v>0</v>
      </c>
      <c r="AF64" s="13">
        <v>-18.75</v>
      </c>
      <c r="AG64" s="13">
        <v>-3.6619843004120001</v>
      </c>
      <c r="AH64" s="13">
        <v>-18.75</v>
      </c>
      <c r="AI64" s="13">
        <v>0</v>
      </c>
      <c r="AJ64" s="13">
        <v>0</v>
      </c>
      <c r="AK64" s="13">
        <v>0</v>
      </c>
      <c r="AL64" s="13">
        <v>0</v>
      </c>
      <c r="AM64" s="13">
        <v>0</v>
      </c>
      <c r="AN64" s="13">
        <v>-8.3330000000000002</v>
      </c>
      <c r="AO64" s="13">
        <v>0</v>
      </c>
      <c r="AP64" s="13">
        <v>-8.3330000000000002</v>
      </c>
      <c r="AQ64" s="13">
        <v>0</v>
      </c>
      <c r="AR64" s="13">
        <v>-8.3339999999999996</v>
      </c>
      <c r="AS64" s="13">
        <v>0</v>
      </c>
      <c r="AT64" s="13">
        <v>-8.3330000000000002</v>
      </c>
      <c r="AU64" s="13">
        <v>0</v>
      </c>
      <c r="AV64" s="13">
        <v>-8.3339999999999996</v>
      </c>
      <c r="AW64" s="13">
        <v>-8.3330000000000002</v>
      </c>
      <c r="AX64" s="22">
        <v>0</v>
      </c>
      <c r="AY64" s="13">
        <v>0</v>
      </c>
      <c r="AZ64" s="22">
        <v>0</v>
      </c>
      <c r="BA64" s="22">
        <v>-8.8550000000000004</v>
      </c>
      <c r="BB64" s="22">
        <v>0</v>
      </c>
      <c r="BC64" s="22">
        <v>0</v>
      </c>
      <c r="BD64" s="22">
        <v>0</v>
      </c>
      <c r="BE64" s="22">
        <v>0</v>
      </c>
      <c r="BF64" s="22">
        <v>0</v>
      </c>
      <c r="BG64" s="22">
        <v>0</v>
      </c>
      <c r="BH64" s="22">
        <v>0</v>
      </c>
      <c r="BI64" s="22">
        <v>0</v>
      </c>
      <c r="BJ64" s="22">
        <v>0</v>
      </c>
    </row>
    <row r="65" spans="1:62" s="14" customFormat="1">
      <c r="A65" s="46" t="s">
        <v>75</v>
      </c>
      <c r="B65" s="83">
        <v>0</v>
      </c>
      <c r="C65" s="49">
        <f t="shared" si="54"/>
        <v>-14.569999999999999</v>
      </c>
      <c r="D65" s="49">
        <f t="shared" si="55"/>
        <v>-13.98</v>
      </c>
      <c r="E65" s="49">
        <f t="shared" si="65"/>
        <v>-7.8549999999999986</v>
      </c>
      <c r="F65" s="49">
        <f t="shared" si="56"/>
        <v>-3.5289999999999999</v>
      </c>
      <c r="G65" s="49">
        <f t="shared" si="57"/>
        <v>-5.1230000000000002</v>
      </c>
      <c r="H65" s="49">
        <f t="shared" si="58"/>
        <v>-8.0739999999999998</v>
      </c>
      <c r="I65" s="49">
        <f t="shared" si="59"/>
        <v>-5.3350000000000009</v>
      </c>
      <c r="J65" s="49">
        <f>SUM(AT65:AW65)</f>
        <v>-2.3220000000000001</v>
      </c>
      <c r="K65" s="49">
        <f t="shared" si="61"/>
        <v>0</v>
      </c>
      <c r="L65" s="13">
        <f t="shared" si="62"/>
        <v>-5.9079999999999995</v>
      </c>
      <c r="M65" s="82">
        <f>SUM(BF65:BI65)</f>
        <v>-8.1269999999999989</v>
      </c>
      <c r="N65" s="79">
        <v>0</v>
      </c>
      <c r="O65" s="13">
        <v>0</v>
      </c>
      <c r="P65" s="13">
        <v>-8.1679999999999993</v>
      </c>
      <c r="Q65" s="13">
        <f t="shared" si="63"/>
        <v>8.1679999999999993</v>
      </c>
      <c r="R65" s="69">
        <v>-4.5039999999999996</v>
      </c>
      <c r="S65" s="69">
        <v>-4.9279999999999999</v>
      </c>
      <c r="T65" s="13">
        <v>-5.1390000000000002</v>
      </c>
      <c r="U65" s="13">
        <v>1E-3</v>
      </c>
      <c r="V65" s="13">
        <v>-8.1980000000000004</v>
      </c>
      <c r="W65" s="13">
        <v>0</v>
      </c>
      <c r="X65" s="13">
        <v>-5.782</v>
      </c>
      <c r="Y65" s="13">
        <v>0</v>
      </c>
      <c r="Z65" s="13">
        <v>-4.0949999999999998</v>
      </c>
      <c r="AA65" s="13">
        <v>0</v>
      </c>
      <c r="AB65" s="13">
        <v>-15.276</v>
      </c>
      <c r="AC65" s="13">
        <v>11.516</v>
      </c>
      <c r="AD65" s="13">
        <v>-1.1080000000000001</v>
      </c>
      <c r="AE65" s="13">
        <v>0</v>
      </c>
      <c r="AF65" s="13">
        <v>-2.4209999999999998</v>
      </c>
      <c r="AG65" s="13">
        <v>0</v>
      </c>
      <c r="AH65" s="13">
        <v>-0.53600000000000003</v>
      </c>
      <c r="AI65" s="13">
        <v>-0.65100000000000002</v>
      </c>
      <c r="AJ65" s="13">
        <v>-3.9359999999999999</v>
      </c>
      <c r="AK65" s="13">
        <v>0</v>
      </c>
      <c r="AL65" s="13">
        <v>-3.9870000000000001</v>
      </c>
      <c r="AM65" s="13">
        <v>0</v>
      </c>
      <c r="AN65" s="13">
        <v>-4.0869999999999997</v>
      </c>
      <c r="AO65" s="13">
        <v>0</v>
      </c>
      <c r="AP65" s="13">
        <v>-3.1930000000000001</v>
      </c>
      <c r="AQ65" s="13">
        <v>0</v>
      </c>
      <c r="AR65" s="13">
        <v>-2.056</v>
      </c>
      <c r="AS65" s="13">
        <v>-8.5999999999999993E-2</v>
      </c>
      <c r="AT65" s="13">
        <v>-1.1399999999999999</v>
      </c>
      <c r="AU65" s="13">
        <v>-6.2E-2</v>
      </c>
      <c r="AV65" s="13">
        <v>-0.75700000000000001</v>
      </c>
      <c r="AW65" s="13">
        <v>-0.36299999999999999</v>
      </c>
      <c r="AX65" s="22">
        <v>0</v>
      </c>
      <c r="AY65" s="13">
        <v>-4.1630000000000003</v>
      </c>
      <c r="AZ65" s="22">
        <v>-0.04</v>
      </c>
      <c r="BA65" s="22">
        <v>4.2030000000000003</v>
      </c>
      <c r="BB65" s="22">
        <v>0</v>
      </c>
      <c r="BC65" s="22">
        <v>-3.4079999999999999</v>
      </c>
      <c r="BD65" s="22">
        <v>0</v>
      </c>
      <c r="BE65" s="22">
        <v>-2.5</v>
      </c>
      <c r="BF65" s="22">
        <v>0</v>
      </c>
      <c r="BG65" s="22">
        <v>-3.1920000000000002</v>
      </c>
      <c r="BH65" s="22">
        <v>0</v>
      </c>
      <c r="BI65" s="22">
        <f>-4935/1000</f>
        <v>-4.9349999999999996</v>
      </c>
      <c r="BJ65" s="22">
        <v>0</v>
      </c>
    </row>
    <row r="66" spans="1:62" s="14" customFormat="1">
      <c r="A66" s="46" t="s">
        <v>173</v>
      </c>
      <c r="B66" s="83">
        <v>0</v>
      </c>
      <c r="C66" s="49">
        <v>0</v>
      </c>
      <c r="D66" s="49">
        <v>0</v>
      </c>
      <c r="E66" s="49">
        <v>0</v>
      </c>
      <c r="F66" s="49">
        <v>0</v>
      </c>
      <c r="G66" s="49">
        <v>0</v>
      </c>
      <c r="H66" s="49">
        <v>0</v>
      </c>
      <c r="I66" s="49">
        <v>0</v>
      </c>
      <c r="J66" s="49">
        <f t="shared" ref="J66:J67" si="66">SUM(AT66:AW66)</f>
        <v>0</v>
      </c>
      <c r="K66" s="49">
        <f t="shared" si="61"/>
        <v>-13.448</v>
      </c>
      <c r="L66" s="13">
        <f t="shared" si="62"/>
        <v>-9.0749999999999993</v>
      </c>
      <c r="M66" s="82">
        <f>SUM(BF66:BI66)</f>
        <v>-2.4420000000000002</v>
      </c>
      <c r="N66" s="79">
        <v>0</v>
      </c>
      <c r="O66" s="49">
        <v>0</v>
      </c>
      <c r="P66" s="49">
        <v>0</v>
      </c>
      <c r="Q66" s="49">
        <v>0</v>
      </c>
      <c r="R66" s="49">
        <v>0</v>
      </c>
      <c r="S66" s="49">
        <v>0</v>
      </c>
      <c r="T66" s="49">
        <v>0</v>
      </c>
      <c r="U66" s="49">
        <v>0</v>
      </c>
      <c r="V66" s="49">
        <v>0</v>
      </c>
      <c r="W66" s="49">
        <v>0</v>
      </c>
      <c r="X66" s="49">
        <v>0</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s="49">
        <v>0</v>
      </c>
      <c r="AR66" s="49">
        <v>0</v>
      </c>
      <c r="AS66" s="49">
        <v>0</v>
      </c>
      <c r="AT66" s="49">
        <v>0</v>
      </c>
      <c r="AU66" s="49">
        <v>0</v>
      </c>
      <c r="AV66" s="13">
        <v>0</v>
      </c>
      <c r="AW66" s="13">
        <v>0</v>
      </c>
      <c r="AX66" s="22">
        <v>-3.3570000000000002</v>
      </c>
      <c r="AY66" s="13">
        <v>-2.9089999999999998</v>
      </c>
      <c r="AZ66" s="22">
        <v>-3.5430000000000001</v>
      </c>
      <c r="BA66" s="22">
        <v>-3.6389999999999998</v>
      </c>
      <c r="BB66" s="22">
        <v>-4.2309999999999999</v>
      </c>
      <c r="BC66" s="22">
        <v>-1.6060000000000001</v>
      </c>
      <c r="BD66" s="22">
        <v>-1.419</v>
      </c>
      <c r="BE66" s="22">
        <v>-1.819</v>
      </c>
      <c r="BF66" s="22">
        <v>-1.6040000000000001</v>
      </c>
      <c r="BG66" s="22">
        <v>-0.16800000000000001</v>
      </c>
      <c r="BH66" s="22">
        <v>-0.16200000000000001</v>
      </c>
      <c r="BI66" s="22">
        <f>-508/1000</f>
        <v>-0.50800000000000001</v>
      </c>
      <c r="BJ66" s="22">
        <f>-877/1000</f>
        <v>-0.877</v>
      </c>
    </row>
    <row r="67" spans="1:62" s="14" customFormat="1">
      <c r="A67" s="46" t="s">
        <v>169</v>
      </c>
      <c r="B67" s="83">
        <v>0</v>
      </c>
      <c r="C67" s="49">
        <v>0</v>
      </c>
      <c r="D67" s="49">
        <v>0</v>
      </c>
      <c r="E67" s="49">
        <v>0</v>
      </c>
      <c r="F67" s="49">
        <v>0</v>
      </c>
      <c r="G67" s="49">
        <v>0</v>
      </c>
      <c r="H67" s="49">
        <v>0</v>
      </c>
      <c r="I67" s="49">
        <v>0</v>
      </c>
      <c r="J67" s="49">
        <f t="shared" si="66"/>
        <v>0</v>
      </c>
      <c r="K67" s="49">
        <f t="shared" si="61"/>
        <v>0</v>
      </c>
      <c r="L67" s="13">
        <f t="shared" si="62"/>
        <v>0</v>
      </c>
      <c r="M67" s="82">
        <f>SUM(BF67:BI67)</f>
        <v>0</v>
      </c>
      <c r="N67" s="79">
        <v>0</v>
      </c>
      <c r="O67" s="49">
        <v>0</v>
      </c>
      <c r="P67" s="49">
        <v>0</v>
      </c>
      <c r="Q67" s="49">
        <v>0</v>
      </c>
      <c r="R67" s="49">
        <v>0</v>
      </c>
      <c r="S67" s="49">
        <v>0</v>
      </c>
      <c r="T67" s="49">
        <v>0</v>
      </c>
      <c r="U67" s="49">
        <v>0</v>
      </c>
      <c r="V67" s="49">
        <v>0</v>
      </c>
      <c r="W67" s="49">
        <v>0</v>
      </c>
      <c r="X67" s="49">
        <v>0</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s="49">
        <v>0</v>
      </c>
      <c r="AR67" s="49">
        <v>0</v>
      </c>
      <c r="AS67" s="49">
        <v>0</v>
      </c>
      <c r="AT67" s="49">
        <v>0</v>
      </c>
      <c r="AU67" s="49">
        <v>0</v>
      </c>
      <c r="AV67" s="13">
        <v>0</v>
      </c>
      <c r="AW67" s="13">
        <v>0</v>
      </c>
      <c r="AX67" s="22">
        <v>0</v>
      </c>
      <c r="AY67" s="13">
        <v>0</v>
      </c>
      <c r="AZ67" s="22">
        <v>0</v>
      </c>
      <c r="BA67" s="22">
        <v>0</v>
      </c>
      <c r="BB67" s="22">
        <v>0</v>
      </c>
      <c r="BC67" s="22">
        <v>0</v>
      </c>
      <c r="BD67" s="22">
        <v>0</v>
      </c>
      <c r="BE67" s="22">
        <v>0</v>
      </c>
      <c r="BF67" s="22">
        <v>0</v>
      </c>
      <c r="BG67" s="22">
        <v>0</v>
      </c>
      <c r="BH67" s="22">
        <v>0</v>
      </c>
      <c r="BI67" s="22">
        <v>0</v>
      </c>
      <c r="BJ67" s="22">
        <v>0</v>
      </c>
    </row>
    <row r="68" spans="1:62" s="19" customFormat="1">
      <c r="A68" s="45" t="s">
        <v>140</v>
      </c>
      <c r="B68" s="84">
        <f t="shared" ref="B68:M68" si="67">SUM(B56:B67)</f>
        <v>-31.777000000000015</v>
      </c>
      <c r="C68" s="48">
        <f t="shared" si="67"/>
        <v>109.21900000000002</v>
      </c>
      <c r="D68" s="48">
        <f t="shared" si="67"/>
        <v>-44.564999999999998</v>
      </c>
      <c r="E68" s="48">
        <f t="shared" si="67"/>
        <v>-54.345136211086</v>
      </c>
      <c r="F68" s="48">
        <f t="shared" si="67"/>
        <v>-37.8497439990945</v>
      </c>
      <c r="G68" s="48">
        <f t="shared" si="67"/>
        <v>10.425000000000001</v>
      </c>
      <c r="H68" s="48">
        <f t="shared" si="67"/>
        <v>-25.101999999999997</v>
      </c>
      <c r="I68" s="48">
        <f t="shared" si="67"/>
        <v>-29.455000000000002</v>
      </c>
      <c r="J68" s="48">
        <f t="shared" si="67"/>
        <v>70.882000000000005</v>
      </c>
      <c r="K68" s="48">
        <f t="shared" si="67"/>
        <v>-26.616</v>
      </c>
      <c r="L68" s="18">
        <f t="shared" si="67"/>
        <v>-14.972999999999999</v>
      </c>
      <c r="M68" s="162">
        <f t="shared" si="67"/>
        <v>-11.701999999999998</v>
      </c>
      <c r="N68" s="78">
        <f t="shared" ref="N68:AY68" si="68">SUM(N56:N67)</f>
        <v>-0.73799999999999955</v>
      </c>
      <c r="O68" s="18">
        <f t="shared" si="68"/>
        <v>-31.894999999999996</v>
      </c>
      <c r="P68" s="18">
        <f t="shared" si="68"/>
        <v>2.9199999999999857</v>
      </c>
      <c r="Q68" s="18">
        <f t="shared" si="68"/>
        <v>-2.0640000000000089</v>
      </c>
      <c r="R68" s="67">
        <f t="shared" si="68"/>
        <v>-33.159999999999997</v>
      </c>
      <c r="S68" s="67">
        <f t="shared" si="68"/>
        <v>168.666</v>
      </c>
      <c r="T68" s="18">
        <f t="shared" si="68"/>
        <v>-24.777000000000001</v>
      </c>
      <c r="U68" s="18">
        <f t="shared" si="68"/>
        <v>-1.5099999999999993</v>
      </c>
      <c r="V68" s="18">
        <f t="shared" si="68"/>
        <v>-24.094000000000001</v>
      </c>
      <c r="W68" s="18">
        <f t="shared" si="68"/>
        <v>6.0660000000000007</v>
      </c>
      <c r="X68" s="18">
        <f t="shared" si="68"/>
        <v>-20.966000000000001</v>
      </c>
      <c r="Y68" s="18">
        <f t="shared" si="68"/>
        <v>-5.5709999999999997</v>
      </c>
      <c r="Z68" s="18">
        <f t="shared" si="68"/>
        <v>-14.256</v>
      </c>
      <c r="AA68" s="18">
        <f t="shared" si="68"/>
        <v>-6.7170000000000005</v>
      </c>
      <c r="AB68" s="18">
        <f t="shared" si="68"/>
        <v>-36.500136211086001</v>
      </c>
      <c r="AC68" s="18">
        <f t="shared" si="68"/>
        <v>3.1279999999999983</v>
      </c>
      <c r="AD68" s="18">
        <f t="shared" si="68"/>
        <v>-22.036000000000001</v>
      </c>
      <c r="AE68" s="18">
        <f t="shared" si="68"/>
        <v>0.64045140350400009</v>
      </c>
      <c r="AF68" s="18">
        <f t="shared" si="68"/>
        <v>-17.027506660823999</v>
      </c>
      <c r="AG68" s="18">
        <f t="shared" si="68"/>
        <v>0.57331125822549955</v>
      </c>
      <c r="AH68" s="18">
        <f t="shared" si="68"/>
        <v>41.132016798565999</v>
      </c>
      <c r="AI68" s="18">
        <f t="shared" si="68"/>
        <v>-10.861016798565998</v>
      </c>
      <c r="AJ68" s="18">
        <f t="shared" si="68"/>
        <v>-18.756</v>
      </c>
      <c r="AK68" s="18">
        <f t="shared" si="68"/>
        <v>-1.0899999999999999</v>
      </c>
      <c r="AL68" s="18">
        <f t="shared" si="68"/>
        <v>-7.3830000000000009</v>
      </c>
      <c r="AM68" s="18">
        <f t="shared" si="68"/>
        <v>-7.745000000000001</v>
      </c>
      <c r="AN68" s="18">
        <f t="shared" si="68"/>
        <v>-8.32</v>
      </c>
      <c r="AO68" s="18">
        <f t="shared" si="68"/>
        <v>-1.6539999999999999</v>
      </c>
      <c r="AP68" s="18">
        <f t="shared" si="68"/>
        <v>-10.782999999999999</v>
      </c>
      <c r="AQ68" s="18">
        <f t="shared" si="68"/>
        <v>-2.5260000000000002</v>
      </c>
      <c r="AR68" s="18">
        <f t="shared" si="68"/>
        <v>-11.669999999999998</v>
      </c>
      <c r="AS68" s="18">
        <f t="shared" si="68"/>
        <v>-4.476</v>
      </c>
      <c r="AT68" s="18">
        <f t="shared" si="68"/>
        <v>-7.1319999999999997</v>
      </c>
      <c r="AU68" s="18">
        <f t="shared" si="68"/>
        <v>-18.824000000000002</v>
      </c>
      <c r="AV68" s="18">
        <f t="shared" si="68"/>
        <v>-15.202</v>
      </c>
      <c r="AW68" s="18">
        <f t="shared" si="68"/>
        <v>112.04</v>
      </c>
      <c r="AX68" s="18">
        <f>SUM(AX56:AX67)</f>
        <v>-8.3390000000000004</v>
      </c>
      <c r="AY68" s="18">
        <f t="shared" si="68"/>
        <v>-8.48</v>
      </c>
      <c r="AZ68" s="18">
        <f t="shared" ref="AZ68:BA68" si="69">SUM(AZ56:AZ67)</f>
        <v>-1.496</v>
      </c>
      <c r="BA68" s="18">
        <f t="shared" si="69"/>
        <v>-8.3010000000000002</v>
      </c>
      <c r="BB68" s="18">
        <f t="shared" ref="BB68" si="70">SUM(BB56:BB67)</f>
        <v>-4.665</v>
      </c>
      <c r="BC68" s="18">
        <f>SUM(BC56:BC67)</f>
        <v>-4.9779999999999998</v>
      </c>
      <c r="BD68" s="18">
        <f t="shared" ref="BD68:BE68" si="71">SUM(BD56:BD67)</f>
        <v>-0.74099999999999999</v>
      </c>
      <c r="BE68" s="18">
        <f t="shared" si="71"/>
        <v>-4.5890000000000004</v>
      </c>
      <c r="BF68" s="18">
        <f t="shared" ref="BF68:BH68" si="72">SUM(BF56:BF67)</f>
        <v>-2.024</v>
      </c>
      <c r="BG68" s="18">
        <f t="shared" si="72"/>
        <v>-3.0140000000000002</v>
      </c>
      <c r="BH68" s="18">
        <f t="shared" si="72"/>
        <v>-0.99099999999999999</v>
      </c>
      <c r="BI68" s="18">
        <f>SUM(BI56:BI66)</f>
        <v>-5.673</v>
      </c>
      <c r="BJ68" s="18">
        <f>SUM(BJ56:BJ66)</f>
        <v>-1.29</v>
      </c>
    </row>
    <row r="69" spans="1:62" s="14" customFormat="1">
      <c r="A69" s="46"/>
      <c r="B69" s="83"/>
      <c r="C69" s="49"/>
      <c r="D69" s="49"/>
      <c r="E69" s="49"/>
      <c r="F69" s="49"/>
      <c r="G69" s="49"/>
      <c r="H69" s="49"/>
      <c r="I69" s="49"/>
      <c r="J69" s="49"/>
      <c r="K69" s="49"/>
      <c r="L69" s="13"/>
      <c r="M69" s="82"/>
      <c r="N69" s="79"/>
      <c r="O69" s="13"/>
      <c r="P69" s="13"/>
      <c r="Q69" s="13"/>
      <c r="R69" s="69"/>
      <c r="S69" s="69"/>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22"/>
      <c r="AY69" s="13"/>
      <c r="AZ69" s="22"/>
      <c r="BA69" s="22"/>
      <c r="BB69" s="22"/>
      <c r="BC69" s="22"/>
      <c r="BD69" s="22"/>
      <c r="BE69" s="22"/>
      <c r="BF69" s="22"/>
      <c r="BG69" s="22"/>
      <c r="BH69" s="145"/>
      <c r="BI69" s="145"/>
      <c r="BJ69" s="145"/>
    </row>
    <row r="70" spans="1:62" s="14" customFormat="1">
      <c r="A70" s="46" t="s">
        <v>76</v>
      </c>
      <c r="B70" s="83">
        <v>3.4380000000000002</v>
      </c>
      <c r="C70" s="49">
        <f>SUM(R70:U70)</f>
        <v>1.8720000000000003</v>
      </c>
      <c r="D70" s="49">
        <f>SUM(V70:Y70)</f>
        <v>10.575999999999999</v>
      </c>
      <c r="E70" s="49">
        <f>SUM(Z70:AC70)</f>
        <v>5.4500000000000011</v>
      </c>
      <c r="F70" s="49">
        <f t="shared" si="56"/>
        <v>1.1045012126866709</v>
      </c>
      <c r="G70" s="49">
        <f t="shared" ref="G70" si="73">SUM(AH70:AK70)</f>
        <v>-1.9230000000000003</v>
      </c>
      <c r="H70" s="49">
        <f>SUM(AL70:AO70)</f>
        <v>7.4649999999999999</v>
      </c>
      <c r="I70" s="49">
        <f>SUM(AP70:AS70)</f>
        <v>6.3230000000000004</v>
      </c>
      <c r="J70" s="49">
        <f>SUM(AT70:AW70)</f>
        <v>12.408000000000001</v>
      </c>
      <c r="K70" s="49">
        <f>SUM(AX70:BA70)</f>
        <v>14.981000000000002</v>
      </c>
      <c r="L70" s="13">
        <f t="shared" ref="L70" si="74">SUM(BB70:BE70)</f>
        <v>23.364000000000001</v>
      </c>
      <c r="M70" s="82">
        <f>SUM(BF70:BI70)</f>
        <v>9.6180000000000003</v>
      </c>
      <c r="N70" s="79">
        <v>-0.43</v>
      </c>
      <c r="O70" s="13">
        <v>0.19400000000000001</v>
      </c>
      <c r="P70" s="13">
        <v>2.7570000000000001</v>
      </c>
      <c r="Q70" s="13">
        <f>B70-P70-O70-N70</f>
        <v>0.91700000000000004</v>
      </c>
      <c r="R70" s="69">
        <v>-1.4079999999999999</v>
      </c>
      <c r="S70" s="69">
        <v>0.253</v>
      </c>
      <c r="T70" s="13">
        <v>0.98799999999999999</v>
      </c>
      <c r="U70" s="13">
        <v>2.0390000000000001</v>
      </c>
      <c r="V70" s="13">
        <v>1.8340000000000001</v>
      </c>
      <c r="W70" s="13">
        <v>2.931</v>
      </c>
      <c r="X70" s="13">
        <v>5.9089999999999998</v>
      </c>
      <c r="Y70" s="13">
        <v>-9.8000000000000004E-2</v>
      </c>
      <c r="Z70" s="13">
        <v>1.1180000000000001</v>
      </c>
      <c r="AA70" s="13">
        <v>-0.83699999999999997</v>
      </c>
      <c r="AB70" s="13">
        <v>5.548</v>
      </c>
      <c r="AC70" s="13">
        <v>-0.379</v>
      </c>
      <c r="AD70" s="13">
        <v>2.2559999999999998</v>
      </c>
      <c r="AE70" s="13">
        <v>-1.2848419672384443</v>
      </c>
      <c r="AF70" s="13">
        <v>-0.34015803276155565</v>
      </c>
      <c r="AG70" s="13">
        <v>0.473501212686671</v>
      </c>
      <c r="AH70" s="13">
        <v>0.41599999999999998</v>
      </c>
      <c r="AI70" s="13">
        <v>0.33900000000000002</v>
      </c>
      <c r="AJ70" s="13">
        <v>-3.0230000000000001</v>
      </c>
      <c r="AK70" s="13">
        <v>0.34499999999999997</v>
      </c>
      <c r="AL70" s="13">
        <v>6.3440000000000003</v>
      </c>
      <c r="AM70" s="13">
        <v>-1.032</v>
      </c>
      <c r="AN70" s="13">
        <v>0.53900000000000003</v>
      </c>
      <c r="AO70" s="13">
        <v>1.6140000000000001</v>
      </c>
      <c r="AP70" s="13">
        <v>0.216</v>
      </c>
      <c r="AQ70" s="13">
        <v>1.361</v>
      </c>
      <c r="AR70" s="13">
        <v>0.85492095277731273</v>
      </c>
      <c r="AS70" s="13">
        <v>3.891079047222687</v>
      </c>
      <c r="AT70" s="13">
        <v>0.79100000000000004</v>
      </c>
      <c r="AU70" s="13">
        <v>6.13</v>
      </c>
      <c r="AV70" s="13">
        <v>2.923</v>
      </c>
      <c r="AW70" s="13">
        <v>2.5640000000000001</v>
      </c>
      <c r="AX70" s="22">
        <v>6.3780000000000001</v>
      </c>
      <c r="AY70" s="13">
        <v>5.9390000000000001</v>
      </c>
      <c r="AZ70" s="22">
        <v>7.4450000000000003</v>
      </c>
      <c r="BA70" s="22">
        <v>-4.7809999999999997</v>
      </c>
      <c r="BB70" s="22">
        <v>4.9210000000000003</v>
      </c>
      <c r="BC70" s="22">
        <v>9.7769999999999992</v>
      </c>
      <c r="BD70" s="22">
        <v>4.8280000000000003</v>
      </c>
      <c r="BE70" s="22">
        <v>3.8380000000000001</v>
      </c>
      <c r="BF70" s="22">
        <v>9.9860000000000007</v>
      </c>
      <c r="BG70" s="22">
        <v>-2.0329999999999999</v>
      </c>
      <c r="BH70" s="22">
        <v>-2.81</v>
      </c>
      <c r="BI70" s="164">
        <f>4475/1000</f>
        <v>4.4749999999999996</v>
      </c>
      <c r="BJ70" s="164">
        <f>-36223/1000</f>
        <v>-36.222999999999999</v>
      </c>
    </row>
    <row r="71" spans="1:62" s="14" customFormat="1">
      <c r="A71" s="46"/>
      <c r="B71" s="83"/>
      <c r="C71" s="49"/>
      <c r="D71" s="49"/>
      <c r="E71" s="49"/>
      <c r="F71" s="49"/>
      <c r="G71" s="49"/>
      <c r="H71" s="49"/>
      <c r="I71" s="49"/>
      <c r="J71" s="49"/>
      <c r="K71" s="49"/>
      <c r="L71" s="13"/>
      <c r="M71" s="82"/>
      <c r="N71" s="79"/>
      <c r="O71" s="13"/>
      <c r="P71" s="13"/>
      <c r="Q71" s="13"/>
      <c r="R71" s="69"/>
      <c r="S71" s="69"/>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22"/>
      <c r="AY71" s="13"/>
      <c r="AZ71" s="22"/>
      <c r="BA71" s="22"/>
      <c r="BB71" s="22"/>
      <c r="BC71" s="22"/>
      <c r="BD71" s="22"/>
      <c r="BE71" s="22"/>
      <c r="BF71" s="22"/>
      <c r="BG71" s="22"/>
      <c r="BH71" s="145"/>
      <c r="BI71" s="145"/>
      <c r="BJ71" s="145"/>
    </row>
    <row r="72" spans="1:62" s="19" customFormat="1">
      <c r="A72" s="45" t="s">
        <v>77</v>
      </c>
      <c r="B72" s="89">
        <f t="shared" ref="B72:M72" si="75">SUM(B70,B68,B53,B41)</f>
        <v>65.769000000000005</v>
      </c>
      <c r="C72" s="87">
        <f t="shared" si="75"/>
        <v>142.34300000000002</v>
      </c>
      <c r="D72" s="87">
        <f t="shared" si="75"/>
        <v>-113.70599999999999</v>
      </c>
      <c r="E72" s="87">
        <f t="shared" si="75"/>
        <v>-1.2621362110859806</v>
      </c>
      <c r="F72" s="87">
        <f t="shared" si="75"/>
        <v>-75.004242786407843</v>
      </c>
      <c r="G72" s="87">
        <f t="shared" si="75"/>
        <v>165.75500000000002</v>
      </c>
      <c r="H72" s="87">
        <f t="shared" si="75"/>
        <v>-115.91300000000001</v>
      </c>
      <c r="I72" s="87">
        <f t="shared" si="75"/>
        <v>74.868000000000023</v>
      </c>
      <c r="J72" s="87">
        <f t="shared" si="75"/>
        <v>-1.0289999999999964</v>
      </c>
      <c r="K72" s="87">
        <f t="shared" si="75"/>
        <v>7.698000000000004</v>
      </c>
      <c r="L72" s="18">
        <f t="shared" si="75"/>
        <v>-2.7349999999999888</v>
      </c>
      <c r="M72" s="85">
        <f t="shared" si="75"/>
        <v>6.5040000000000076</v>
      </c>
      <c r="N72" s="122">
        <f>SUM(N70,N68,N53,N41)</f>
        <v>23.466999999999999</v>
      </c>
      <c r="O72" s="18">
        <f>SUM(O70,O68,O53,O41)</f>
        <v>-22.823</v>
      </c>
      <c r="P72" s="18">
        <f>SUM(P70,P68,P53,P41)</f>
        <v>7.4699999999999882</v>
      </c>
      <c r="Q72" s="18">
        <f>B72-P72-O72-N72</f>
        <v>57.655000000000015</v>
      </c>
      <c r="R72" s="67">
        <f t="shared" ref="R72:AS72" si="76">SUM(R70,R68,R53,R41)</f>
        <v>-4.8869999999999969</v>
      </c>
      <c r="S72" s="67">
        <f t="shared" si="76"/>
        <v>138.64999999999998</v>
      </c>
      <c r="T72" s="18">
        <f t="shared" si="76"/>
        <v>18.045999999999989</v>
      </c>
      <c r="U72" s="18">
        <f t="shared" si="76"/>
        <v>-9.4660000000000117</v>
      </c>
      <c r="V72" s="18">
        <f t="shared" si="76"/>
        <v>-53.728000000000009</v>
      </c>
      <c r="W72" s="18">
        <f t="shared" si="76"/>
        <v>3.7260000000000133</v>
      </c>
      <c r="X72" s="18">
        <f t="shared" si="76"/>
        <v>-4.799000000000003</v>
      </c>
      <c r="Y72" s="18">
        <f t="shared" si="76"/>
        <v>-58.904999999999987</v>
      </c>
      <c r="Z72" s="18">
        <f t="shared" si="76"/>
        <v>-19.102000000000004</v>
      </c>
      <c r="AA72" s="18">
        <f t="shared" si="76"/>
        <v>27.69499999999999</v>
      </c>
      <c r="AB72" s="18">
        <f t="shared" si="76"/>
        <v>9.3218637889140084</v>
      </c>
      <c r="AC72" s="18">
        <f t="shared" si="76"/>
        <v>-19.177000000000007</v>
      </c>
      <c r="AD72" s="18">
        <f t="shared" si="76"/>
        <v>-43.337999999999994</v>
      </c>
      <c r="AE72" s="18">
        <f t="shared" si="76"/>
        <v>-34.777390563734443</v>
      </c>
      <c r="AF72" s="18">
        <f t="shared" si="76"/>
        <v>-8.4356646935855544</v>
      </c>
      <c r="AG72" s="18">
        <f t="shared" si="76"/>
        <v>11.546812470912164</v>
      </c>
      <c r="AH72" s="18">
        <f t="shared" si="76"/>
        <v>-12.927983201433996</v>
      </c>
      <c r="AI72" s="18">
        <f t="shared" si="76"/>
        <v>26.023983201434003</v>
      </c>
      <c r="AJ72" s="18">
        <f t="shared" si="76"/>
        <v>54.906000000000006</v>
      </c>
      <c r="AK72" s="18">
        <f t="shared" si="76"/>
        <v>97.752999999999986</v>
      </c>
      <c r="AL72" s="18">
        <f t="shared" si="76"/>
        <v>-68.286999999999964</v>
      </c>
      <c r="AM72" s="18">
        <f t="shared" si="76"/>
        <v>-49.677999999999997</v>
      </c>
      <c r="AN72" s="18">
        <f t="shared" si="76"/>
        <v>-8.1060000000000016</v>
      </c>
      <c r="AO72" s="18">
        <f t="shared" si="76"/>
        <v>10.158000000000008</v>
      </c>
      <c r="AP72" s="18">
        <f t="shared" si="76"/>
        <v>-0.81099999999999817</v>
      </c>
      <c r="AQ72" s="18">
        <f t="shared" si="76"/>
        <v>47.205999999999989</v>
      </c>
      <c r="AR72" s="18">
        <f t="shared" si="76"/>
        <v>48.499920952777323</v>
      </c>
      <c r="AS72" s="18">
        <f t="shared" si="76"/>
        <v>-20.026920952777317</v>
      </c>
      <c r="AT72" s="18">
        <f t="shared" ref="AT72:AY72" si="77">SUM(AT70,AT68,AT53,AT41)</f>
        <v>44.976000000000013</v>
      </c>
      <c r="AU72" s="18">
        <f t="shared" si="77"/>
        <v>-71.843000000000018</v>
      </c>
      <c r="AV72" s="18">
        <f t="shared" si="77"/>
        <v>-66.407999999999987</v>
      </c>
      <c r="AW72" s="18">
        <f t="shared" si="77"/>
        <v>92.211000000000013</v>
      </c>
      <c r="AX72" s="18">
        <f>SUM(AX70,AX68,AX53,AX41)</f>
        <v>58.918000000000006</v>
      </c>
      <c r="AY72" s="18">
        <f t="shared" si="77"/>
        <v>-36.784999999999982</v>
      </c>
      <c r="AZ72" s="18">
        <f t="shared" ref="AZ72" si="78">SUM(AZ70,AZ68,AZ53,AZ41)</f>
        <v>11.898000000000003</v>
      </c>
      <c r="BA72" s="18">
        <f t="shared" ref="BA72:BF72" si="79">SUM(BA70,BA68,BA53,BA41)</f>
        <v>-26.333000000000002</v>
      </c>
      <c r="BB72" s="18">
        <f t="shared" si="79"/>
        <v>12.856999999999998</v>
      </c>
      <c r="BC72" s="18">
        <f t="shared" si="79"/>
        <v>-4.5690000000000008</v>
      </c>
      <c r="BD72" s="18">
        <f t="shared" si="79"/>
        <v>-6.1920000000000002</v>
      </c>
      <c r="BE72" s="18">
        <f t="shared" si="79"/>
        <v>-4.8309999999999977</v>
      </c>
      <c r="BF72" s="18">
        <f t="shared" si="79"/>
        <v>3.0520000000000014</v>
      </c>
      <c r="BG72" s="18">
        <f t="shared" ref="BG72" si="80">SUM(BG70,BG68,BG53,BG41)</f>
        <v>-10.559999999999995</v>
      </c>
      <c r="BH72" s="18">
        <v>6.2949999999999999</v>
      </c>
      <c r="BI72" s="145">
        <f>16709/1000</f>
        <v>16.709</v>
      </c>
      <c r="BJ72" s="145">
        <f>-36223/1000</f>
        <v>-36.222999999999999</v>
      </c>
    </row>
    <row r="73" spans="1:62" s="14" customFormat="1">
      <c r="A73" s="46"/>
      <c r="B73" s="83"/>
      <c r="C73" s="49"/>
      <c r="D73" s="49"/>
      <c r="E73" s="49"/>
      <c r="F73" s="49"/>
      <c r="G73" s="49"/>
      <c r="H73" s="49"/>
      <c r="I73" s="49"/>
      <c r="J73" s="49"/>
      <c r="K73" s="49"/>
      <c r="L73" s="13"/>
      <c r="M73" s="82"/>
      <c r="N73" s="79"/>
      <c r="O73" s="13"/>
      <c r="P73" s="13"/>
      <c r="Q73" s="13"/>
      <c r="R73" s="69"/>
      <c r="S73" s="69"/>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22"/>
      <c r="AY73" s="13"/>
      <c r="AZ73" s="22"/>
      <c r="BA73" s="22"/>
      <c r="BB73" s="22"/>
      <c r="BC73" s="22"/>
      <c r="BD73" s="22"/>
      <c r="BE73" s="22"/>
      <c r="BF73" s="22"/>
      <c r="BG73" s="22"/>
      <c r="BH73" s="145"/>
      <c r="BI73" s="145"/>
      <c r="BJ73" s="145"/>
    </row>
    <row r="74" spans="1:62" s="14" customFormat="1">
      <c r="A74" s="46" t="s">
        <v>78</v>
      </c>
      <c r="B74" s="83"/>
      <c r="C74" s="49"/>
      <c r="D74" s="49"/>
      <c r="E74" s="49"/>
      <c r="F74" s="49"/>
      <c r="G74" s="49"/>
      <c r="H74" s="49"/>
      <c r="I74" s="49"/>
      <c r="J74" s="49"/>
      <c r="K74" s="49"/>
      <c r="L74" s="13"/>
      <c r="M74" s="82"/>
      <c r="N74" s="79"/>
      <c r="O74" s="13"/>
      <c r="P74" s="13"/>
      <c r="Q74" s="13"/>
      <c r="R74" s="69"/>
      <c r="S74" s="69"/>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22"/>
      <c r="AY74" s="13"/>
      <c r="AZ74" s="22"/>
      <c r="BA74" s="22"/>
      <c r="BB74" s="22"/>
      <c r="BC74" s="22"/>
      <c r="BD74" s="22"/>
      <c r="BE74" s="22"/>
      <c r="BF74" s="22"/>
      <c r="BG74" s="22"/>
      <c r="BH74" s="145"/>
      <c r="BI74" s="145"/>
      <c r="BJ74" s="145"/>
    </row>
    <row r="75" spans="1:62" s="14" customFormat="1">
      <c r="A75" s="46" t="s">
        <v>79</v>
      </c>
      <c r="B75" s="83">
        <f>N75</f>
        <v>55.164999999999999</v>
      </c>
      <c r="C75" s="49">
        <f>B76</f>
        <v>120.934</v>
      </c>
      <c r="D75" s="49">
        <f t="shared" ref="D75:J75" si="81">C76</f>
        <v>263.27700000000004</v>
      </c>
      <c r="E75" s="49">
        <f t="shared" si="81"/>
        <v>149.57100000000005</v>
      </c>
      <c r="F75" s="49">
        <f t="shared" si="81"/>
        <v>148.30886378891407</v>
      </c>
      <c r="G75" s="49">
        <f t="shared" si="81"/>
        <v>73.304621002506224</v>
      </c>
      <c r="H75" s="49">
        <f t="shared" si="81"/>
        <v>239.05962100250625</v>
      </c>
      <c r="I75" s="49">
        <f t="shared" si="81"/>
        <v>123.14662100250624</v>
      </c>
      <c r="J75" s="49">
        <f t="shared" si="81"/>
        <v>198.01462100250626</v>
      </c>
      <c r="K75" s="49">
        <f>J76</f>
        <v>196.98562100250626</v>
      </c>
      <c r="L75" s="13">
        <f>K76</f>
        <v>204.68362100250627</v>
      </c>
      <c r="M75" s="82">
        <f>L76</f>
        <v>201.94862100250629</v>
      </c>
      <c r="N75" s="79">
        <v>55.164999999999999</v>
      </c>
      <c r="O75" s="13">
        <f t="shared" ref="O75:BH75" si="82">N76</f>
        <v>78.632000000000005</v>
      </c>
      <c r="P75" s="13">
        <f t="shared" si="82"/>
        <v>55.809000000000005</v>
      </c>
      <c r="Q75" s="13">
        <f t="shared" si="82"/>
        <v>63.278999999999996</v>
      </c>
      <c r="R75" s="69">
        <f t="shared" si="82"/>
        <v>120.93400000000001</v>
      </c>
      <c r="S75" s="69">
        <f t="shared" si="82"/>
        <v>116.04700000000001</v>
      </c>
      <c r="T75" s="13">
        <f t="shared" si="82"/>
        <v>254.697</v>
      </c>
      <c r="U75" s="13">
        <f t="shared" si="82"/>
        <v>272.74299999999999</v>
      </c>
      <c r="V75" s="13">
        <f t="shared" si="82"/>
        <v>263.27699999999999</v>
      </c>
      <c r="W75" s="13">
        <f t="shared" si="82"/>
        <v>209.54899999999998</v>
      </c>
      <c r="X75" s="13">
        <f t="shared" si="82"/>
        <v>213.27499999999998</v>
      </c>
      <c r="Y75" s="13">
        <f t="shared" si="82"/>
        <v>208.47599999999997</v>
      </c>
      <c r="Z75" s="13">
        <f t="shared" si="82"/>
        <v>149.57099999999997</v>
      </c>
      <c r="AA75" s="13">
        <f t="shared" si="82"/>
        <v>130.46899999999997</v>
      </c>
      <c r="AB75" s="13">
        <f t="shared" si="82"/>
        <v>158.16399999999996</v>
      </c>
      <c r="AC75" s="13">
        <f t="shared" si="82"/>
        <v>167.48586378891397</v>
      </c>
      <c r="AD75" s="13">
        <f t="shared" si="82"/>
        <v>148.30886378891398</v>
      </c>
      <c r="AE75" s="13">
        <f t="shared" si="82"/>
        <v>104.97086378891399</v>
      </c>
      <c r="AF75" s="13">
        <f t="shared" si="82"/>
        <v>70.193473225179545</v>
      </c>
      <c r="AG75" s="13">
        <f t="shared" si="82"/>
        <v>61.757808531593994</v>
      </c>
      <c r="AH75" s="13">
        <f t="shared" si="82"/>
        <v>73.304621002506153</v>
      </c>
      <c r="AI75" s="13">
        <f t="shared" si="82"/>
        <v>60.376637801072157</v>
      </c>
      <c r="AJ75" s="13">
        <f t="shared" si="82"/>
        <v>86.400621002506156</v>
      </c>
      <c r="AK75" s="13">
        <f t="shared" si="82"/>
        <v>141.30662100250618</v>
      </c>
      <c r="AL75" s="13">
        <f t="shared" si="82"/>
        <v>239.05962100250616</v>
      </c>
      <c r="AM75" s="13">
        <f t="shared" si="82"/>
        <v>170.77262100250618</v>
      </c>
      <c r="AN75" s="13">
        <f t="shared" si="82"/>
        <v>121.09462100250619</v>
      </c>
      <c r="AO75" s="13">
        <f t="shared" si="82"/>
        <v>112.98862100250619</v>
      </c>
      <c r="AP75" s="13">
        <f t="shared" si="82"/>
        <v>123.14662100250621</v>
      </c>
      <c r="AQ75" s="13">
        <f t="shared" si="82"/>
        <v>122.33562100250622</v>
      </c>
      <c r="AR75" s="13">
        <f t="shared" si="82"/>
        <v>169.54162100250619</v>
      </c>
      <c r="AS75" s="13">
        <f t="shared" si="82"/>
        <v>218.04154195528352</v>
      </c>
      <c r="AT75" s="13">
        <f t="shared" si="82"/>
        <v>198.0146210025062</v>
      </c>
      <c r="AU75" s="13">
        <f t="shared" si="82"/>
        <v>242.9906210025062</v>
      </c>
      <c r="AV75" s="13">
        <f t="shared" si="82"/>
        <v>171.14762100250618</v>
      </c>
      <c r="AW75" s="13">
        <f>AV76</f>
        <v>104.7396210025062</v>
      </c>
      <c r="AX75" s="22">
        <f t="shared" si="82"/>
        <v>196.95062100250621</v>
      </c>
      <c r="AY75" s="13">
        <f t="shared" si="82"/>
        <v>255.86862100250622</v>
      </c>
      <c r="AZ75" s="22">
        <f t="shared" si="82"/>
        <v>219.08362100250622</v>
      </c>
      <c r="BA75" s="22">
        <f t="shared" si="82"/>
        <v>230.98162100250622</v>
      </c>
      <c r="BB75" s="22">
        <f t="shared" si="82"/>
        <v>204.64862100250622</v>
      </c>
      <c r="BC75" s="22">
        <f t="shared" si="82"/>
        <v>217.50562100250622</v>
      </c>
      <c r="BD75" s="22">
        <f t="shared" si="82"/>
        <v>212.93662100250623</v>
      </c>
      <c r="BE75" s="22">
        <f t="shared" si="82"/>
        <v>206.74462100250622</v>
      </c>
      <c r="BF75" s="22">
        <f t="shared" si="82"/>
        <v>201.91362100250623</v>
      </c>
      <c r="BG75" s="22">
        <f t="shared" si="82"/>
        <v>204.96562100250623</v>
      </c>
      <c r="BH75" s="22">
        <f t="shared" si="82"/>
        <v>194.40562100250622</v>
      </c>
      <c r="BI75" s="22">
        <f>BH76</f>
        <v>200.70062100250621</v>
      </c>
      <c r="BJ75" s="22">
        <f>BI76</f>
        <v>217.40962100250621</v>
      </c>
    </row>
    <row r="76" spans="1:62" s="14" customFormat="1" ht="13.5" thickBot="1">
      <c r="A76" s="46" t="s">
        <v>80</v>
      </c>
      <c r="B76" s="90">
        <f>B75+B72</f>
        <v>120.934</v>
      </c>
      <c r="C76" s="91">
        <f t="shared" ref="C76:G76" si="83">C75+C72</f>
        <v>263.27700000000004</v>
      </c>
      <c r="D76" s="91">
        <f t="shared" si="83"/>
        <v>149.57100000000005</v>
      </c>
      <c r="E76" s="91">
        <f t="shared" si="83"/>
        <v>148.30886378891407</v>
      </c>
      <c r="F76" s="91">
        <f t="shared" si="83"/>
        <v>73.304621002506224</v>
      </c>
      <c r="G76" s="91">
        <f t="shared" si="83"/>
        <v>239.05962100250625</v>
      </c>
      <c r="H76" s="91">
        <f t="shared" ref="H76:L76" si="84">H75+H72</f>
        <v>123.14662100250624</v>
      </c>
      <c r="I76" s="91">
        <f t="shared" si="84"/>
        <v>198.01462100250626</v>
      </c>
      <c r="J76" s="91">
        <f t="shared" si="84"/>
        <v>196.98562100250626</v>
      </c>
      <c r="K76" s="91">
        <f t="shared" si="84"/>
        <v>204.68362100250627</v>
      </c>
      <c r="L76" s="165">
        <f t="shared" si="84"/>
        <v>201.94862100250629</v>
      </c>
      <c r="M76" s="131">
        <f>$BI$76</f>
        <v>217.40962100250621</v>
      </c>
      <c r="N76" s="49">
        <f t="shared" ref="N76:AZ76" si="85">N75+N72</f>
        <v>78.632000000000005</v>
      </c>
      <c r="O76" s="13">
        <f t="shared" si="85"/>
        <v>55.809000000000005</v>
      </c>
      <c r="P76" s="13">
        <f t="shared" si="85"/>
        <v>63.278999999999996</v>
      </c>
      <c r="Q76" s="13">
        <f t="shared" si="85"/>
        <v>120.93400000000001</v>
      </c>
      <c r="R76" s="69">
        <f t="shared" si="85"/>
        <v>116.04700000000001</v>
      </c>
      <c r="S76" s="69">
        <f t="shared" si="85"/>
        <v>254.697</v>
      </c>
      <c r="T76" s="13">
        <f t="shared" si="85"/>
        <v>272.74299999999999</v>
      </c>
      <c r="U76" s="13">
        <f t="shared" si="85"/>
        <v>263.27699999999999</v>
      </c>
      <c r="V76" s="13">
        <f t="shared" si="85"/>
        <v>209.54899999999998</v>
      </c>
      <c r="W76" s="13">
        <f t="shared" si="85"/>
        <v>213.27499999999998</v>
      </c>
      <c r="X76" s="13">
        <f t="shared" si="85"/>
        <v>208.47599999999997</v>
      </c>
      <c r="Y76" s="13">
        <f t="shared" si="85"/>
        <v>149.57099999999997</v>
      </c>
      <c r="Z76" s="13">
        <f t="shared" si="85"/>
        <v>130.46899999999997</v>
      </c>
      <c r="AA76" s="13">
        <f t="shared" si="85"/>
        <v>158.16399999999996</v>
      </c>
      <c r="AB76" s="13">
        <f t="shared" si="85"/>
        <v>167.48586378891397</v>
      </c>
      <c r="AC76" s="13">
        <f t="shared" si="85"/>
        <v>148.30886378891398</v>
      </c>
      <c r="AD76" s="13">
        <f t="shared" si="85"/>
        <v>104.97086378891399</v>
      </c>
      <c r="AE76" s="13">
        <f t="shared" si="85"/>
        <v>70.193473225179545</v>
      </c>
      <c r="AF76" s="13">
        <f t="shared" si="85"/>
        <v>61.757808531593994</v>
      </c>
      <c r="AG76" s="13">
        <f t="shared" si="85"/>
        <v>73.304621002506153</v>
      </c>
      <c r="AH76" s="13">
        <f t="shared" si="85"/>
        <v>60.376637801072157</v>
      </c>
      <c r="AI76" s="13">
        <f t="shared" si="85"/>
        <v>86.400621002506156</v>
      </c>
      <c r="AJ76" s="13">
        <f t="shared" si="85"/>
        <v>141.30662100250618</v>
      </c>
      <c r="AK76" s="13">
        <f t="shared" si="85"/>
        <v>239.05962100250616</v>
      </c>
      <c r="AL76" s="13">
        <f t="shared" si="85"/>
        <v>170.77262100250618</v>
      </c>
      <c r="AM76" s="13">
        <f t="shared" si="85"/>
        <v>121.09462100250619</v>
      </c>
      <c r="AN76" s="13">
        <f t="shared" si="85"/>
        <v>112.98862100250619</v>
      </c>
      <c r="AO76" s="13">
        <f t="shared" si="85"/>
        <v>123.14662100250621</v>
      </c>
      <c r="AP76" s="13">
        <f t="shared" si="85"/>
        <v>122.33562100250622</v>
      </c>
      <c r="AQ76" s="13">
        <f t="shared" si="85"/>
        <v>169.54162100250619</v>
      </c>
      <c r="AR76" s="13">
        <f t="shared" si="85"/>
        <v>218.04154195528352</v>
      </c>
      <c r="AS76" s="13">
        <f t="shared" si="85"/>
        <v>198.0146210025062</v>
      </c>
      <c r="AT76" s="13">
        <f t="shared" si="85"/>
        <v>242.9906210025062</v>
      </c>
      <c r="AU76" s="13">
        <f t="shared" si="85"/>
        <v>171.14762100250618</v>
      </c>
      <c r="AV76" s="13">
        <f>AV75+AV72</f>
        <v>104.7396210025062</v>
      </c>
      <c r="AW76" s="13">
        <f t="shared" si="85"/>
        <v>196.95062100250621</v>
      </c>
      <c r="AX76" s="13">
        <f t="shared" si="85"/>
        <v>255.86862100250622</v>
      </c>
      <c r="AY76" s="13">
        <f t="shared" si="85"/>
        <v>219.08362100250622</v>
      </c>
      <c r="AZ76" s="13">
        <f t="shared" si="85"/>
        <v>230.98162100250622</v>
      </c>
      <c r="BA76" s="22">
        <f t="shared" ref="BA75:BJ76" si="86">BA75+BA72</f>
        <v>204.64862100250622</v>
      </c>
      <c r="BB76" s="22">
        <f t="shared" si="86"/>
        <v>217.50562100250622</v>
      </c>
      <c r="BC76" s="22">
        <f t="shared" si="86"/>
        <v>212.93662100250623</v>
      </c>
      <c r="BD76" s="22">
        <f t="shared" si="86"/>
        <v>206.74462100250622</v>
      </c>
      <c r="BE76" s="22">
        <f t="shared" si="86"/>
        <v>201.91362100250623</v>
      </c>
      <c r="BF76" s="22">
        <f t="shared" si="86"/>
        <v>204.96562100250623</v>
      </c>
      <c r="BG76" s="22">
        <f t="shared" si="86"/>
        <v>194.40562100250622</v>
      </c>
      <c r="BH76" s="22">
        <f t="shared" si="86"/>
        <v>200.70062100250621</v>
      </c>
      <c r="BI76" s="22">
        <f t="shared" si="86"/>
        <v>217.40962100250621</v>
      </c>
      <c r="BJ76" s="22">
        <f>181187/1000</f>
        <v>181.18700000000001</v>
      </c>
    </row>
    <row r="77" spans="1:6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21"/>
    </row>
  </sheetData>
  <mergeCells count="2">
    <mergeCell ref="B3:L3"/>
    <mergeCell ref="B4:L4"/>
  </mergeCells>
  <phoneticPr fontId="127" type="noConversion"/>
  <pageMargins left="0.511811024" right="0.511811024" top="0.78740157499999996" bottom="0.78740157499999996" header="0.31496062000000002" footer="0.31496062000000002"/>
  <pageSetup paperSize="9" orientation="portrait" r:id="rId1"/>
  <ignoredErrors>
    <ignoredError sqref="K70" formula="1"/>
    <ignoredError sqref="C56:J66 J67 C70:F70 C7:F16 C44:F47 C52:F52 D49:F49 C23:F39 C18:F21 C50:F50 J11 G7:BI10 G12:BI41 G11:I11 K11:BI11" formulaRange="1"/>
    <ignoredError sqref="C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J24"/>
  <sheetViews>
    <sheetView zoomScaleNormal="100" workbookViewId="0">
      <pane xSplit="1" ySplit="5" topLeftCell="AV6" activePane="bottomRight" state="frozen"/>
      <selection pane="topRight" activeCell="B1" sqref="B1"/>
      <selection pane="bottomLeft" activeCell="A6" sqref="A6"/>
      <selection pane="bottomRight" activeCell="BI11" sqref="BI11:BJ11"/>
    </sheetView>
  </sheetViews>
  <sheetFormatPr defaultColWidth="15.7109375" defaultRowHeight="12.75"/>
  <cols>
    <col min="1" max="1" width="42.7109375" style="28" customWidth="1"/>
    <col min="2" max="62" width="9.28515625" style="30" customWidth="1"/>
    <col min="63" max="248" width="15.7109375" style="30"/>
    <col min="249" max="249" width="49.85546875" style="30" bestFit="1" customWidth="1"/>
    <col min="250" max="254" width="9" style="30" customWidth="1"/>
    <col min="255" max="256" width="9.7109375" style="30" bestFit="1" customWidth="1"/>
    <col min="257" max="257" width="9.7109375" style="30" customWidth="1"/>
    <col min="258" max="258" width="10.42578125" style="30" bestFit="1" customWidth="1"/>
    <col min="259" max="286" width="10.7109375" style="30" customWidth="1"/>
    <col min="287" max="504" width="15.7109375" style="30"/>
    <col min="505" max="505" width="49.85546875" style="30" bestFit="1" customWidth="1"/>
    <col min="506" max="510" width="9" style="30" customWidth="1"/>
    <col min="511" max="512" width="9.7109375" style="30" bestFit="1" customWidth="1"/>
    <col min="513" max="513" width="9.7109375" style="30" customWidth="1"/>
    <col min="514" max="514" width="10.42578125" style="30" bestFit="1" customWidth="1"/>
    <col min="515" max="542" width="10.7109375" style="30" customWidth="1"/>
    <col min="543" max="760" width="15.7109375" style="30"/>
    <col min="761" max="761" width="49.85546875" style="30" bestFit="1" customWidth="1"/>
    <col min="762" max="766" width="9" style="30" customWidth="1"/>
    <col min="767" max="768" width="9.7109375" style="30" bestFit="1" customWidth="1"/>
    <col min="769" max="769" width="9.7109375" style="30" customWidth="1"/>
    <col min="770" max="770" width="10.42578125" style="30" bestFit="1" customWidth="1"/>
    <col min="771" max="798" width="10.7109375" style="30" customWidth="1"/>
    <col min="799" max="1016" width="15.7109375" style="30"/>
    <col min="1017" max="1017" width="49.85546875" style="30" bestFit="1" customWidth="1"/>
    <col min="1018" max="1022" width="9" style="30" customWidth="1"/>
    <col min="1023" max="1024" width="9.7109375" style="30" bestFit="1" customWidth="1"/>
    <col min="1025" max="1025" width="9.7109375" style="30" customWidth="1"/>
    <col min="1026" max="1026" width="10.42578125" style="30" bestFit="1" customWidth="1"/>
    <col min="1027" max="1054" width="10.7109375" style="30" customWidth="1"/>
    <col min="1055" max="1272" width="15.7109375" style="30"/>
    <col min="1273" max="1273" width="49.85546875" style="30" bestFit="1" customWidth="1"/>
    <col min="1274" max="1278" width="9" style="30" customWidth="1"/>
    <col min="1279" max="1280" width="9.7109375" style="30" bestFit="1" customWidth="1"/>
    <col min="1281" max="1281" width="9.7109375" style="30" customWidth="1"/>
    <col min="1282" max="1282" width="10.42578125" style="30" bestFit="1" customWidth="1"/>
    <col min="1283" max="1310" width="10.7109375" style="30" customWidth="1"/>
    <col min="1311" max="1528" width="15.7109375" style="30"/>
    <col min="1529" max="1529" width="49.85546875" style="30" bestFit="1" customWidth="1"/>
    <col min="1530" max="1534" width="9" style="30" customWidth="1"/>
    <col min="1535" max="1536" width="9.7109375" style="30" bestFit="1" customWidth="1"/>
    <col min="1537" max="1537" width="9.7109375" style="30" customWidth="1"/>
    <col min="1538" max="1538" width="10.42578125" style="30" bestFit="1" customWidth="1"/>
    <col min="1539" max="1566" width="10.7109375" style="30" customWidth="1"/>
    <col min="1567" max="1784" width="15.7109375" style="30"/>
    <col min="1785" max="1785" width="49.85546875" style="30" bestFit="1" customWidth="1"/>
    <col min="1786" max="1790" width="9" style="30" customWidth="1"/>
    <col min="1791" max="1792" width="9.7109375" style="30" bestFit="1" customWidth="1"/>
    <col min="1793" max="1793" width="9.7109375" style="30" customWidth="1"/>
    <col min="1794" max="1794" width="10.42578125" style="30" bestFit="1" customWidth="1"/>
    <col min="1795" max="1822" width="10.7109375" style="30" customWidth="1"/>
    <col min="1823" max="2040" width="15.7109375" style="30"/>
    <col min="2041" max="2041" width="49.85546875" style="30" bestFit="1" customWidth="1"/>
    <col min="2042" max="2046" width="9" style="30" customWidth="1"/>
    <col min="2047" max="2048" width="9.7109375" style="30" bestFit="1" customWidth="1"/>
    <col min="2049" max="2049" width="9.7109375" style="30" customWidth="1"/>
    <col min="2050" max="2050" width="10.42578125" style="30" bestFit="1" customWidth="1"/>
    <col min="2051" max="2078" width="10.7109375" style="30" customWidth="1"/>
    <col min="2079" max="2296" width="15.7109375" style="30"/>
    <col min="2297" max="2297" width="49.85546875" style="30" bestFit="1" customWidth="1"/>
    <col min="2298" max="2302" width="9" style="30" customWidth="1"/>
    <col min="2303" max="2304" width="9.7109375" style="30" bestFit="1" customWidth="1"/>
    <col min="2305" max="2305" width="9.7109375" style="30" customWidth="1"/>
    <col min="2306" max="2306" width="10.42578125" style="30" bestFit="1" customWidth="1"/>
    <col min="2307" max="2334" width="10.7109375" style="30" customWidth="1"/>
    <col min="2335" max="2552" width="15.7109375" style="30"/>
    <col min="2553" max="2553" width="49.85546875" style="30" bestFit="1" customWidth="1"/>
    <col min="2554" max="2558" width="9" style="30" customWidth="1"/>
    <col min="2559" max="2560" width="9.7109375" style="30" bestFit="1" customWidth="1"/>
    <col min="2561" max="2561" width="9.7109375" style="30" customWidth="1"/>
    <col min="2562" max="2562" width="10.42578125" style="30" bestFit="1" customWidth="1"/>
    <col min="2563" max="2590" width="10.7109375" style="30" customWidth="1"/>
    <col min="2591" max="2808" width="15.7109375" style="30"/>
    <col min="2809" max="2809" width="49.85546875" style="30" bestFit="1" customWidth="1"/>
    <col min="2810" max="2814" width="9" style="30" customWidth="1"/>
    <col min="2815" max="2816" width="9.7109375" style="30" bestFit="1" customWidth="1"/>
    <col min="2817" max="2817" width="9.7109375" style="30" customWidth="1"/>
    <col min="2818" max="2818" width="10.42578125" style="30" bestFit="1" customWidth="1"/>
    <col min="2819" max="2846" width="10.7109375" style="30" customWidth="1"/>
    <col min="2847" max="3064" width="15.7109375" style="30"/>
    <col min="3065" max="3065" width="49.85546875" style="30" bestFit="1" customWidth="1"/>
    <col min="3066" max="3070" width="9" style="30" customWidth="1"/>
    <col min="3071" max="3072" width="9.7109375" style="30" bestFit="1" customWidth="1"/>
    <col min="3073" max="3073" width="9.7109375" style="30" customWidth="1"/>
    <col min="3074" max="3074" width="10.42578125" style="30" bestFit="1" customWidth="1"/>
    <col min="3075" max="3102" width="10.7109375" style="30" customWidth="1"/>
    <col min="3103" max="3320" width="15.7109375" style="30"/>
    <col min="3321" max="3321" width="49.85546875" style="30" bestFit="1" customWidth="1"/>
    <col min="3322" max="3326" width="9" style="30" customWidth="1"/>
    <col min="3327" max="3328" width="9.7109375" style="30" bestFit="1" customWidth="1"/>
    <col min="3329" max="3329" width="9.7109375" style="30" customWidth="1"/>
    <col min="3330" max="3330" width="10.42578125" style="30" bestFit="1" customWidth="1"/>
    <col min="3331" max="3358" width="10.7109375" style="30" customWidth="1"/>
    <col min="3359" max="3576" width="15.7109375" style="30"/>
    <col min="3577" max="3577" width="49.85546875" style="30" bestFit="1" customWidth="1"/>
    <col min="3578" max="3582" width="9" style="30" customWidth="1"/>
    <col min="3583" max="3584" width="9.7109375" style="30" bestFit="1" customWidth="1"/>
    <col min="3585" max="3585" width="9.7109375" style="30" customWidth="1"/>
    <col min="3586" max="3586" width="10.42578125" style="30" bestFit="1" customWidth="1"/>
    <col min="3587" max="3614" width="10.7109375" style="30" customWidth="1"/>
    <col min="3615" max="3832" width="15.7109375" style="30"/>
    <col min="3833" max="3833" width="49.85546875" style="30" bestFit="1" customWidth="1"/>
    <col min="3834" max="3838" width="9" style="30" customWidth="1"/>
    <col min="3839" max="3840" width="9.7109375" style="30" bestFit="1" customWidth="1"/>
    <col min="3841" max="3841" width="9.7109375" style="30" customWidth="1"/>
    <col min="3842" max="3842" width="10.42578125" style="30" bestFit="1" customWidth="1"/>
    <col min="3843" max="3870" width="10.7109375" style="30" customWidth="1"/>
    <col min="3871" max="4088" width="15.7109375" style="30"/>
    <col min="4089" max="4089" width="49.85546875" style="30" bestFit="1" customWidth="1"/>
    <col min="4090" max="4094" width="9" style="30" customWidth="1"/>
    <col min="4095" max="4096" width="9.7109375" style="30" bestFit="1" customWidth="1"/>
    <col min="4097" max="4097" width="9.7109375" style="30" customWidth="1"/>
    <col min="4098" max="4098" width="10.42578125" style="30" bestFit="1" customWidth="1"/>
    <col min="4099" max="4126" width="10.7109375" style="30" customWidth="1"/>
    <col min="4127" max="4344" width="15.7109375" style="30"/>
    <col min="4345" max="4345" width="49.85546875" style="30" bestFit="1" customWidth="1"/>
    <col min="4346" max="4350" width="9" style="30" customWidth="1"/>
    <col min="4351" max="4352" width="9.7109375" style="30" bestFit="1" customWidth="1"/>
    <col min="4353" max="4353" width="9.7109375" style="30" customWidth="1"/>
    <col min="4354" max="4354" width="10.42578125" style="30" bestFit="1" customWidth="1"/>
    <col min="4355" max="4382" width="10.7109375" style="30" customWidth="1"/>
    <col min="4383" max="4600" width="15.7109375" style="30"/>
    <col min="4601" max="4601" width="49.85546875" style="30" bestFit="1" customWidth="1"/>
    <col min="4602" max="4606" width="9" style="30" customWidth="1"/>
    <col min="4607" max="4608" width="9.7109375" style="30" bestFit="1" customWidth="1"/>
    <col min="4609" max="4609" width="9.7109375" style="30" customWidth="1"/>
    <col min="4610" max="4610" width="10.42578125" style="30" bestFit="1" customWidth="1"/>
    <col min="4611" max="4638" width="10.7109375" style="30" customWidth="1"/>
    <col min="4639" max="4856" width="15.7109375" style="30"/>
    <col min="4857" max="4857" width="49.85546875" style="30" bestFit="1" customWidth="1"/>
    <col min="4858" max="4862" width="9" style="30" customWidth="1"/>
    <col min="4863" max="4864" width="9.7109375" style="30" bestFit="1" customWidth="1"/>
    <col min="4865" max="4865" width="9.7109375" style="30" customWidth="1"/>
    <col min="4866" max="4866" width="10.42578125" style="30" bestFit="1" customWidth="1"/>
    <col min="4867" max="4894" width="10.7109375" style="30" customWidth="1"/>
    <col min="4895" max="5112" width="15.7109375" style="30"/>
    <col min="5113" max="5113" width="49.85546875" style="30" bestFit="1" customWidth="1"/>
    <col min="5114" max="5118" width="9" style="30" customWidth="1"/>
    <col min="5119" max="5120" width="9.7109375" style="30" bestFit="1" customWidth="1"/>
    <col min="5121" max="5121" width="9.7109375" style="30" customWidth="1"/>
    <col min="5122" max="5122" width="10.42578125" style="30" bestFit="1" customWidth="1"/>
    <col min="5123" max="5150" width="10.7109375" style="30" customWidth="1"/>
    <col min="5151" max="5368" width="15.7109375" style="30"/>
    <col min="5369" max="5369" width="49.85546875" style="30" bestFit="1" customWidth="1"/>
    <col min="5370" max="5374" width="9" style="30" customWidth="1"/>
    <col min="5375" max="5376" width="9.7109375" style="30" bestFit="1" customWidth="1"/>
    <col min="5377" max="5377" width="9.7109375" style="30" customWidth="1"/>
    <col min="5378" max="5378" width="10.42578125" style="30" bestFit="1" customWidth="1"/>
    <col min="5379" max="5406" width="10.7109375" style="30" customWidth="1"/>
    <col min="5407" max="5624" width="15.7109375" style="30"/>
    <col min="5625" max="5625" width="49.85546875" style="30" bestFit="1" customWidth="1"/>
    <col min="5626" max="5630" width="9" style="30" customWidth="1"/>
    <col min="5631" max="5632" width="9.7109375" style="30" bestFit="1" customWidth="1"/>
    <col min="5633" max="5633" width="9.7109375" style="30" customWidth="1"/>
    <col min="5634" max="5634" width="10.42578125" style="30" bestFit="1" customWidth="1"/>
    <col min="5635" max="5662" width="10.7109375" style="30" customWidth="1"/>
    <col min="5663" max="5880" width="15.7109375" style="30"/>
    <col min="5881" max="5881" width="49.85546875" style="30" bestFit="1" customWidth="1"/>
    <col min="5882" max="5886" width="9" style="30" customWidth="1"/>
    <col min="5887" max="5888" width="9.7109375" style="30" bestFit="1" customWidth="1"/>
    <col min="5889" max="5889" width="9.7109375" style="30" customWidth="1"/>
    <col min="5890" max="5890" width="10.42578125" style="30" bestFit="1" customWidth="1"/>
    <col min="5891" max="5918" width="10.7109375" style="30" customWidth="1"/>
    <col min="5919" max="6136" width="15.7109375" style="30"/>
    <col min="6137" max="6137" width="49.85546875" style="30" bestFit="1" customWidth="1"/>
    <col min="6138" max="6142" width="9" style="30" customWidth="1"/>
    <col min="6143" max="6144" width="9.7109375" style="30" bestFit="1" customWidth="1"/>
    <col min="6145" max="6145" width="9.7109375" style="30" customWidth="1"/>
    <col min="6146" max="6146" width="10.42578125" style="30" bestFit="1" customWidth="1"/>
    <col min="6147" max="6174" width="10.7109375" style="30" customWidth="1"/>
    <col min="6175" max="6392" width="15.7109375" style="30"/>
    <col min="6393" max="6393" width="49.85546875" style="30" bestFit="1" customWidth="1"/>
    <col min="6394" max="6398" width="9" style="30" customWidth="1"/>
    <col min="6399" max="6400" width="9.7109375" style="30" bestFit="1" customWidth="1"/>
    <col min="6401" max="6401" width="9.7109375" style="30" customWidth="1"/>
    <col min="6402" max="6402" width="10.42578125" style="30" bestFit="1" customWidth="1"/>
    <col min="6403" max="6430" width="10.7109375" style="30" customWidth="1"/>
    <col min="6431" max="6648" width="15.7109375" style="30"/>
    <col min="6649" max="6649" width="49.85546875" style="30" bestFit="1" customWidth="1"/>
    <col min="6650" max="6654" width="9" style="30" customWidth="1"/>
    <col min="6655" max="6656" width="9.7109375" style="30" bestFit="1" customWidth="1"/>
    <col min="6657" max="6657" width="9.7109375" style="30" customWidth="1"/>
    <col min="6658" max="6658" width="10.42578125" style="30" bestFit="1" customWidth="1"/>
    <col min="6659" max="6686" width="10.7109375" style="30" customWidth="1"/>
    <col min="6687" max="6904" width="15.7109375" style="30"/>
    <col min="6905" max="6905" width="49.85546875" style="30" bestFit="1" customWidth="1"/>
    <col min="6906" max="6910" width="9" style="30" customWidth="1"/>
    <col min="6911" max="6912" width="9.7109375" style="30" bestFit="1" customWidth="1"/>
    <col min="6913" max="6913" width="9.7109375" style="30" customWidth="1"/>
    <col min="6914" max="6914" width="10.42578125" style="30" bestFit="1" customWidth="1"/>
    <col min="6915" max="6942" width="10.7109375" style="30" customWidth="1"/>
    <col min="6943" max="7160" width="15.7109375" style="30"/>
    <col min="7161" max="7161" width="49.85546875" style="30" bestFit="1" customWidth="1"/>
    <col min="7162" max="7166" width="9" style="30" customWidth="1"/>
    <col min="7167" max="7168" width="9.7109375" style="30" bestFit="1" customWidth="1"/>
    <col min="7169" max="7169" width="9.7109375" style="30" customWidth="1"/>
    <col min="7170" max="7170" width="10.42578125" style="30" bestFit="1" customWidth="1"/>
    <col min="7171" max="7198" width="10.7109375" style="30" customWidth="1"/>
    <col min="7199" max="7416" width="15.7109375" style="30"/>
    <col min="7417" max="7417" width="49.85546875" style="30" bestFit="1" customWidth="1"/>
    <col min="7418" max="7422" width="9" style="30" customWidth="1"/>
    <col min="7423" max="7424" width="9.7109375" style="30" bestFit="1" customWidth="1"/>
    <col min="7425" max="7425" width="9.7109375" style="30" customWidth="1"/>
    <col min="7426" max="7426" width="10.42578125" style="30" bestFit="1" customWidth="1"/>
    <col min="7427" max="7454" width="10.7109375" style="30" customWidth="1"/>
    <col min="7455" max="7672" width="15.7109375" style="30"/>
    <col min="7673" max="7673" width="49.85546875" style="30" bestFit="1" customWidth="1"/>
    <col min="7674" max="7678" width="9" style="30" customWidth="1"/>
    <col min="7679" max="7680" width="9.7109375" style="30" bestFit="1" customWidth="1"/>
    <col min="7681" max="7681" width="9.7109375" style="30" customWidth="1"/>
    <col min="7682" max="7682" width="10.42578125" style="30" bestFit="1" customWidth="1"/>
    <col min="7683" max="7710" width="10.7109375" style="30" customWidth="1"/>
    <col min="7711" max="7928" width="15.7109375" style="30"/>
    <col min="7929" max="7929" width="49.85546875" style="30" bestFit="1" customWidth="1"/>
    <col min="7930" max="7934" width="9" style="30" customWidth="1"/>
    <col min="7935" max="7936" width="9.7109375" style="30" bestFit="1" customWidth="1"/>
    <col min="7937" max="7937" width="9.7109375" style="30" customWidth="1"/>
    <col min="7938" max="7938" width="10.42578125" style="30" bestFit="1" customWidth="1"/>
    <col min="7939" max="7966" width="10.7109375" style="30" customWidth="1"/>
    <col min="7967" max="8184" width="15.7109375" style="30"/>
    <col min="8185" max="8185" width="49.85546875" style="30" bestFit="1" customWidth="1"/>
    <col min="8186" max="8190" width="9" style="30" customWidth="1"/>
    <col min="8191" max="8192" width="9.7109375" style="30" bestFit="1" customWidth="1"/>
    <col min="8193" max="8193" width="9.7109375" style="30" customWidth="1"/>
    <col min="8194" max="8194" width="10.42578125" style="30" bestFit="1" customWidth="1"/>
    <col min="8195" max="8222" width="10.7109375" style="30" customWidth="1"/>
    <col min="8223" max="8440" width="15.7109375" style="30"/>
    <col min="8441" max="8441" width="49.85546875" style="30" bestFit="1" customWidth="1"/>
    <col min="8442" max="8446" width="9" style="30" customWidth="1"/>
    <col min="8447" max="8448" width="9.7109375" style="30" bestFit="1" customWidth="1"/>
    <col min="8449" max="8449" width="9.7109375" style="30" customWidth="1"/>
    <col min="8450" max="8450" width="10.42578125" style="30" bestFit="1" customWidth="1"/>
    <col min="8451" max="8478" width="10.7109375" style="30" customWidth="1"/>
    <col min="8479" max="8696" width="15.7109375" style="30"/>
    <col min="8697" max="8697" width="49.85546875" style="30" bestFit="1" customWidth="1"/>
    <col min="8698" max="8702" width="9" style="30" customWidth="1"/>
    <col min="8703" max="8704" width="9.7109375" style="30" bestFit="1" customWidth="1"/>
    <col min="8705" max="8705" width="9.7109375" style="30" customWidth="1"/>
    <col min="8706" max="8706" width="10.42578125" style="30" bestFit="1" customWidth="1"/>
    <col min="8707" max="8734" width="10.7109375" style="30" customWidth="1"/>
    <col min="8735" max="8952" width="15.7109375" style="30"/>
    <col min="8953" max="8953" width="49.85546875" style="30" bestFit="1" customWidth="1"/>
    <col min="8954" max="8958" width="9" style="30" customWidth="1"/>
    <col min="8959" max="8960" width="9.7109375" style="30" bestFit="1" customWidth="1"/>
    <col min="8961" max="8961" width="9.7109375" style="30" customWidth="1"/>
    <col min="8962" max="8962" width="10.42578125" style="30" bestFit="1" customWidth="1"/>
    <col min="8963" max="8990" width="10.7109375" style="30" customWidth="1"/>
    <col min="8991" max="9208" width="15.7109375" style="30"/>
    <col min="9209" max="9209" width="49.85546875" style="30" bestFit="1" customWidth="1"/>
    <col min="9210" max="9214" width="9" style="30" customWidth="1"/>
    <col min="9215" max="9216" width="9.7109375" style="30" bestFit="1" customWidth="1"/>
    <col min="9217" max="9217" width="9.7109375" style="30" customWidth="1"/>
    <col min="9218" max="9218" width="10.42578125" style="30" bestFit="1" customWidth="1"/>
    <col min="9219" max="9246" width="10.7109375" style="30" customWidth="1"/>
    <col min="9247" max="9464" width="15.7109375" style="30"/>
    <col min="9465" max="9465" width="49.85546875" style="30" bestFit="1" customWidth="1"/>
    <col min="9466" max="9470" width="9" style="30" customWidth="1"/>
    <col min="9471" max="9472" width="9.7109375" style="30" bestFit="1" customWidth="1"/>
    <col min="9473" max="9473" width="9.7109375" style="30" customWidth="1"/>
    <col min="9474" max="9474" width="10.42578125" style="30" bestFit="1" customWidth="1"/>
    <col min="9475" max="9502" width="10.7109375" style="30" customWidth="1"/>
    <col min="9503" max="9720" width="15.7109375" style="30"/>
    <col min="9721" max="9721" width="49.85546875" style="30" bestFit="1" customWidth="1"/>
    <col min="9722" max="9726" width="9" style="30" customWidth="1"/>
    <col min="9727" max="9728" width="9.7109375" style="30" bestFit="1" customWidth="1"/>
    <col min="9729" max="9729" width="9.7109375" style="30" customWidth="1"/>
    <col min="9730" max="9730" width="10.42578125" style="30" bestFit="1" customWidth="1"/>
    <col min="9731" max="9758" width="10.7109375" style="30" customWidth="1"/>
    <col min="9759" max="9976" width="15.7109375" style="30"/>
    <col min="9977" max="9977" width="49.85546875" style="30" bestFit="1" customWidth="1"/>
    <col min="9978" max="9982" width="9" style="30" customWidth="1"/>
    <col min="9983" max="9984" width="9.7109375" style="30" bestFit="1" customWidth="1"/>
    <col min="9985" max="9985" width="9.7109375" style="30" customWidth="1"/>
    <col min="9986" max="9986" width="10.42578125" style="30" bestFit="1" customWidth="1"/>
    <col min="9987" max="10014" width="10.7109375" style="30" customWidth="1"/>
    <col min="10015" max="10232" width="15.7109375" style="30"/>
    <col min="10233" max="10233" width="49.85546875" style="30" bestFit="1" customWidth="1"/>
    <col min="10234" max="10238" width="9" style="30" customWidth="1"/>
    <col min="10239" max="10240" width="9.7109375" style="30" bestFit="1" customWidth="1"/>
    <col min="10241" max="10241" width="9.7109375" style="30" customWidth="1"/>
    <col min="10242" max="10242" width="10.42578125" style="30" bestFit="1" customWidth="1"/>
    <col min="10243" max="10270" width="10.7109375" style="30" customWidth="1"/>
    <col min="10271" max="10488" width="15.7109375" style="30"/>
    <col min="10489" max="10489" width="49.85546875" style="30" bestFit="1" customWidth="1"/>
    <col min="10490" max="10494" width="9" style="30" customWidth="1"/>
    <col min="10495" max="10496" width="9.7109375" style="30" bestFit="1" customWidth="1"/>
    <col min="10497" max="10497" width="9.7109375" style="30" customWidth="1"/>
    <col min="10498" max="10498" width="10.42578125" style="30" bestFit="1" customWidth="1"/>
    <col min="10499" max="10526" width="10.7109375" style="30" customWidth="1"/>
    <col min="10527" max="10744" width="15.7109375" style="30"/>
    <col min="10745" max="10745" width="49.85546875" style="30" bestFit="1" customWidth="1"/>
    <col min="10746" max="10750" width="9" style="30" customWidth="1"/>
    <col min="10751" max="10752" width="9.7109375" style="30" bestFit="1" customWidth="1"/>
    <col min="10753" max="10753" width="9.7109375" style="30" customWidth="1"/>
    <col min="10754" max="10754" width="10.42578125" style="30" bestFit="1" customWidth="1"/>
    <col min="10755" max="10782" width="10.7109375" style="30" customWidth="1"/>
    <col min="10783" max="11000" width="15.7109375" style="30"/>
    <col min="11001" max="11001" width="49.85546875" style="30" bestFit="1" customWidth="1"/>
    <col min="11002" max="11006" width="9" style="30" customWidth="1"/>
    <col min="11007" max="11008" width="9.7109375" style="30" bestFit="1" customWidth="1"/>
    <col min="11009" max="11009" width="9.7109375" style="30" customWidth="1"/>
    <col min="11010" max="11010" width="10.42578125" style="30" bestFit="1" customWidth="1"/>
    <col min="11011" max="11038" width="10.7109375" style="30" customWidth="1"/>
    <col min="11039" max="11256" width="15.7109375" style="30"/>
    <col min="11257" max="11257" width="49.85546875" style="30" bestFit="1" customWidth="1"/>
    <col min="11258" max="11262" width="9" style="30" customWidth="1"/>
    <col min="11263" max="11264" width="9.7109375" style="30" bestFit="1" customWidth="1"/>
    <col min="11265" max="11265" width="9.7109375" style="30" customWidth="1"/>
    <col min="11266" max="11266" width="10.42578125" style="30" bestFit="1" customWidth="1"/>
    <col min="11267" max="11294" width="10.7109375" style="30" customWidth="1"/>
    <col min="11295" max="11512" width="15.7109375" style="30"/>
    <col min="11513" max="11513" width="49.85546875" style="30" bestFit="1" customWidth="1"/>
    <col min="11514" max="11518" width="9" style="30" customWidth="1"/>
    <col min="11519" max="11520" width="9.7109375" style="30" bestFit="1" customWidth="1"/>
    <col min="11521" max="11521" width="9.7109375" style="30" customWidth="1"/>
    <col min="11522" max="11522" width="10.42578125" style="30" bestFit="1" customWidth="1"/>
    <col min="11523" max="11550" width="10.7109375" style="30" customWidth="1"/>
    <col min="11551" max="11768" width="15.7109375" style="30"/>
    <col min="11769" max="11769" width="49.85546875" style="30" bestFit="1" customWidth="1"/>
    <col min="11770" max="11774" width="9" style="30" customWidth="1"/>
    <col min="11775" max="11776" width="9.7109375" style="30" bestFit="1" customWidth="1"/>
    <col min="11777" max="11777" width="9.7109375" style="30" customWidth="1"/>
    <col min="11778" max="11778" width="10.42578125" style="30" bestFit="1" customWidth="1"/>
    <col min="11779" max="11806" width="10.7109375" style="30" customWidth="1"/>
    <col min="11807" max="12024" width="15.7109375" style="30"/>
    <col min="12025" max="12025" width="49.85546875" style="30" bestFit="1" customWidth="1"/>
    <col min="12026" max="12030" width="9" style="30" customWidth="1"/>
    <col min="12031" max="12032" width="9.7109375" style="30" bestFit="1" customWidth="1"/>
    <col min="12033" max="12033" width="9.7109375" style="30" customWidth="1"/>
    <col min="12034" max="12034" width="10.42578125" style="30" bestFit="1" customWidth="1"/>
    <col min="12035" max="12062" width="10.7109375" style="30" customWidth="1"/>
    <col min="12063" max="12280" width="15.7109375" style="30"/>
    <col min="12281" max="12281" width="49.85546875" style="30" bestFit="1" customWidth="1"/>
    <col min="12282" max="12286" width="9" style="30" customWidth="1"/>
    <col min="12287" max="12288" width="9.7109375" style="30" bestFit="1" customWidth="1"/>
    <col min="12289" max="12289" width="9.7109375" style="30" customWidth="1"/>
    <col min="12290" max="12290" width="10.42578125" style="30" bestFit="1" customWidth="1"/>
    <col min="12291" max="12318" width="10.7109375" style="30" customWidth="1"/>
    <col min="12319" max="12536" width="15.7109375" style="30"/>
    <col min="12537" max="12537" width="49.85546875" style="30" bestFit="1" customWidth="1"/>
    <col min="12538" max="12542" width="9" style="30" customWidth="1"/>
    <col min="12543" max="12544" width="9.7109375" style="30" bestFit="1" customWidth="1"/>
    <col min="12545" max="12545" width="9.7109375" style="30" customWidth="1"/>
    <col min="12546" max="12546" width="10.42578125" style="30" bestFit="1" customWidth="1"/>
    <col min="12547" max="12574" width="10.7109375" style="30" customWidth="1"/>
    <col min="12575" max="12792" width="15.7109375" style="30"/>
    <col min="12793" max="12793" width="49.85546875" style="30" bestFit="1" customWidth="1"/>
    <col min="12794" max="12798" width="9" style="30" customWidth="1"/>
    <col min="12799" max="12800" width="9.7109375" style="30" bestFit="1" customWidth="1"/>
    <col min="12801" max="12801" width="9.7109375" style="30" customWidth="1"/>
    <col min="12802" max="12802" width="10.42578125" style="30" bestFit="1" customWidth="1"/>
    <col min="12803" max="12830" width="10.7109375" style="30" customWidth="1"/>
    <col min="12831" max="13048" width="15.7109375" style="30"/>
    <col min="13049" max="13049" width="49.85546875" style="30" bestFit="1" customWidth="1"/>
    <col min="13050" max="13054" width="9" style="30" customWidth="1"/>
    <col min="13055" max="13056" width="9.7109375" style="30" bestFit="1" customWidth="1"/>
    <col min="13057" max="13057" width="9.7109375" style="30" customWidth="1"/>
    <col min="13058" max="13058" width="10.42578125" style="30" bestFit="1" customWidth="1"/>
    <col min="13059" max="13086" width="10.7109375" style="30" customWidth="1"/>
    <col min="13087" max="13304" width="15.7109375" style="30"/>
    <col min="13305" max="13305" width="49.85546875" style="30" bestFit="1" customWidth="1"/>
    <col min="13306" max="13310" width="9" style="30" customWidth="1"/>
    <col min="13311" max="13312" width="9.7109375" style="30" bestFit="1" customWidth="1"/>
    <col min="13313" max="13313" width="9.7109375" style="30" customWidth="1"/>
    <col min="13314" max="13314" width="10.42578125" style="30" bestFit="1" customWidth="1"/>
    <col min="13315" max="13342" width="10.7109375" style="30" customWidth="1"/>
    <col min="13343" max="13560" width="15.7109375" style="30"/>
    <col min="13561" max="13561" width="49.85546875" style="30" bestFit="1" customWidth="1"/>
    <col min="13562" max="13566" width="9" style="30" customWidth="1"/>
    <col min="13567" max="13568" width="9.7109375" style="30" bestFit="1" customWidth="1"/>
    <col min="13569" max="13569" width="9.7109375" style="30" customWidth="1"/>
    <col min="13570" max="13570" width="10.42578125" style="30" bestFit="1" customWidth="1"/>
    <col min="13571" max="13598" width="10.7109375" style="30" customWidth="1"/>
    <col min="13599" max="13816" width="15.7109375" style="30"/>
    <col min="13817" max="13817" width="49.85546875" style="30" bestFit="1" customWidth="1"/>
    <col min="13818" max="13822" width="9" style="30" customWidth="1"/>
    <col min="13823" max="13824" width="9.7109375" style="30" bestFit="1" customWidth="1"/>
    <col min="13825" max="13825" width="9.7109375" style="30" customWidth="1"/>
    <col min="13826" max="13826" width="10.42578125" style="30" bestFit="1" customWidth="1"/>
    <col min="13827" max="13854" width="10.7109375" style="30" customWidth="1"/>
    <col min="13855" max="14072" width="15.7109375" style="30"/>
    <col min="14073" max="14073" width="49.85546875" style="30" bestFit="1" customWidth="1"/>
    <col min="14074" max="14078" width="9" style="30" customWidth="1"/>
    <col min="14079" max="14080" width="9.7109375" style="30" bestFit="1" customWidth="1"/>
    <col min="14081" max="14081" width="9.7109375" style="30" customWidth="1"/>
    <col min="14082" max="14082" width="10.42578125" style="30" bestFit="1" customWidth="1"/>
    <col min="14083" max="14110" width="10.7109375" style="30" customWidth="1"/>
    <col min="14111" max="14328" width="15.7109375" style="30"/>
    <col min="14329" max="14329" width="49.85546875" style="30" bestFit="1" customWidth="1"/>
    <col min="14330" max="14334" width="9" style="30" customWidth="1"/>
    <col min="14335" max="14336" width="9.7109375" style="30" bestFit="1" customWidth="1"/>
    <col min="14337" max="14337" width="9.7109375" style="30" customWidth="1"/>
    <col min="14338" max="14338" width="10.42578125" style="30" bestFit="1" customWidth="1"/>
    <col min="14339" max="14366" width="10.7109375" style="30" customWidth="1"/>
    <col min="14367" max="14584" width="15.7109375" style="30"/>
    <col min="14585" max="14585" width="49.85546875" style="30" bestFit="1" customWidth="1"/>
    <col min="14586" max="14590" width="9" style="30" customWidth="1"/>
    <col min="14591" max="14592" width="9.7109375" style="30" bestFit="1" customWidth="1"/>
    <col min="14593" max="14593" width="9.7109375" style="30" customWidth="1"/>
    <col min="14594" max="14594" width="10.42578125" style="30" bestFit="1" customWidth="1"/>
    <col min="14595" max="14622" width="10.7109375" style="30" customWidth="1"/>
    <col min="14623" max="14840" width="15.7109375" style="30"/>
    <col min="14841" max="14841" width="49.85546875" style="30" bestFit="1" customWidth="1"/>
    <col min="14842" max="14846" width="9" style="30" customWidth="1"/>
    <col min="14847" max="14848" width="9.7109375" style="30" bestFit="1" customWidth="1"/>
    <col min="14849" max="14849" width="9.7109375" style="30" customWidth="1"/>
    <col min="14850" max="14850" width="10.42578125" style="30" bestFit="1" customWidth="1"/>
    <col min="14851" max="14878" width="10.7109375" style="30" customWidth="1"/>
    <col min="14879" max="15096" width="15.7109375" style="30"/>
    <col min="15097" max="15097" width="49.85546875" style="30" bestFit="1" customWidth="1"/>
    <col min="15098" max="15102" width="9" style="30" customWidth="1"/>
    <col min="15103" max="15104" width="9.7109375" style="30" bestFit="1" customWidth="1"/>
    <col min="15105" max="15105" width="9.7109375" style="30" customWidth="1"/>
    <col min="15106" max="15106" width="10.42578125" style="30" bestFit="1" customWidth="1"/>
    <col min="15107" max="15134" width="10.7109375" style="30" customWidth="1"/>
    <col min="15135" max="15352" width="15.7109375" style="30"/>
    <col min="15353" max="15353" width="49.85546875" style="30" bestFit="1" customWidth="1"/>
    <col min="15354" max="15358" width="9" style="30" customWidth="1"/>
    <col min="15359" max="15360" width="9.7109375" style="30" bestFit="1" customWidth="1"/>
    <col min="15361" max="15361" width="9.7109375" style="30" customWidth="1"/>
    <col min="15362" max="15362" width="10.42578125" style="30" bestFit="1" customWidth="1"/>
    <col min="15363" max="15390" width="10.7109375" style="30" customWidth="1"/>
    <col min="15391" max="15608" width="15.7109375" style="30"/>
    <col min="15609" max="15609" width="49.85546875" style="30" bestFit="1" customWidth="1"/>
    <col min="15610" max="15614" width="9" style="30" customWidth="1"/>
    <col min="15615" max="15616" width="9.7109375" style="30" bestFit="1" customWidth="1"/>
    <col min="15617" max="15617" width="9.7109375" style="30" customWidth="1"/>
    <col min="15618" max="15618" width="10.42578125" style="30" bestFit="1" customWidth="1"/>
    <col min="15619" max="15646" width="10.7109375" style="30" customWidth="1"/>
    <col min="15647" max="15864" width="15.7109375" style="30"/>
    <col min="15865" max="15865" width="49.85546875" style="30" bestFit="1" customWidth="1"/>
    <col min="15866" max="15870" width="9" style="30" customWidth="1"/>
    <col min="15871" max="15872" width="9.7109375" style="30" bestFit="1" customWidth="1"/>
    <col min="15873" max="15873" width="9.7109375" style="30" customWidth="1"/>
    <col min="15874" max="15874" width="10.42578125" style="30" bestFit="1" customWidth="1"/>
    <col min="15875" max="15902" width="10.7109375" style="30" customWidth="1"/>
    <col min="15903" max="16120" width="15.7109375" style="30"/>
    <col min="16121" max="16121" width="49.85546875" style="30" bestFit="1" customWidth="1"/>
    <col min="16122" max="16126" width="9" style="30" customWidth="1"/>
    <col min="16127" max="16128" width="9.7109375" style="30" bestFit="1" customWidth="1"/>
    <col min="16129" max="16129" width="9.7109375" style="30" customWidth="1"/>
    <col min="16130" max="16130" width="10.42578125" style="30" bestFit="1" customWidth="1"/>
    <col min="16131" max="16158" width="10.7109375" style="30" customWidth="1"/>
    <col min="16159" max="16384" width="15.7109375" style="30"/>
  </cols>
  <sheetData>
    <row r="2" spans="1:62" ht="13.5" thickBo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62" ht="13.5" customHeight="1">
      <c r="A3" s="30"/>
      <c r="B3" s="177" t="s">
        <v>119</v>
      </c>
      <c r="C3" s="178"/>
      <c r="D3" s="178"/>
      <c r="E3" s="178"/>
      <c r="F3" s="178"/>
      <c r="G3" s="178"/>
      <c r="H3" s="178"/>
      <c r="I3" s="178"/>
      <c r="J3" s="178"/>
      <c r="K3" s="178"/>
      <c r="L3" s="178"/>
      <c r="M3" s="179"/>
      <c r="N3" s="29"/>
      <c r="O3" s="111"/>
      <c r="P3" s="111"/>
      <c r="Q3" s="111"/>
    </row>
    <row r="4" spans="1:62" ht="12.75" customHeight="1">
      <c r="A4" s="24" t="s">
        <v>61</v>
      </c>
      <c r="B4" s="180" t="s">
        <v>176</v>
      </c>
      <c r="C4" s="181"/>
      <c r="D4" s="181"/>
      <c r="E4" s="181"/>
      <c r="F4" s="181"/>
      <c r="G4" s="181"/>
      <c r="H4" s="181"/>
      <c r="I4" s="181"/>
      <c r="J4" s="181"/>
      <c r="K4" s="181"/>
      <c r="L4" s="181"/>
      <c r="M4" s="182"/>
      <c r="N4" s="31"/>
      <c r="O4" s="31"/>
      <c r="P4" s="31"/>
      <c r="Q4" s="31"/>
      <c r="R4" s="31"/>
      <c r="S4" s="31"/>
      <c r="T4" s="31"/>
      <c r="U4" s="31"/>
      <c r="V4" s="31"/>
      <c r="W4" s="31"/>
      <c r="X4" s="31"/>
      <c r="Y4" s="31"/>
      <c r="Z4" s="31"/>
      <c r="AA4" s="31"/>
      <c r="AB4" s="31"/>
      <c r="AC4" s="31"/>
      <c r="AD4" s="31"/>
      <c r="AE4" s="31"/>
      <c r="AF4" s="31"/>
    </row>
    <row r="5" spans="1:62">
      <c r="A5" s="38" t="s">
        <v>121</v>
      </c>
      <c r="B5" s="93">
        <v>2010</v>
      </c>
      <c r="C5" s="92">
        <v>2011</v>
      </c>
      <c r="D5" s="92">
        <v>2012</v>
      </c>
      <c r="E5" s="92">
        <v>2013</v>
      </c>
      <c r="F5" s="92">
        <v>2014</v>
      </c>
      <c r="G5" s="92">
        <v>2015</v>
      </c>
      <c r="H5" s="92">
        <v>2016</v>
      </c>
      <c r="I5" s="92">
        <v>2017</v>
      </c>
      <c r="J5" s="92">
        <v>2018</v>
      </c>
      <c r="K5" s="92">
        <v>2019</v>
      </c>
      <c r="L5" s="80">
        <v>2020</v>
      </c>
      <c r="M5" s="103">
        <v>2021</v>
      </c>
      <c r="N5" s="42" t="s">
        <v>81</v>
      </c>
      <c r="O5" s="32" t="s">
        <v>82</v>
      </c>
      <c r="P5" s="32" t="s">
        <v>83</v>
      </c>
      <c r="Q5" s="32" t="s">
        <v>84</v>
      </c>
      <c r="R5" s="32" t="s">
        <v>85</v>
      </c>
      <c r="S5" s="32" t="s">
        <v>86</v>
      </c>
      <c r="T5" s="32" t="s">
        <v>87</v>
      </c>
      <c r="U5" s="32" t="s">
        <v>88</v>
      </c>
      <c r="V5" s="32" t="s">
        <v>89</v>
      </c>
      <c r="W5" s="32" t="s">
        <v>90</v>
      </c>
      <c r="X5" s="32" t="s">
        <v>91</v>
      </c>
      <c r="Y5" s="32" t="s">
        <v>92</v>
      </c>
      <c r="Z5" s="32" t="s">
        <v>127</v>
      </c>
      <c r="AA5" s="32" t="s">
        <v>129</v>
      </c>
      <c r="AB5" s="32" t="s">
        <v>135</v>
      </c>
      <c r="AC5" s="32" t="s">
        <v>136</v>
      </c>
      <c r="AD5" s="32" t="s">
        <v>142</v>
      </c>
      <c r="AE5" s="32" t="s">
        <v>143</v>
      </c>
      <c r="AF5" s="32" t="s">
        <v>144</v>
      </c>
      <c r="AG5" s="32" t="s">
        <v>145</v>
      </c>
      <c r="AH5" s="32" t="s">
        <v>147</v>
      </c>
      <c r="AI5" s="32" t="s">
        <v>148</v>
      </c>
      <c r="AJ5" s="32" t="s">
        <v>149</v>
      </c>
      <c r="AK5" s="32" t="s">
        <v>150</v>
      </c>
      <c r="AL5" s="32" t="s">
        <v>151</v>
      </c>
      <c r="AM5" s="32" t="s">
        <v>153</v>
      </c>
      <c r="AN5" s="32" t="s">
        <v>154</v>
      </c>
      <c r="AO5" s="32" t="s">
        <v>155</v>
      </c>
      <c r="AP5" s="32" t="s">
        <v>156</v>
      </c>
      <c r="AQ5" s="32" t="s">
        <v>157</v>
      </c>
      <c r="AR5" s="32" t="s">
        <v>158</v>
      </c>
      <c r="AS5" s="32" t="s">
        <v>159</v>
      </c>
      <c r="AT5" s="92" t="s">
        <v>163</v>
      </c>
      <c r="AU5" s="92" t="s">
        <v>164</v>
      </c>
      <c r="AV5" s="92" t="s">
        <v>165</v>
      </c>
      <c r="AW5" s="92" t="s">
        <v>167</v>
      </c>
      <c r="AX5" s="92" t="s">
        <v>168</v>
      </c>
      <c r="AY5" s="92" t="s">
        <v>172</v>
      </c>
      <c r="AZ5" s="92" t="s">
        <v>174</v>
      </c>
      <c r="BA5" s="92" t="s">
        <v>177</v>
      </c>
      <c r="BB5" s="92" t="s">
        <v>178</v>
      </c>
      <c r="BC5" s="92" t="s">
        <v>183</v>
      </c>
      <c r="BD5" s="92" t="s">
        <v>184</v>
      </c>
      <c r="BE5" s="92" t="s">
        <v>189</v>
      </c>
      <c r="BF5" s="92" t="s">
        <v>194</v>
      </c>
      <c r="BG5" s="92" t="s">
        <v>195</v>
      </c>
      <c r="BH5" s="92" t="s">
        <v>197</v>
      </c>
      <c r="BI5" s="92" t="s">
        <v>198</v>
      </c>
      <c r="BJ5" s="92" t="s">
        <v>202</v>
      </c>
    </row>
    <row r="6" spans="1:62">
      <c r="A6" s="39" t="s">
        <v>123</v>
      </c>
      <c r="B6" s="94"/>
      <c r="C6" s="43"/>
      <c r="D6" s="43"/>
      <c r="E6" s="43"/>
      <c r="F6" s="112"/>
      <c r="G6" s="112"/>
      <c r="H6" s="112"/>
      <c r="I6" s="112"/>
      <c r="J6" s="112"/>
      <c r="K6" s="112"/>
      <c r="L6" s="112"/>
      <c r="M6" s="124"/>
      <c r="N6" s="4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row>
    <row r="7" spans="1:62" s="36" customFormat="1">
      <c r="A7" s="40" t="s">
        <v>124</v>
      </c>
      <c r="B7" s="95">
        <f>Q7</f>
        <v>19.026</v>
      </c>
      <c r="C7" s="61">
        <f>U7</f>
        <v>41.930999999999997</v>
      </c>
      <c r="D7" s="61">
        <f>Y7</f>
        <v>54.1</v>
      </c>
      <c r="E7" s="61">
        <f>AC7</f>
        <v>48.875</v>
      </c>
      <c r="F7" s="113">
        <f>AG7</f>
        <v>43.473999999999997</v>
      </c>
      <c r="G7" s="113">
        <f>AK7</f>
        <v>18.763999999999999</v>
      </c>
      <c r="H7" s="113">
        <f>AO7</f>
        <v>18.462</v>
      </c>
      <c r="I7" s="113">
        <f>AS7</f>
        <v>17.376000000000001</v>
      </c>
      <c r="J7" s="113">
        <f t="shared" ref="J7:J13" si="0">AW7</f>
        <v>0.89600000000000002</v>
      </c>
      <c r="K7" s="113">
        <f>BA7</f>
        <v>52.627000000000002</v>
      </c>
      <c r="L7" s="113">
        <f>BE7</f>
        <v>0.96699999999999997</v>
      </c>
      <c r="M7" s="96">
        <f>BI7</f>
        <v>42.106000000000002</v>
      </c>
      <c r="N7" s="61">
        <f>BP!N34</f>
        <v>1.25</v>
      </c>
      <c r="O7" s="60">
        <f>BP!O34</f>
        <v>1.8859999999999999</v>
      </c>
      <c r="P7" s="60">
        <f>BP!P34</f>
        <v>19.818000000000001</v>
      </c>
      <c r="Q7" s="60">
        <f>BP!Q34</f>
        <v>19.026</v>
      </c>
      <c r="R7" s="60">
        <f>BP!R34</f>
        <v>37.804000000000002</v>
      </c>
      <c r="S7" s="60">
        <f>BP!S34</f>
        <v>37.735999999999997</v>
      </c>
      <c r="T7" s="60">
        <f>BP!T34</f>
        <v>37.774000000000001</v>
      </c>
      <c r="U7" s="60">
        <f>BP!U34</f>
        <v>41.930999999999997</v>
      </c>
      <c r="V7" s="60">
        <f>BP!V34</f>
        <v>37.697000000000003</v>
      </c>
      <c r="W7" s="60">
        <f>BP!W34</f>
        <v>51.280999999999999</v>
      </c>
      <c r="X7" s="60">
        <f>BP!X34</f>
        <v>55.57</v>
      </c>
      <c r="Y7" s="60">
        <f>BP!Y34</f>
        <v>54.1</v>
      </c>
      <c r="Z7" s="60">
        <f>BP!Z34</f>
        <v>59.975999999999999</v>
      </c>
      <c r="AA7" s="60">
        <f>BP!AA34</f>
        <v>56.142000000000003</v>
      </c>
      <c r="AB7" s="60">
        <f>BP!AB34</f>
        <v>38.771999999999998</v>
      </c>
      <c r="AC7" s="60">
        <f>BP!AC34</f>
        <v>48.875</v>
      </c>
      <c r="AD7" s="60">
        <f>BP!AD34</f>
        <v>46.877000000000002</v>
      </c>
      <c r="AE7" s="60">
        <f>BP!AE34</f>
        <v>49.476999999999997</v>
      </c>
      <c r="AF7" s="60">
        <f>BP!AF34</f>
        <v>36.701000000000001</v>
      </c>
      <c r="AG7" s="60">
        <f>BP!AG34</f>
        <v>43.473999999999997</v>
      </c>
      <c r="AH7" s="60">
        <f>BP!AH34</f>
        <v>31.963999999999999</v>
      </c>
      <c r="AI7" s="60">
        <f>BP!AI34</f>
        <v>26.143999999999998</v>
      </c>
      <c r="AJ7" s="60">
        <f>BP!AJ34</f>
        <v>27.687999999999999</v>
      </c>
      <c r="AK7" s="60">
        <f>BP!AK34</f>
        <v>18.763999999999999</v>
      </c>
      <c r="AL7" s="60">
        <f>BP!AL34</f>
        <v>11.07</v>
      </c>
      <c r="AM7" s="60">
        <f>BP!AM34</f>
        <v>18.835999999999999</v>
      </c>
      <c r="AN7" s="60">
        <f>BP!AN34</f>
        <v>16.856000000000002</v>
      </c>
      <c r="AO7" s="60">
        <f>BP!AO34</f>
        <v>18.462</v>
      </c>
      <c r="AP7" s="60">
        <f>BP!AP34</f>
        <v>16.826000000000001</v>
      </c>
      <c r="AQ7" s="60">
        <f>BP!AQ34</f>
        <v>17.873999999999999</v>
      </c>
      <c r="AR7" s="60">
        <f>BP!AR34</f>
        <v>16.753</v>
      </c>
      <c r="AS7" s="60">
        <f>BP!AS34</f>
        <v>17.376000000000001</v>
      </c>
      <c r="AT7" s="60">
        <f>BP!AT34</f>
        <v>16.739999999999998</v>
      </c>
      <c r="AU7" s="60">
        <f>BP!AU34</f>
        <v>17.074000000000002</v>
      </c>
      <c r="AV7" s="60">
        <f>BP!AV34</f>
        <v>8.3490000000000002</v>
      </c>
      <c r="AW7" s="60">
        <f>BP!AW34</f>
        <v>0.89600000000000002</v>
      </c>
      <c r="AX7" s="60">
        <f>BP!AX34</f>
        <v>12.891</v>
      </c>
      <c r="AY7" s="60">
        <f>BP!AY34</f>
        <v>28.821000000000002</v>
      </c>
      <c r="AZ7" s="60">
        <f>BP!AZ34</f>
        <v>29.998999999999999</v>
      </c>
      <c r="BA7" s="60">
        <f>BP!BA34</f>
        <v>52.627000000000002</v>
      </c>
      <c r="BB7" s="60">
        <f>BP!BB34</f>
        <v>42.85</v>
      </c>
      <c r="BC7" s="60">
        <f>BP!BC34</f>
        <v>48.859000000000002</v>
      </c>
      <c r="BD7" s="60">
        <f>BP!BD34</f>
        <v>50.064</v>
      </c>
      <c r="BE7" s="60">
        <f>BP!BE34</f>
        <v>0.96699999999999997</v>
      </c>
      <c r="BF7" s="60">
        <f>BP!BF34</f>
        <v>2.5310000000000001</v>
      </c>
      <c r="BG7" s="60">
        <f>BP!BG34</f>
        <v>21.72</v>
      </c>
      <c r="BH7" s="60">
        <f>BP!BH34</f>
        <v>23.803000000000001</v>
      </c>
      <c r="BI7" s="60">
        <f>BP!BI34</f>
        <v>42.106000000000002</v>
      </c>
      <c r="BJ7" s="60">
        <f>BP!BJ34</f>
        <v>46.088000000000001</v>
      </c>
    </row>
    <row r="8" spans="1:62" s="36" customFormat="1">
      <c r="A8" s="40" t="s">
        <v>125</v>
      </c>
      <c r="B8" s="95">
        <f t="shared" ref="B8:B13" si="1">Q8</f>
        <v>131.25</v>
      </c>
      <c r="C8" s="61">
        <f t="shared" ref="C8:C13" si="2">U8</f>
        <v>93.75</v>
      </c>
      <c r="D8" s="61">
        <f t="shared" ref="D8:D13" si="3">Y8</f>
        <v>56.25</v>
      </c>
      <c r="E8" s="61">
        <f>AC8</f>
        <v>18.75</v>
      </c>
      <c r="F8" s="113">
        <f>AG8</f>
        <v>0.24299999999999999</v>
      </c>
      <c r="G8" s="113">
        <f t="shared" ref="G8:G13" si="4">AK8</f>
        <v>41.823999999999998</v>
      </c>
      <c r="H8" s="113">
        <f>AO8</f>
        <v>25.071999999999999</v>
      </c>
      <c r="I8" s="113">
        <f>AS8</f>
        <v>8.3330000000000002</v>
      </c>
      <c r="J8" s="113">
        <f t="shared" si="0"/>
        <v>120</v>
      </c>
      <c r="K8" s="113">
        <f>BA8</f>
        <v>103.435</v>
      </c>
      <c r="L8" s="113">
        <f>BE8</f>
        <v>120</v>
      </c>
      <c r="M8" s="96">
        <f>BI8</f>
        <v>80</v>
      </c>
      <c r="N8" s="61">
        <f>BP!N45</f>
        <v>150</v>
      </c>
      <c r="O8" s="60">
        <f>BP!O45</f>
        <v>150</v>
      </c>
      <c r="P8" s="60">
        <f>BP!P45</f>
        <v>131.25</v>
      </c>
      <c r="Q8" s="60">
        <f>BP!Q45</f>
        <v>131.25</v>
      </c>
      <c r="R8" s="60">
        <f>BP!R45</f>
        <v>112.5</v>
      </c>
      <c r="S8" s="60">
        <f>BP!S45</f>
        <v>112.5</v>
      </c>
      <c r="T8" s="60">
        <f>BP!T45</f>
        <v>93.75</v>
      </c>
      <c r="U8" s="60">
        <f>BP!U45</f>
        <v>93.75</v>
      </c>
      <c r="V8" s="60">
        <f>BP!V45</f>
        <v>75</v>
      </c>
      <c r="W8" s="60">
        <f>BP!W45</f>
        <v>75</v>
      </c>
      <c r="X8" s="60">
        <f>BP!X45</f>
        <v>56.25</v>
      </c>
      <c r="Y8" s="60">
        <f>BP!Y45</f>
        <v>56.25</v>
      </c>
      <c r="Z8" s="60">
        <f>BP!Z45</f>
        <v>37.5</v>
      </c>
      <c r="AA8" s="60">
        <f>BP!AA45</f>
        <v>37.5</v>
      </c>
      <c r="AB8" s="60">
        <f>BP!AB45</f>
        <v>18.75</v>
      </c>
      <c r="AC8" s="60">
        <f>BP!AC45</f>
        <v>18.75</v>
      </c>
      <c r="AD8" s="60">
        <f>BP!AD45</f>
        <v>0</v>
      </c>
      <c r="AE8" s="60">
        <f>BP!AE45</f>
        <v>0</v>
      </c>
      <c r="AF8" s="60">
        <f>BP!AF45</f>
        <v>0.26500000000000001</v>
      </c>
      <c r="AG8" s="60">
        <f>BP!AG45</f>
        <v>0.24299999999999999</v>
      </c>
      <c r="AH8" s="60">
        <f>BP!AH45</f>
        <v>50.222000000000001</v>
      </c>
      <c r="AI8" s="60">
        <f>BP!AI45</f>
        <v>50.2</v>
      </c>
      <c r="AJ8" s="60">
        <f>BP!AJ45</f>
        <v>41.844999999999999</v>
      </c>
      <c r="AK8" s="60">
        <f>BP!AK45</f>
        <v>41.823999999999998</v>
      </c>
      <c r="AL8" s="60">
        <f>BP!AL45</f>
        <v>41.802999999999997</v>
      </c>
      <c r="AM8" s="60">
        <f>BP!AM45</f>
        <v>33.448</v>
      </c>
      <c r="AN8" s="60">
        <f>BP!AN45</f>
        <v>25.093</v>
      </c>
      <c r="AO8" s="60">
        <f>BP!AO45</f>
        <v>25.071999999999999</v>
      </c>
      <c r="AP8" s="60">
        <f>BP!AP45</f>
        <v>16.716999999999999</v>
      </c>
      <c r="AQ8" s="60">
        <f>BP!AQ45</f>
        <v>16.696000000000002</v>
      </c>
      <c r="AR8" s="60">
        <f>BP!AR45</f>
        <v>8.3409999999999993</v>
      </c>
      <c r="AS8" s="60">
        <f>BP!AS45</f>
        <v>8.3330000000000002</v>
      </c>
      <c r="AT8" s="60">
        <f>BP!AT45</f>
        <v>0</v>
      </c>
      <c r="AU8" s="60">
        <f>BP!AU45</f>
        <v>0</v>
      </c>
      <c r="AV8" s="60">
        <f>BP!AV45</f>
        <v>0</v>
      </c>
      <c r="AW8" s="60">
        <f>BP!AW45</f>
        <v>120</v>
      </c>
      <c r="AX8" s="60">
        <f>BP!AX45</f>
        <v>144.95500000000001</v>
      </c>
      <c r="AY8" s="60">
        <f>BP!AY45</f>
        <v>124.955</v>
      </c>
      <c r="AZ8" s="60">
        <f>BP!AZ45</f>
        <v>130.66800000000001</v>
      </c>
      <c r="BA8" s="60">
        <f>BP!BA45</f>
        <v>103.435</v>
      </c>
      <c r="BB8" s="60">
        <f>BP!BB45</f>
        <v>80</v>
      </c>
      <c r="BC8" s="60">
        <f>BP!BC45</f>
        <v>72</v>
      </c>
      <c r="BD8" s="60">
        <f>BP!BD45</f>
        <v>72</v>
      </c>
      <c r="BE8" s="60">
        <f>BP!BE45</f>
        <v>120</v>
      </c>
      <c r="BF8" s="60">
        <f>BP!BF45</f>
        <v>120</v>
      </c>
      <c r="BG8" s="60">
        <f>BP!BG45</f>
        <v>100</v>
      </c>
      <c r="BH8" s="60">
        <f>BP!BH45</f>
        <v>100</v>
      </c>
      <c r="BI8" s="60">
        <f>BP!BI45</f>
        <v>80</v>
      </c>
      <c r="BJ8" s="60">
        <f>BP!BJ45</f>
        <v>80</v>
      </c>
    </row>
    <row r="9" spans="1:62" s="36" customFormat="1">
      <c r="A9" s="39" t="s">
        <v>182</v>
      </c>
      <c r="B9" s="95"/>
      <c r="C9" s="61"/>
      <c r="D9" s="61"/>
      <c r="E9" s="61"/>
      <c r="F9" s="113"/>
      <c r="G9" s="113"/>
      <c r="H9" s="113"/>
      <c r="I9" s="113"/>
      <c r="J9" s="113"/>
      <c r="K9" s="113"/>
      <c r="L9" s="113"/>
      <c r="M9" s="96">
        <f t="shared" ref="M9:M11" si="5">BI9</f>
        <v>0</v>
      </c>
      <c r="N9" s="61"/>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33"/>
    </row>
    <row r="10" spans="1:62" s="36" customFormat="1">
      <c r="A10" s="40" t="s">
        <v>124</v>
      </c>
      <c r="B10" s="95">
        <v>0</v>
      </c>
      <c r="C10" s="60">
        <v>0</v>
      </c>
      <c r="D10" s="60">
        <v>0</v>
      </c>
      <c r="E10" s="60">
        <v>0</v>
      </c>
      <c r="F10" s="60">
        <v>0</v>
      </c>
      <c r="G10" s="60">
        <v>0</v>
      </c>
      <c r="H10" s="60">
        <v>0</v>
      </c>
      <c r="I10" s="60">
        <v>0</v>
      </c>
      <c r="J10" s="60">
        <v>0</v>
      </c>
      <c r="K10" s="60">
        <v>0</v>
      </c>
      <c r="L10" s="113">
        <f t="shared" ref="L10:L11" si="6">BE10</f>
        <v>16.515999999999998</v>
      </c>
      <c r="M10" s="96">
        <f t="shared" si="5"/>
        <v>5.4109999999999996</v>
      </c>
      <c r="N10" s="61">
        <v>0</v>
      </c>
      <c r="O10" s="60">
        <v>0</v>
      </c>
      <c r="P10" s="60">
        <v>0</v>
      </c>
      <c r="Q10" s="60">
        <v>0</v>
      </c>
      <c r="R10" s="60">
        <v>0</v>
      </c>
      <c r="S10" s="60">
        <v>0</v>
      </c>
      <c r="T10" s="60">
        <v>0</v>
      </c>
      <c r="U10" s="60">
        <v>0</v>
      </c>
      <c r="V10" s="60">
        <v>0</v>
      </c>
      <c r="W10" s="60">
        <v>0</v>
      </c>
      <c r="X10" s="60">
        <v>0</v>
      </c>
      <c r="Y10" s="60">
        <v>0</v>
      </c>
      <c r="Z10" s="60">
        <v>0</v>
      </c>
      <c r="AA10" s="60">
        <v>0</v>
      </c>
      <c r="AB10" s="60">
        <v>0</v>
      </c>
      <c r="AC10" s="60">
        <v>0</v>
      </c>
      <c r="AD10" s="60">
        <v>0</v>
      </c>
      <c r="AE10" s="60">
        <v>0</v>
      </c>
      <c r="AF10" s="60">
        <v>0</v>
      </c>
      <c r="AG10" s="60">
        <v>0</v>
      </c>
      <c r="AH10" s="60">
        <v>0</v>
      </c>
      <c r="AI10" s="60">
        <v>0</v>
      </c>
      <c r="AJ10" s="60">
        <v>0</v>
      </c>
      <c r="AK10" s="60">
        <v>0</v>
      </c>
      <c r="AL10" s="60">
        <v>0</v>
      </c>
      <c r="AM10" s="60">
        <v>0</v>
      </c>
      <c r="AN10" s="60">
        <v>0</v>
      </c>
      <c r="AO10" s="60">
        <v>0</v>
      </c>
      <c r="AP10" s="60">
        <v>0</v>
      </c>
      <c r="AQ10" s="60">
        <v>0</v>
      </c>
      <c r="AR10" s="60">
        <v>0</v>
      </c>
      <c r="AS10" s="60">
        <v>0</v>
      </c>
      <c r="AT10" s="60">
        <v>0</v>
      </c>
      <c r="AU10" s="60">
        <v>0</v>
      </c>
      <c r="AV10" s="60">
        <v>0</v>
      </c>
      <c r="AW10" s="60">
        <v>0</v>
      </c>
      <c r="AX10" s="60">
        <v>0</v>
      </c>
      <c r="AY10" s="60">
        <v>0</v>
      </c>
      <c r="AZ10" s="60">
        <v>0</v>
      </c>
      <c r="BA10" s="60">
        <v>0</v>
      </c>
      <c r="BB10" s="60">
        <f>BP!BB35</f>
        <v>15.324999999999999</v>
      </c>
      <c r="BC10" s="60">
        <f>BP!BC35</f>
        <v>17.71</v>
      </c>
      <c r="BD10" s="60">
        <f>BP!BD35</f>
        <v>20.315000000000001</v>
      </c>
      <c r="BE10" s="60">
        <f>BP!BE35</f>
        <v>16.515999999999998</v>
      </c>
      <c r="BF10" s="60">
        <f>BP!BF35</f>
        <v>3.6659999999999999</v>
      </c>
      <c r="BG10" s="60">
        <f>BP!BG35</f>
        <v>4.3620000000000001</v>
      </c>
      <c r="BH10" s="60">
        <f>BP!BH35</f>
        <v>5.0579999999999998</v>
      </c>
      <c r="BI10" s="60">
        <f>BP!BI35</f>
        <v>5.4109999999999996</v>
      </c>
      <c r="BJ10" s="60">
        <f>BP!BJ35</f>
        <v>5.9729999999999999</v>
      </c>
    </row>
    <row r="11" spans="1:62" s="36" customFormat="1">
      <c r="A11" s="40" t="s">
        <v>125</v>
      </c>
      <c r="B11" s="95">
        <v>0</v>
      </c>
      <c r="C11" s="60">
        <v>0</v>
      </c>
      <c r="D11" s="60">
        <v>0</v>
      </c>
      <c r="E11" s="60">
        <v>0</v>
      </c>
      <c r="F11" s="60">
        <v>0</v>
      </c>
      <c r="G11" s="60">
        <v>0</v>
      </c>
      <c r="H11" s="60">
        <v>0</v>
      </c>
      <c r="I11" s="60">
        <v>0</v>
      </c>
      <c r="J11" s="60">
        <v>0</v>
      </c>
      <c r="K11" s="60">
        <v>0</v>
      </c>
      <c r="L11" s="113">
        <f t="shared" si="6"/>
        <v>6.976</v>
      </c>
      <c r="M11" s="96">
        <f t="shared" si="5"/>
        <v>5.7880000000000003</v>
      </c>
      <c r="N11" s="61">
        <v>0</v>
      </c>
      <c r="O11" s="60">
        <v>0</v>
      </c>
      <c r="P11" s="60">
        <v>0</v>
      </c>
      <c r="Q11" s="60">
        <v>0</v>
      </c>
      <c r="R11" s="60">
        <v>0</v>
      </c>
      <c r="S11" s="60">
        <v>0</v>
      </c>
      <c r="T11" s="60">
        <v>0</v>
      </c>
      <c r="U11" s="60">
        <v>0</v>
      </c>
      <c r="V11" s="60">
        <v>0</v>
      </c>
      <c r="W11" s="60">
        <v>0</v>
      </c>
      <c r="X11" s="60">
        <v>0</v>
      </c>
      <c r="Y11" s="60">
        <v>0</v>
      </c>
      <c r="Z11" s="60">
        <v>0</v>
      </c>
      <c r="AA11" s="60">
        <v>0</v>
      </c>
      <c r="AB11" s="60">
        <v>0</v>
      </c>
      <c r="AC11" s="60">
        <v>0</v>
      </c>
      <c r="AD11" s="60">
        <v>0</v>
      </c>
      <c r="AE11" s="60">
        <v>0</v>
      </c>
      <c r="AF11" s="60">
        <v>0</v>
      </c>
      <c r="AG11" s="60">
        <v>0</v>
      </c>
      <c r="AH11" s="60">
        <v>0</v>
      </c>
      <c r="AI11" s="60">
        <v>0</v>
      </c>
      <c r="AJ11" s="60">
        <v>0</v>
      </c>
      <c r="AK11" s="60">
        <v>0</v>
      </c>
      <c r="AL11" s="60">
        <v>0</v>
      </c>
      <c r="AM11" s="60">
        <v>0</v>
      </c>
      <c r="AN11" s="60">
        <v>0</v>
      </c>
      <c r="AO11" s="60">
        <v>0</v>
      </c>
      <c r="AP11" s="60">
        <v>0</v>
      </c>
      <c r="AQ11" s="60">
        <v>0</v>
      </c>
      <c r="AR11" s="60">
        <v>0</v>
      </c>
      <c r="AS11" s="60">
        <v>0</v>
      </c>
      <c r="AT11" s="60">
        <v>0</v>
      </c>
      <c r="AU11" s="60">
        <v>0</v>
      </c>
      <c r="AV11" s="60">
        <v>0</v>
      </c>
      <c r="AW11" s="60">
        <v>0</v>
      </c>
      <c r="AX11" s="60">
        <v>0</v>
      </c>
      <c r="AY11" s="60">
        <v>0</v>
      </c>
      <c r="AZ11" s="60">
        <v>0</v>
      </c>
      <c r="BA11" s="60">
        <v>0</v>
      </c>
      <c r="BB11" s="60">
        <f>BP!BB46</f>
        <v>25.396000000000001</v>
      </c>
      <c r="BC11" s="60">
        <f>BP!BC46</f>
        <v>22.163</v>
      </c>
      <c r="BD11" s="60">
        <f>BP!BD46</f>
        <v>18.471</v>
      </c>
      <c r="BE11" s="60">
        <f>BP!BE46</f>
        <v>6.976</v>
      </c>
      <c r="BF11" s="60">
        <f>BP!BF46</f>
        <v>4.6520000000000001</v>
      </c>
      <c r="BG11" s="60">
        <f>BP!BG46</f>
        <v>7.1879999999999997</v>
      </c>
      <c r="BH11" s="60">
        <f>BP!BH46</f>
        <v>6.4939999999999998</v>
      </c>
      <c r="BI11" s="60">
        <f>BP!BI46</f>
        <v>5.7880000000000003</v>
      </c>
      <c r="BJ11" s="60">
        <f>BP!BJ46</f>
        <v>5.73</v>
      </c>
    </row>
    <row r="12" spans="1:62" s="34" customFormat="1">
      <c r="A12" s="41" t="s">
        <v>120</v>
      </c>
      <c r="B12" s="97">
        <f t="shared" ref="B12:BD12" si="7">SUM(B7:B8,B10:B11)</f>
        <v>150.27600000000001</v>
      </c>
      <c r="C12" s="63">
        <f t="shared" si="7"/>
        <v>135.68099999999998</v>
      </c>
      <c r="D12" s="63">
        <f t="shared" si="7"/>
        <v>110.35</v>
      </c>
      <c r="E12" s="63">
        <f t="shared" si="7"/>
        <v>67.625</v>
      </c>
      <c r="F12" s="114">
        <f t="shared" si="7"/>
        <v>43.716999999999999</v>
      </c>
      <c r="G12" s="114">
        <f t="shared" si="7"/>
        <v>60.587999999999994</v>
      </c>
      <c r="H12" s="114">
        <f t="shared" si="7"/>
        <v>43.533999999999999</v>
      </c>
      <c r="I12" s="114">
        <f t="shared" si="7"/>
        <v>25.709000000000003</v>
      </c>
      <c r="J12" s="114">
        <f t="shared" si="7"/>
        <v>120.896</v>
      </c>
      <c r="K12" s="114">
        <f t="shared" si="7"/>
        <v>156.06200000000001</v>
      </c>
      <c r="L12" s="114">
        <f t="shared" si="7"/>
        <v>144.459</v>
      </c>
      <c r="M12" s="98">
        <f t="shared" si="7"/>
        <v>133.30500000000001</v>
      </c>
      <c r="N12" s="63">
        <f t="shared" si="7"/>
        <v>151.25</v>
      </c>
      <c r="O12" s="62">
        <f t="shared" si="7"/>
        <v>151.886</v>
      </c>
      <c r="P12" s="62">
        <f t="shared" si="7"/>
        <v>151.06800000000001</v>
      </c>
      <c r="Q12" s="62">
        <f t="shared" si="7"/>
        <v>150.27600000000001</v>
      </c>
      <c r="R12" s="62">
        <f t="shared" si="7"/>
        <v>150.304</v>
      </c>
      <c r="S12" s="62">
        <f t="shared" si="7"/>
        <v>150.23599999999999</v>
      </c>
      <c r="T12" s="62">
        <f t="shared" si="7"/>
        <v>131.524</v>
      </c>
      <c r="U12" s="62">
        <f t="shared" si="7"/>
        <v>135.68099999999998</v>
      </c>
      <c r="V12" s="62">
        <f t="shared" si="7"/>
        <v>112.697</v>
      </c>
      <c r="W12" s="62">
        <f t="shared" si="7"/>
        <v>126.28100000000001</v>
      </c>
      <c r="X12" s="62">
        <f t="shared" si="7"/>
        <v>111.82</v>
      </c>
      <c r="Y12" s="62">
        <f t="shared" si="7"/>
        <v>110.35</v>
      </c>
      <c r="Z12" s="62">
        <f t="shared" si="7"/>
        <v>97.475999999999999</v>
      </c>
      <c r="AA12" s="62">
        <f t="shared" si="7"/>
        <v>93.641999999999996</v>
      </c>
      <c r="AB12" s="62">
        <f t="shared" si="7"/>
        <v>57.521999999999998</v>
      </c>
      <c r="AC12" s="62">
        <f t="shared" si="7"/>
        <v>67.625</v>
      </c>
      <c r="AD12" s="62">
        <f t="shared" si="7"/>
        <v>46.877000000000002</v>
      </c>
      <c r="AE12" s="62">
        <f t="shared" si="7"/>
        <v>49.476999999999997</v>
      </c>
      <c r="AF12" s="62">
        <f t="shared" si="7"/>
        <v>36.966000000000001</v>
      </c>
      <c r="AG12" s="62">
        <f t="shared" si="7"/>
        <v>43.716999999999999</v>
      </c>
      <c r="AH12" s="62">
        <f t="shared" si="7"/>
        <v>82.186000000000007</v>
      </c>
      <c r="AI12" s="62">
        <f t="shared" si="7"/>
        <v>76.343999999999994</v>
      </c>
      <c r="AJ12" s="62">
        <f t="shared" si="7"/>
        <v>69.533000000000001</v>
      </c>
      <c r="AK12" s="62">
        <f t="shared" si="7"/>
        <v>60.587999999999994</v>
      </c>
      <c r="AL12" s="62">
        <f t="shared" si="7"/>
        <v>52.872999999999998</v>
      </c>
      <c r="AM12" s="62">
        <f t="shared" si="7"/>
        <v>52.283999999999999</v>
      </c>
      <c r="AN12" s="62">
        <f t="shared" si="7"/>
        <v>41.948999999999998</v>
      </c>
      <c r="AO12" s="62">
        <f t="shared" si="7"/>
        <v>43.533999999999999</v>
      </c>
      <c r="AP12" s="62">
        <f t="shared" si="7"/>
        <v>33.542999999999999</v>
      </c>
      <c r="AQ12" s="62">
        <f t="shared" si="7"/>
        <v>34.57</v>
      </c>
      <c r="AR12" s="62">
        <f t="shared" si="7"/>
        <v>25.094000000000001</v>
      </c>
      <c r="AS12" s="62">
        <f t="shared" si="7"/>
        <v>25.709000000000003</v>
      </c>
      <c r="AT12" s="62">
        <f t="shared" si="7"/>
        <v>16.739999999999998</v>
      </c>
      <c r="AU12" s="62">
        <f t="shared" si="7"/>
        <v>17.074000000000002</v>
      </c>
      <c r="AV12" s="62">
        <f t="shared" si="7"/>
        <v>8.3490000000000002</v>
      </c>
      <c r="AW12" s="62">
        <f t="shared" si="7"/>
        <v>120.896</v>
      </c>
      <c r="AX12" s="62">
        <f t="shared" si="7"/>
        <v>157.846</v>
      </c>
      <c r="AY12" s="62">
        <f t="shared" si="7"/>
        <v>153.77600000000001</v>
      </c>
      <c r="AZ12" s="62">
        <f t="shared" si="7"/>
        <v>160.667</v>
      </c>
      <c r="BA12" s="62">
        <f t="shared" si="7"/>
        <v>156.06200000000001</v>
      </c>
      <c r="BB12" s="62">
        <f t="shared" si="7"/>
        <v>163.57099999999997</v>
      </c>
      <c r="BC12" s="62">
        <f t="shared" si="7"/>
        <v>160.73200000000003</v>
      </c>
      <c r="BD12" s="62">
        <f t="shared" si="7"/>
        <v>160.85</v>
      </c>
      <c r="BE12" s="62">
        <f>SUM(BE7:BE8,BE10:BE11)</f>
        <v>144.459</v>
      </c>
      <c r="BF12" s="62">
        <f>SUM(BF7:BF8,BF10:BF11)</f>
        <v>130.84899999999999</v>
      </c>
      <c r="BG12" s="62">
        <f>SUM(BG7:BG8,BG10:BG11)</f>
        <v>133.26999999999998</v>
      </c>
      <c r="BH12" s="62">
        <f>SUM(BH7:BH8,BH10:BH11)</f>
        <v>135.35499999999999</v>
      </c>
      <c r="BI12" s="62">
        <f>SUM(BI7:BI8,BI10:BI11)</f>
        <v>133.30500000000001</v>
      </c>
      <c r="BJ12" s="62">
        <f>SUM(BJ7:BJ8,BJ10:BJ11)</f>
        <v>137.791</v>
      </c>
    </row>
    <row r="13" spans="1:62">
      <c r="A13" s="39" t="s">
        <v>122</v>
      </c>
      <c r="B13" s="99">
        <f t="shared" si="1"/>
        <v>120.934</v>
      </c>
      <c r="C13" s="65">
        <f t="shared" si="2"/>
        <v>263.27699999999999</v>
      </c>
      <c r="D13" s="65">
        <f t="shared" si="3"/>
        <v>149.571</v>
      </c>
      <c r="E13" s="65">
        <f>AC13</f>
        <v>148.309</v>
      </c>
      <c r="F13" s="115">
        <f t="shared" ref="F13" si="8">AG13</f>
        <v>73.305000000000007</v>
      </c>
      <c r="G13" s="115">
        <f t="shared" si="4"/>
        <v>239.613</v>
      </c>
      <c r="H13" s="113">
        <f>AO13</f>
        <v>137.46100000000001</v>
      </c>
      <c r="I13" s="113">
        <f>AS13</f>
        <v>198.01499999999999</v>
      </c>
      <c r="J13" s="113">
        <f t="shared" si="0"/>
        <v>201.98599999999999</v>
      </c>
      <c r="K13" s="113">
        <f>BA13</f>
        <v>209.65</v>
      </c>
      <c r="L13" s="113">
        <f>BE13</f>
        <v>201.91399999999999</v>
      </c>
      <c r="M13" s="96">
        <f>BI13</f>
        <v>229.05600000000001</v>
      </c>
      <c r="N13" s="65">
        <f>BP!N8</f>
        <v>78.632000000000005</v>
      </c>
      <c r="O13" s="64">
        <f>BP!O8</f>
        <v>55.808999999999997</v>
      </c>
      <c r="P13" s="64">
        <f>BP!P8</f>
        <v>63.279000000000003</v>
      </c>
      <c r="Q13" s="64">
        <f>BP!Q8</f>
        <v>120.934</v>
      </c>
      <c r="R13" s="64">
        <f>BP!R8</f>
        <v>116.047</v>
      </c>
      <c r="S13" s="64">
        <f>BP!S8</f>
        <v>254.697</v>
      </c>
      <c r="T13" s="64">
        <f>BP!T8</f>
        <v>272.74299999999999</v>
      </c>
      <c r="U13" s="64">
        <f>BP!U8</f>
        <v>263.27699999999999</v>
      </c>
      <c r="V13" s="64">
        <f>BP!V8</f>
        <v>209.54900000000001</v>
      </c>
      <c r="W13" s="64">
        <f>BP!W8</f>
        <v>213.27500000000001</v>
      </c>
      <c r="X13" s="64">
        <f>BP!X8</f>
        <v>208.476</v>
      </c>
      <c r="Y13" s="64">
        <f>BP!Y8</f>
        <v>149.571</v>
      </c>
      <c r="Z13" s="64">
        <f>BP!Z8</f>
        <v>130.46899999999999</v>
      </c>
      <c r="AA13" s="64">
        <f>BP!AA8</f>
        <v>158.16399999999999</v>
      </c>
      <c r="AB13" s="64">
        <f>BP!AB8</f>
        <v>167.48599999999999</v>
      </c>
      <c r="AC13" s="64">
        <f>BP!AC8</f>
        <v>148.309</v>
      </c>
      <c r="AD13" s="64">
        <f>BP!AD8</f>
        <v>104.971</v>
      </c>
      <c r="AE13" s="64">
        <f>BP!AE8</f>
        <v>70.192999999999998</v>
      </c>
      <c r="AF13" s="64">
        <f>BP!AF8</f>
        <v>61.758000000000003</v>
      </c>
      <c r="AG13" s="64">
        <f>BP!AG8</f>
        <v>73.305000000000007</v>
      </c>
      <c r="AH13" s="64">
        <f>BP!AH8</f>
        <v>60.377000000000002</v>
      </c>
      <c r="AI13" s="64">
        <f>BP!AI8</f>
        <v>86.400999999999996</v>
      </c>
      <c r="AJ13" s="64">
        <f>BP!AJ8</f>
        <v>141.30699999999999</v>
      </c>
      <c r="AK13" s="64">
        <f>BP!AK8+BP!AK9</f>
        <v>239.613</v>
      </c>
      <c r="AL13" s="64">
        <f>BP!AL8+BP!AL9</f>
        <v>170.773</v>
      </c>
      <c r="AM13" s="64">
        <f>BP!AM8+BP!AM9</f>
        <v>121.095</v>
      </c>
      <c r="AN13" s="64">
        <f>BP!AN8+BP!AN9</f>
        <v>112.989</v>
      </c>
      <c r="AO13" s="64">
        <f>BP!AO8+BP!AO9</f>
        <v>137.46100000000001</v>
      </c>
      <c r="AP13" s="64">
        <f>BP!AP8+BP!AP9</f>
        <v>125.751</v>
      </c>
      <c r="AQ13" s="64">
        <f>BP!AQ8+BP!AQ9</f>
        <v>176.12299999999999</v>
      </c>
      <c r="AR13" s="64">
        <f>BP!AR8+BP!AR9</f>
        <v>218.042</v>
      </c>
      <c r="AS13" s="64">
        <f>BP!AS8+BP!AS9</f>
        <v>198.01499999999999</v>
      </c>
      <c r="AT13" s="64">
        <f>BP!AT8+BP!AT9</f>
        <v>242.99100000000001</v>
      </c>
      <c r="AU13" s="64">
        <f>BP!AU8+BP!AU9</f>
        <v>171.65099999999998</v>
      </c>
      <c r="AV13" s="64">
        <f>BP!AV8+BP!AV9</f>
        <v>104.77499999999999</v>
      </c>
      <c r="AW13" s="64">
        <f>BP!AW8+BP!AW9</f>
        <v>201.98599999999999</v>
      </c>
      <c r="AX13" s="64">
        <f>BP!AX8+BP!AX9</f>
        <v>260.86900000000003</v>
      </c>
      <c r="AY13" s="64">
        <f>BP!AY8+BP!AY9</f>
        <v>224.084</v>
      </c>
      <c r="AZ13" s="64">
        <f>BP!AZ8+BP!AZ9</f>
        <v>235.982</v>
      </c>
      <c r="BA13" s="64">
        <f>BP!BA8+BP!BA9</f>
        <v>209.65</v>
      </c>
      <c r="BB13" s="64">
        <f>BP!BB8+BP!BB9</f>
        <v>222.50700000000001</v>
      </c>
      <c r="BC13" s="64">
        <f>BP!BC8+BP!BC9</f>
        <v>217.93800000000002</v>
      </c>
      <c r="BD13" s="64">
        <f>BP!BD8+BP!BD9</f>
        <v>211.74600000000001</v>
      </c>
      <c r="BE13" s="64">
        <f>BP!BE8+BP!BE9</f>
        <v>201.91399999999999</v>
      </c>
      <c r="BF13" s="64">
        <f>BP!BF8+BP!BF9</f>
        <v>204.96600000000001</v>
      </c>
      <c r="BG13" s="64">
        <f>BP!BG8+BP!BG9</f>
        <v>194.40600000000001</v>
      </c>
      <c r="BH13" s="64">
        <f>BP!BH8+BP!BH9</f>
        <v>200.70099999999999</v>
      </c>
      <c r="BI13" s="64">
        <f>BP!BI8+BP!BI9+BP!BI10+BP!BI19</f>
        <v>229.05600000000001</v>
      </c>
      <c r="BJ13" s="64">
        <f>BP!BJ8+BP!BJ9+BP!BJ10+BP!BJ19</f>
        <v>193.071</v>
      </c>
    </row>
    <row r="14" spans="1:62" s="34" customFormat="1">
      <c r="A14" s="41" t="s">
        <v>133</v>
      </c>
      <c r="B14" s="97">
        <f>B12-B13</f>
        <v>29.342000000000013</v>
      </c>
      <c r="C14" s="63">
        <f t="shared" ref="C14:D14" si="9">C12-C13</f>
        <v>-127.596</v>
      </c>
      <c r="D14" s="63">
        <f t="shared" si="9"/>
        <v>-39.221000000000004</v>
      </c>
      <c r="E14" s="63">
        <f t="shared" ref="E14:F14" si="10">E12-E13</f>
        <v>-80.683999999999997</v>
      </c>
      <c r="F14" s="114">
        <f t="shared" si="10"/>
        <v>-29.588000000000008</v>
      </c>
      <c r="G14" s="114">
        <f t="shared" ref="G14" si="11">G12-G13</f>
        <v>-179.02500000000001</v>
      </c>
      <c r="H14" s="114">
        <f t="shared" ref="H14:N14" si="12">H12-H13</f>
        <v>-93.927000000000021</v>
      </c>
      <c r="I14" s="114">
        <f t="shared" si="12"/>
        <v>-172.30599999999998</v>
      </c>
      <c r="J14" s="114">
        <f t="shared" si="12"/>
        <v>-81.089999999999989</v>
      </c>
      <c r="K14" s="114">
        <f t="shared" si="12"/>
        <v>-53.587999999999994</v>
      </c>
      <c r="L14" s="114">
        <f t="shared" si="12"/>
        <v>-57.454999999999984</v>
      </c>
      <c r="M14" s="98">
        <f t="shared" si="12"/>
        <v>-95.751000000000005</v>
      </c>
      <c r="N14" s="63">
        <f t="shared" si="12"/>
        <v>72.617999999999995</v>
      </c>
      <c r="O14" s="63">
        <f t="shared" ref="O14:X14" si="13">O12-O13</f>
        <v>96.076999999999998</v>
      </c>
      <c r="P14" s="63">
        <f t="shared" si="13"/>
        <v>87.789000000000016</v>
      </c>
      <c r="Q14" s="63">
        <f t="shared" si="13"/>
        <v>29.342000000000013</v>
      </c>
      <c r="R14" s="63">
        <f t="shared" si="13"/>
        <v>34.257000000000005</v>
      </c>
      <c r="S14" s="63">
        <f t="shared" si="13"/>
        <v>-104.46100000000001</v>
      </c>
      <c r="T14" s="63">
        <f t="shared" si="13"/>
        <v>-141.21899999999999</v>
      </c>
      <c r="U14" s="63">
        <f t="shared" si="13"/>
        <v>-127.596</v>
      </c>
      <c r="V14" s="63">
        <f t="shared" si="13"/>
        <v>-96.852000000000004</v>
      </c>
      <c r="W14" s="63">
        <f t="shared" si="13"/>
        <v>-86.994</v>
      </c>
      <c r="X14" s="63">
        <f t="shared" si="13"/>
        <v>-96.656000000000006</v>
      </c>
      <c r="Y14" s="63">
        <f>Y12-Y13</f>
        <v>-39.221000000000004</v>
      </c>
      <c r="Z14" s="63">
        <f t="shared" ref="Z14" si="14">Z12-Z13</f>
        <v>-32.992999999999995</v>
      </c>
      <c r="AA14" s="63">
        <f t="shared" ref="AA14:AB14" si="15">AA12-AA13</f>
        <v>-64.521999999999991</v>
      </c>
      <c r="AB14" s="63">
        <f t="shared" si="15"/>
        <v>-109.964</v>
      </c>
      <c r="AC14" s="63">
        <f t="shared" ref="AC14" si="16">AC12-AC13</f>
        <v>-80.683999999999997</v>
      </c>
      <c r="AD14" s="63">
        <f t="shared" ref="AD14:AJ14" si="17">AD12-AD13</f>
        <v>-58.094000000000001</v>
      </c>
      <c r="AE14" s="63">
        <f t="shared" si="17"/>
        <v>-20.716000000000001</v>
      </c>
      <c r="AF14" s="63">
        <f t="shared" si="17"/>
        <v>-24.792000000000002</v>
      </c>
      <c r="AG14" s="63">
        <f t="shared" si="17"/>
        <v>-29.588000000000008</v>
      </c>
      <c r="AH14" s="63">
        <f t="shared" si="17"/>
        <v>21.809000000000005</v>
      </c>
      <c r="AI14" s="63">
        <f t="shared" si="17"/>
        <v>-10.057000000000002</v>
      </c>
      <c r="AJ14" s="63">
        <f t="shared" si="17"/>
        <v>-71.773999999999987</v>
      </c>
      <c r="AK14" s="63">
        <f t="shared" ref="AK14" si="18">AK12-AK13</f>
        <v>-179.02500000000001</v>
      </c>
      <c r="AL14" s="63">
        <f t="shared" ref="AL14:AQ14" si="19">AL12-AL13</f>
        <v>-117.9</v>
      </c>
      <c r="AM14" s="63">
        <f t="shared" si="19"/>
        <v>-68.811000000000007</v>
      </c>
      <c r="AN14" s="63">
        <f t="shared" si="19"/>
        <v>-71.040000000000006</v>
      </c>
      <c r="AO14" s="63">
        <f t="shared" si="19"/>
        <v>-93.927000000000021</v>
      </c>
      <c r="AP14" s="63">
        <f t="shared" si="19"/>
        <v>-92.207999999999998</v>
      </c>
      <c r="AQ14" s="63">
        <f t="shared" si="19"/>
        <v>-141.553</v>
      </c>
      <c r="AR14" s="63">
        <f t="shared" ref="AR14" si="20">AR12-AR13</f>
        <v>-192.94800000000001</v>
      </c>
      <c r="AS14" s="63">
        <f t="shared" ref="AS14:AT14" si="21">AS12-AS13</f>
        <v>-172.30599999999998</v>
      </c>
      <c r="AT14" s="63">
        <f t="shared" si="21"/>
        <v>-226.251</v>
      </c>
      <c r="AU14" s="63">
        <f t="shared" ref="AU14" si="22">AU12-AU13</f>
        <v>-154.57699999999997</v>
      </c>
      <c r="AV14" s="63">
        <f t="shared" ref="AV14:BA14" si="23">AV12-AV13</f>
        <v>-96.425999999999988</v>
      </c>
      <c r="AW14" s="63">
        <f t="shared" si="23"/>
        <v>-81.089999999999989</v>
      </c>
      <c r="AX14" s="134">
        <f t="shared" si="23"/>
        <v>-103.02300000000002</v>
      </c>
      <c r="AY14" s="63">
        <f t="shared" si="23"/>
        <v>-70.307999999999993</v>
      </c>
      <c r="AZ14" s="63">
        <f t="shared" si="23"/>
        <v>-75.314999999999998</v>
      </c>
      <c r="BA14" s="63">
        <f t="shared" si="23"/>
        <v>-53.587999999999994</v>
      </c>
      <c r="BB14" s="63">
        <f>BB12-BB13</f>
        <v>-58.936000000000035</v>
      </c>
      <c r="BC14" s="63">
        <f t="shared" ref="BC14" si="24">BC12-BC13</f>
        <v>-57.205999999999989</v>
      </c>
      <c r="BD14" s="63">
        <f t="shared" ref="BD14:BE14" si="25">BD12-BD13</f>
        <v>-50.896000000000015</v>
      </c>
      <c r="BE14" s="63">
        <f t="shared" si="25"/>
        <v>-57.454999999999984</v>
      </c>
      <c r="BF14" s="63">
        <f t="shared" ref="BF14:BJ14" si="26">BF12-BF13</f>
        <v>-74.117000000000019</v>
      </c>
      <c r="BG14" s="63">
        <f t="shared" si="26"/>
        <v>-61.136000000000024</v>
      </c>
      <c r="BH14" s="63">
        <f t="shared" si="26"/>
        <v>-65.346000000000004</v>
      </c>
      <c r="BI14" s="63">
        <f t="shared" si="26"/>
        <v>-95.751000000000005</v>
      </c>
      <c r="BJ14" s="63">
        <f t="shared" si="26"/>
        <v>-55.28</v>
      </c>
    </row>
    <row r="15" spans="1:62" s="34" customFormat="1" ht="13.5" thickBot="1">
      <c r="A15" s="41" t="s">
        <v>134</v>
      </c>
      <c r="B15" s="100">
        <f>B14/DRE!B26</f>
        <v>0.30850881611908509</v>
      </c>
      <c r="C15" s="101">
        <f>C14/DRE!C26</f>
        <v>-1.1837511683989614</v>
      </c>
      <c r="D15" s="101">
        <f>D14/DRE!D26</f>
        <v>-7.6068657874321097</v>
      </c>
      <c r="E15" s="101">
        <f>E14/DRE!E26</f>
        <v>-10.214662229061577</v>
      </c>
      <c r="F15" s="116">
        <f>F14/DRE!F26</f>
        <v>1.1344657030021856</v>
      </c>
      <c r="G15" s="116">
        <f>G14/DRE!G26</f>
        <v>-4.2956377771379177</v>
      </c>
      <c r="H15" s="116">
        <f>H14/DRE!H26</f>
        <v>-1.453438351076999</v>
      </c>
      <c r="I15" s="116">
        <v>-2.469947391809177</v>
      </c>
      <c r="J15" s="116">
        <f>J14/DRE!J26</f>
        <v>-2.1657496928582858</v>
      </c>
      <c r="K15" s="116">
        <f>K14/DRE!K26</f>
        <v>2.4351540488957553</v>
      </c>
      <c r="L15" s="116">
        <f>L14/DRE!L26</f>
        <v>0.92469347513746614</v>
      </c>
      <c r="M15" s="102">
        <f>M14/DRE!M26</f>
        <v>1.7707345890225714</v>
      </c>
      <c r="N15" s="63">
        <f>N14/DRE!N26</f>
        <v>2.6149801944544468</v>
      </c>
      <c r="O15" s="62">
        <f>O14/DRE!O26</f>
        <v>4.5017940004846659</v>
      </c>
      <c r="P15" s="62">
        <f>P14/DRE!P26</f>
        <v>45.737649993356143</v>
      </c>
      <c r="Q15" s="62">
        <f>Q14/DRE!Q26</f>
        <v>0.66568697457019599</v>
      </c>
      <c r="R15" s="62">
        <f>R14/DRE!R26</f>
        <v>5.0646067415730336</v>
      </c>
      <c r="S15" s="62">
        <f>S14/DRE!S26</f>
        <v>-3.5882352819290344</v>
      </c>
      <c r="T15" s="62">
        <f>T14/DRE!T26</f>
        <v>-6.7001101858193861</v>
      </c>
      <c r="U15" s="62">
        <f>U14/DRE!U26</f>
        <v>-2.5099364430344235</v>
      </c>
      <c r="V15" s="62">
        <f>V14/DRE!V26</f>
        <v>-11.964680979119819</v>
      </c>
      <c r="W15" s="62">
        <f>W14/DRE!W26</f>
        <v>-3.4569201435570953</v>
      </c>
      <c r="X15" s="62">
        <f>X14/DRE!X26</f>
        <v>-4.2709557686359432</v>
      </c>
      <c r="Y15" s="62">
        <f>Y14/DRE!Y26</f>
        <v>0.77305607568739543</v>
      </c>
      <c r="Z15" s="62">
        <f>Z14/DRE!Z26</f>
        <v>2.6191156624593157</v>
      </c>
      <c r="AA15" s="62">
        <f>AA14/DRE!AA26</f>
        <v>-3.0567557324237251</v>
      </c>
      <c r="AB15" s="62">
        <f>AB14/DRE!AB26</f>
        <v>39.292210153460836</v>
      </c>
      <c r="AC15" s="62">
        <f>AC14/DRE!AC26</f>
        <v>-36.901614684834762</v>
      </c>
      <c r="AD15" s="62">
        <f>AD14/DRE!AD26</f>
        <v>2.287615672376452</v>
      </c>
      <c r="AE15" s="62">
        <f>AE14/DRE!AE26</f>
        <v>-4.9183285849952547</v>
      </c>
      <c r="AF15" s="62">
        <f>AF14/DRE!AF26</f>
        <v>-5.4428100987925365</v>
      </c>
      <c r="AG15" s="62">
        <f>AG14/DRE!AG26</f>
        <v>3.1300116365175077</v>
      </c>
      <c r="AH15" s="62">
        <f>AH14/DRE!AH26</f>
        <v>9.1174749163879572</v>
      </c>
      <c r="AI15" s="62">
        <f>AI14/DRE!AI26</f>
        <v>-0.84883524645509745</v>
      </c>
      <c r="AJ15" s="62">
        <f>AJ14/DRE!AJ26</f>
        <v>-6.4719567177637503</v>
      </c>
      <c r="AK15" s="62">
        <f>AK14/DRE!AK26</f>
        <v>-10.952220726783299</v>
      </c>
      <c r="AL15" s="62">
        <f>AL14/DRE!AL26</f>
        <v>-4.7273456295108227</v>
      </c>
      <c r="AM15" s="62">
        <f>AM14/DRE!AM26</f>
        <v>-4.1464899065983714</v>
      </c>
      <c r="AN15" s="62">
        <f>AN14/DRE!AN26</f>
        <v>-6.3400267737617089</v>
      </c>
      <c r="AO15" s="62">
        <f>AO14/DRE!AO26</f>
        <v>-7.9036519690339988</v>
      </c>
      <c r="AP15" s="62">
        <f>AP14/DRE!AP26</f>
        <v>-7.5860139860139899</v>
      </c>
      <c r="AQ15" s="62">
        <f>AQ14/DRE!AQ26</f>
        <v>-7.5006888512081478</v>
      </c>
      <c r="AR15" s="62">
        <f>AR14/DRE!AR26</f>
        <v>-9.0957431763541248</v>
      </c>
      <c r="AS15" s="62">
        <f>AS14/DRE!AS26</f>
        <v>-7.5662407236639835</v>
      </c>
      <c r="AT15" s="62">
        <f>AT14/DRE!AT26</f>
        <v>-14.054603056280271</v>
      </c>
      <c r="AU15" s="62">
        <f>AU14/DRE!AU26</f>
        <v>-126.28839869281126</v>
      </c>
      <c r="AV15" s="62">
        <f>AV14/DRE!AV26</f>
        <v>-5.0625295322097941</v>
      </c>
      <c r="AW15" s="62">
        <f>AW14/DRE!AW26</f>
        <v>-75.573159366262246</v>
      </c>
      <c r="AX15" s="62">
        <f>AX14/DRE!AX26</f>
        <v>12.772501859657822</v>
      </c>
      <c r="AY15" s="62">
        <f>AY14/DRE!AY26</f>
        <v>3.5811134314674269</v>
      </c>
      <c r="AZ15" s="62">
        <f>AZ14/DRE!AZ26</f>
        <v>57.277462766358205</v>
      </c>
      <c r="BA15" s="62">
        <f>BA14/DRE!BA26</f>
        <v>-7.6460673938622801</v>
      </c>
      <c r="BB15" s="62">
        <f>BB14/DRE!BB26</f>
        <v>11.661073569581228</v>
      </c>
      <c r="BC15" s="62">
        <f>BC14/DRE!BC26</f>
        <v>3.6897519387954385</v>
      </c>
      <c r="BD15" s="62">
        <f>BD14/DRE!BD26</f>
        <v>9.0385366719943203</v>
      </c>
      <c r="BE15" s="62">
        <f>BE14/DRE!BE26</f>
        <v>1.5984142439838638</v>
      </c>
      <c r="BF15" s="62">
        <f>BF14/DRE!BF26</f>
        <v>6.051355323318095</v>
      </c>
      <c r="BG15" s="62">
        <f>BG14/DRE!BG26</f>
        <v>5.0760544669545018</v>
      </c>
      <c r="BH15" s="62">
        <f>BH14/DRE!BH26</f>
        <v>3.0806147463699793</v>
      </c>
      <c r="BI15" s="62">
        <f>BI14/DRE!BI26</f>
        <v>11.172592858508603</v>
      </c>
      <c r="BJ15" s="62">
        <f>BJ14/DRE!BJ26</f>
        <v>-2.8796436639964385</v>
      </c>
    </row>
    <row r="16" spans="1:62">
      <c r="A16" s="37" t="s">
        <v>201</v>
      </c>
      <c r="B16" s="66"/>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row>
    <row r="17" spans="3:32">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3:32">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row>
    <row r="19" spans="3:32">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row>
    <row r="20" spans="3:32">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row>
    <row r="21" spans="3:32">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row>
    <row r="22" spans="3:32">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row>
    <row r="23" spans="3:32">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row>
    <row r="24" spans="3:32">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row>
  </sheetData>
  <mergeCells count="2">
    <mergeCell ref="B3:M3"/>
    <mergeCell ref="B4:M4"/>
  </mergeCells>
  <phoneticPr fontId="127" type="noConversion"/>
  <pageMargins left="0.511811024" right="0.511811024" top="0.78740157499999996" bottom="0.78740157499999996" header="0.31496062000000002" footer="0.31496062000000002"/>
  <pageSetup paperSize="9" orientation="portrait" verticalDpi="0" r:id="rId1"/>
  <ignoredErrors>
    <ignoredError sqref="L12:BI1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Q34"/>
  <sheetViews>
    <sheetView workbookViewId="0">
      <pane xSplit="1" ySplit="5" topLeftCell="AY6" activePane="bottomRight" state="frozen"/>
      <selection pane="topRight" activeCell="B1" sqref="B1"/>
      <selection pane="bottomLeft" activeCell="A6" sqref="A6"/>
      <selection pane="bottomRight" activeCell="BI15" sqref="BI15"/>
    </sheetView>
  </sheetViews>
  <sheetFormatPr defaultColWidth="9.140625" defaultRowHeight="11.25"/>
  <cols>
    <col min="1" max="1" width="41.85546875" style="6" bestFit="1" customWidth="1"/>
    <col min="2" max="58" width="9.28515625" style="6" customWidth="1"/>
    <col min="59" max="16384" width="9.140625" style="6"/>
  </cols>
  <sheetData>
    <row r="2" spans="1:69" ht="12" thickBot="1"/>
    <row r="3" spans="1:69" ht="13.5" customHeight="1">
      <c r="A3" s="5"/>
      <c r="B3" s="171" t="s">
        <v>115</v>
      </c>
      <c r="C3" s="172"/>
      <c r="D3" s="172"/>
      <c r="E3" s="172"/>
      <c r="F3" s="172"/>
      <c r="G3" s="172"/>
      <c r="H3" s="172"/>
      <c r="I3" s="172"/>
      <c r="J3" s="172"/>
      <c r="K3" s="172"/>
      <c r="L3" s="172"/>
      <c r="M3" s="157"/>
      <c r="N3" s="3"/>
      <c r="O3" s="3"/>
      <c r="P3" s="3"/>
      <c r="Q3" s="3"/>
      <c r="R3" s="3"/>
      <c r="S3" s="3"/>
      <c r="T3" s="3"/>
      <c r="U3" s="3"/>
      <c r="V3" s="3"/>
      <c r="W3" s="3"/>
      <c r="X3" s="3"/>
      <c r="Y3" s="3"/>
      <c r="Z3" s="3"/>
      <c r="AA3" s="3"/>
      <c r="AB3" s="3"/>
      <c r="AC3" s="3"/>
      <c r="AD3" s="3"/>
    </row>
    <row r="4" spans="1:69" ht="12.75" customHeight="1">
      <c r="A4" s="24" t="s">
        <v>61</v>
      </c>
      <c r="B4" s="174" t="s">
        <v>175</v>
      </c>
      <c r="C4" s="175"/>
      <c r="D4" s="175"/>
      <c r="E4" s="175"/>
      <c r="F4" s="175"/>
      <c r="G4" s="175"/>
      <c r="H4" s="175"/>
      <c r="I4" s="175"/>
      <c r="J4" s="175"/>
      <c r="K4" s="175"/>
      <c r="L4" s="175"/>
      <c r="M4" s="156"/>
      <c r="N4" s="3"/>
      <c r="O4" s="3"/>
      <c r="P4" s="3"/>
      <c r="Q4" s="3"/>
      <c r="R4" s="3"/>
      <c r="S4" s="3"/>
      <c r="T4" s="3"/>
      <c r="U4" s="3"/>
      <c r="V4" s="3"/>
      <c r="W4" s="3"/>
      <c r="X4" s="3"/>
      <c r="Y4" s="3"/>
      <c r="Z4" s="3"/>
      <c r="AA4" s="3"/>
      <c r="AB4" s="3"/>
      <c r="AC4" s="3"/>
      <c r="AD4" s="3"/>
    </row>
    <row r="5" spans="1:69" s="14" customFormat="1" ht="12.75">
      <c r="A5" s="44"/>
      <c r="B5" s="81">
        <v>2010</v>
      </c>
      <c r="C5" s="80">
        <v>2011</v>
      </c>
      <c r="D5" s="80">
        <v>2012</v>
      </c>
      <c r="E5" s="80">
        <v>2013</v>
      </c>
      <c r="F5" s="80">
        <v>2014</v>
      </c>
      <c r="G5" s="80">
        <v>2015</v>
      </c>
      <c r="H5" s="80">
        <v>2016</v>
      </c>
      <c r="I5" s="80">
        <v>2017</v>
      </c>
      <c r="J5" s="80">
        <v>2018</v>
      </c>
      <c r="K5" s="80">
        <v>2019</v>
      </c>
      <c r="L5" s="80">
        <v>2020</v>
      </c>
      <c r="M5" s="103">
        <v>2021</v>
      </c>
      <c r="N5" s="47" t="s">
        <v>81</v>
      </c>
      <c r="O5" s="47" t="s">
        <v>82</v>
      </c>
      <c r="P5" s="25" t="s">
        <v>83</v>
      </c>
      <c r="Q5" s="25" t="s">
        <v>84</v>
      </c>
      <c r="R5" s="25" t="s">
        <v>85</v>
      </c>
      <c r="S5" s="25" t="s">
        <v>86</v>
      </c>
      <c r="T5" s="26" t="s">
        <v>87</v>
      </c>
      <c r="U5" s="26" t="s">
        <v>88</v>
      </c>
      <c r="V5" s="26" t="s">
        <v>89</v>
      </c>
      <c r="W5" s="26" t="s">
        <v>90</v>
      </c>
      <c r="X5" s="26" t="s">
        <v>91</v>
      </c>
      <c r="Y5" s="26" t="s">
        <v>92</v>
      </c>
      <c r="Z5" s="26" t="s">
        <v>127</v>
      </c>
      <c r="AA5" s="26" t="s">
        <v>129</v>
      </c>
      <c r="AB5" s="26" t="s">
        <v>135</v>
      </c>
      <c r="AC5" s="26" t="s">
        <v>136</v>
      </c>
      <c r="AD5" s="26" t="s">
        <v>142</v>
      </c>
      <c r="AE5" s="26" t="s">
        <v>143</v>
      </c>
      <c r="AF5" s="26" t="s">
        <v>144</v>
      </c>
      <c r="AG5" s="26" t="s">
        <v>145</v>
      </c>
      <c r="AH5" s="26" t="s">
        <v>147</v>
      </c>
      <c r="AI5" s="26" t="s">
        <v>148</v>
      </c>
      <c r="AJ5" s="26" t="s">
        <v>149</v>
      </c>
      <c r="AK5" s="26" t="s">
        <v>150</v>
      </c>
      <c r="AL5" s="26" t="s">
        <v>151</v>
      </c>
      <c r="AM5" s="26" t="s">
        <v>153</v>
      </c>
      <c r="AN5" s="26" t="s">
        <v>154</v>
      </c>
      <c r="AO5" s="26" t="s">
        <v>155</v>
      </c>
      <c r="AP5" s="26" t="s">
        <v>156</v>
      </c>
      <c r="AQ5" s="26" t="s">
        <v>157</v>
      </c>
      <c r="AR5" s="26" t="s">
        <v>158</v>
      </c>
      <c r="AS5" s="26" t="s">
        <v>159</v>
      </c>
      <c r="AT5" s="26" t="s">
        <v>163</v>
      </c>
      <c r="AU5" s="26" t="s">
        <v>164</v>
      </c>
      <c r="AV5" s="26" t="s">
        <v>165</v>
      </c>
      <c r="AW5" s="26" t="s">
        <v>167</v>
      </c>
      <c r="AX5" s="26" t="s">
        <v>168</v>
      </c>
      <c r="AY5" s="26" t="s">
        <v>172</v>
      </c>
      <c r="AZ5" s="26" t="s">
        <v>174</v>
      </c>
      <c r="BA5" s="26" t="s">
        <v>177</v>
      </c>
      <c r="BB5" s="26" t="s">
        <v>178</v>
      </c>
      <c r="BC5" s="26" t="s">
        <v>183</v>
      </c>
      <c r="BD5" s="26" t="s">
        <v>184</v>
      </c>
      <c r="BE5" s="26" t="s">
        <v>189</v>
      </c>
      <c r="BF5" s="26" t="s">
        <v>194</v>
      </c>
      <c r="BG5" s="26" t="s">
        <v>195</v>
      </c>
      <c r="BH5" s="26" t="s">
        <v>197</v>
      </c>
      <c r="BI5" s="26" t="s">
        <v>198</v>
      </c>
      <c r="BJ5" s="26" t="s">
        <v>202</v>
      </c>
      <c r="BK5" s="183"/>
      <c r="BL5" s="183"/>
      <c r="BM5" s="183"/>
      <c r="BN5" s="183"/>
      <c r="BO5" s="183"/>
      <c r="BP5" s="183"/>
      <c r="BQ5" s="184"/>
    </row>
    <row r="6" spans="1:69" s="19" customFormat="1" ht="12.75">
      <c r="A6" s="45" t="s">
        <v>4</v>
      </c>
      <c r="B6" s="84"/>
      <c r="C6" s="48"/>
      <c r="D6" s="48"/>
      <c r="E6" s="48"/>
      <c r="F6" s="48"/>
      <c r="G6" s="48"/>
      <c r="H6" s="48"/>
      <c r="I6" s="48"/>
      <c r="J6" s="48"/>
      <c r="K6" s="48"/>
      <c r="L6" s="78"/>
      <c r="M6" s="85"/>
      <c r="N6" s="48"/>
      <c r="O6" s="4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9" s="14" customFormat="1" ht="12.75">
      <c r="A7" s="50" t="s">
        <v>5</v>
      </c>
      <c r="B7" s="104">
        <v>348</v>
      </c>
      <c r="C7" s="57">
        <v>396</v>
      </c>
      <c r="D7" s="57">
        <v>358</v>
      </c>
      <c r="E7" s="57">
        <f>SUM(Z7:AC7)</f>
        <v>267</v>
      </c>
      <c r="F7" s="57">
        <f>SUM(AD7:AG7)</f>
        <v>257</v>
      </c>
      <c r="G7" s="57">
        <f>SUM(AH7:AK7)</f>
        <v>302</v>
      </c>
      <c r="H7" s="57">
        <f>SUM(AL7:AO7)</f>
        <v>287</v>
      </c>
      <c r="I7" s="57">
        <f>SUM(AP7:AS7)</f>
        <v>301</v>
      </c>
      <c r="J7" s="57">
        <f>SUM(AT7:AW7)</f>
        <v>261</v>
      </c>
      <c r="K7" s="57">
        <f>SUM(AX7:BA7)</f>
        <v>176</v>
      </c>
      <c r="L7" s="158">
        <f>SUM(BB7:BE7)</f>
        <v>11</v>
      </c>
      <c r="M7" s="105">
        <f>SUM(BF7:BI7)</f>
        <v>0</v>
      </c>
      <c r="N7" s="57">
        <v>70</v>
      </c>
      <c r="O7" s="57">
        <v>92</v>
      </c>
      <c r="P7" s="56">
        <v>67</v>
      </c>
      <c r="Q7" s="56">
        <v>119</v>
      </c>
      <c r="R7" s="56">
        <v>70</v>
      </c>
      <c r="S7" s="56">
        <v>118</v>
      </c>
      <c r="T7" s="56">
        <v>83</v>
      </c>
      <c r="U7" s="56">
        <v>125</v>
      </c>
      <c r="V7" s="56">
        <v>59</v>
      </c>
      <c r="W7" s="56">
        <v>92</v>
      </c>
      <c r="X7" s="56">
        <v>85</v>
      </c>
      <c r="Y7" s="56">
        <v>122</v>
      </c>
      <c r="Z7" s="56">
        <v>39</v>
      </c>
      <c r="AA7" s="56">
        <v>45</v>
      </c>
      <c r="AB7" s="56">
        <v>57</v>
      </c>
      <c r="AC7" s="56">
        <v>126</v>
      </c>
      <c r="AD7" s="56">
        <v>44</v>
      </c>
      <c r="AE7" s="56">
        <v>83</v>
      </c>
      <c r="AF7" s="56">
        <v>43</v>
      </c>
      <c r="AG7" s="56">
        <v>87</v>
      </c>
      <c r="AH7" s="56">
        <v>74</v>
      </c>
      <c r="AI7" s="56">
        <v>79</v>
      </c>
      <c r="AJ7" s="56">
        <v>46</v>
      </c>
      <c r="AK7" s="56">
        <v>103</v>
      </c>
      <c r="AL7" s="56">
        <v>57</v>
      </c>
      <c r="AM7" s="56">
        <v>63</v>
      </c>
      <c r="AN7" s="56">
        <v>73</v>
      </c>
      <c r="AO7" s="56">
        <v>94</v>
      </c>
      <c r="AP7" s="56">
        <v>56</v>
      </c>
      <c r="AQ7" s="56">
        <v>72</v>
      </c>
      <c r="AR7" s="56">
        <v>85</v>
      </c>
      <c r="AS7" s="56">
        <v>88</v>
      </c>
      <c r="AT7" s="56">
        <v>55</v>
      </c>
      <c r="AU7" s="56">
        <v>58</v>
      </c>
      <c r="AV7" s="56">
        <v>58</v>
      </c>
      <c r="AW7" s="56">
        <v>90</v>
      </c>
      <c r="AX7" s="56">
        <v>22</v>
      </c>
      <c r="AY7" s="56">
        <v>46</v>
      </c>
      <c r="AZ7" s="56">
        <v>41</v>
      </c>
      <c r="BA7" s="56">
        <v>67</v>
      </c>
      <c r="BB7" s="56">
        <v>11</v>
      </c>
      <c r="BC7" s="56">
        <v>0</v>
      </c>
      <c r="BD7" s="56">
        <v>0</v>
      </c>
      <c r="BE7" s="56">
        <v>0</v>
      </c>
      <c r="BF7" s="56">
        <v>0</v>
      </c>
      <c r="BG7" s="56">
        <v>0</v>
      </c>
      <c r="BH7" s="56">
        <v>0</v>
      </c>
      <c r="BI7" s="56">
        <v>0</v>
      </c>
      <c r="BJ7" s="56">
        <v>7</v>
      </c>
    </row>
    <row r="8" spans="1:69" s="14" customFormat="1" ht="12.75">
      <c r="A8" s="50" t="s">
        <v>16</v>
      </c>
      <c r="B8" s="104">
        <v>1801.0319999999999</v>
      </c>
      <c r="C8" s="57">
        <v>2055.4</v>
      </c>
      <c r="D8" s="57">
        <v>1530.7249999999999</v>
      </c>
      <c r="E8" s="57">
        <f>SUM(Z8:AC8)</f>
        <v>1165.9949999999999</v>
      </c>
      <c r="F8" s="57">
        <f t="shared" ref="F8:F12" si="0">SUM(AD8:AG8)</f>
        <v>1374.856</v>
      </c>
      <c r="G8" s="57">
        <f>SUM(AH8:AK8)</f>
        <v>1562.1490000000003</v>
      </c>
      <c r="H8" s="57">
        <f>SUM(AL8:AO8)</f>
        <v>2189.201</v>
      </c>
      <c r="I8" s="57">
        <f>SUM(AP8:AS8)</f>
        <v>1556.9360000000001</v>
      </c>
      <c r="J8" s="57">
        <f>SUM(AT8:AW8)</f>
        <v>1641.6860000000001</v>
      </c>
      <c r="K8" s="57">
        <f>SUM(AX8:BA8)</f>
        <v>868.05399999999997</v>
      </c>
      <c r="L8" s="158">
        <f>SUM(BB8:BE8)</f>
        <v>36.595999999999997</v>
      </c>
      <c r="M8" s="105">
        <f t="shared" ref="M8:M15" si="1">SUM(BF8:BI8)</f>
        <v>0</v>
      </c>
      <c r="N8" s="57">
        <v>672.68100000000004</v>
      </c>
      <c r="O8" s="57">
        <v>339.11799999999994</v>
      </c>
      <c r="P8" s="56">
        <v>156.06099999999992</v>
      </c>
      <c r="Q8" s="56">
        <v>633.17200000000003</v>
      </c>
      <c r="R8" s="56">
        <v>334.10700000000003</v>
      </c>
      <c r="S8" s="56">
        <v>736.31799999999998</v>
      </c>
      <c r="T8" s="56">
        <v>289.46499999999992</v>
      </c>
      <c r="U8" s="56">
        <v>695.51</v>
      </c>
      <c r="V8" s="56">
        <v>240.13500000000002</v>
      </c>
      <c r="W8" s="56">
        <v>359.13500000000005</v>
      </c>
      <c r="X8" s="56">
        <v>211.65499999999989</v>
      </c>
      <c r="Y8" s="56">
        <v>719.8</v>
      </c>
      <c r="Z8" s="56">
        <v>134.52699999999999</v>
      </c>
      <c r="AA8" s="56">
        <v>127.91999999999999</v>
      </c>
      <c r="AB8" s="56">
        <v>204.40023999999997</v>
      </c>
      <c r="AC8" s="56">
        <v>699.14776000000006</v>
      </c>
      <c r="AD8" s="56">
        <v>291.98200000000003</v>
      </c>
      <c r="AE8" s="56">
        <v>703.04899999999998</v>
      </c>
      <c r="AF8" s="56">
        <v>160.44099999999997</v>
      </c>
      <c r="AG8" s="56">
        <v>219.38399999999999</v>
      </c>
      <c r="AH8" s="56">
        <v>481.53600000000006</v>
      </c>
      <c r="AI8" s="56">
        <v>266.30500000000001</v>
      </c>
      <c r="AJ8" s="56">
        <v>129.398</v>
      </c>
      <c r="AK8" s="56">
        <v>684.91000000000008</v>
      </c>
      <c r="AL8" s="56">
        <v>981.56099999999992</v>
      </c>
      <c r="AM8" s="56">
        <v>556.79</v>
      </c>
      <c r="AN8" s="56">
        <v>247.64400000000001</v>
      </c>
      <c r="AO8" s="56">
        <v>403.20600000000002</v>
      </c>
      <c r="AP8" s="56">
        <v>340.286</v>
      </c>
      <c r="AQ8" s="56">
        <v>364.56800000000004</v>
      </c>
      <c r="AR8" s="56">
        <v>313.49400000000003</v>
      </c>
      <c r="AS8" s="56">
        <v>538.58799999999997</v>
      </c>
      <c r="AT8" s="56">
        <v>521.36300000000006</v>
      </c>
      <c r="AU8" s="56">
        <v>230.20999999999998</v>
      </c>
      <c r="AV8" s="56">
        <v>238.453</v>
      </c>
      <c r="AW8" s="56">
        <v>651.66</v>
      </c>
      <c r="AX8" s="56">
        <v>231.828</v>
      </c>
      <c r="AY8" s="56">
        <v>318.137</v>
      </c>
      <c r="AZ8" s="56">
        <v>120.631</v>
      </c>
      <c r="BA8" s="56">
        <v>197.458</v>
      </c>
      <c r="BB8" s="56">
        <v>36.595999999999997</v>
      </c>
      <c r="BC8" s="56">
        <v>0</v>
      </c>
      <c r="BD8" s="56">
        <v>0</v>
      </c>
      <c r="BE8" s="56">
        <v>0</v>
      </c>
      <c r="BF8" s="56">
        <v>0</v>
      </c>
      <c r="BG8" s="56">
        <v>0</v>
      </c>
      <c r="BH8" s="56">
        <v>0</v>
      </c>
      <c r="BI8" s="56">
        <v>0</v>
      </c>
      <c r="BJ8" s="56">
        <v>279.161</v>
      </c>
    </row>
    <row r="9" spans="1:69" s="14" customFormat="1" ht="12.75">
      <c r="A9" s="50" t="s">
        <v>17</v>
      </c>
      <c r="B9" s="104">
        <v>126.68425117301329</v>
      </c>
      <c r="C9" s="57">
        <v>129.85987660408449</v>
      </c>
      <c r="D9" s="57">
        <v>172.6549619788897</v>
      </c>
      <c r="E9" s="57">
        <v>142.2453537169969</v>
      </c>
      <c r="F9" s="57">
        <v>158.66179063110974</v>
      </c>
      <c r="G9" s="57">
        <v>189.76893701371955</v>
      </c>
      <c r="H9" s="57">
        <v>257.20905588847256</v>
      </c>
      <c r="I9" s="57">
        <v>222.82792678944412</v>
      </c>
      <c r="J9" s="57">
        <v>216.55630544934291</v>
      </c>
      <c r="K9" s="57">
        <v>216.55630544934291</v>
      </c>
      <c r="L9" s="158">
        <v>168.71067739643675</v>
      </c>
      <c r="M9" s="105">
        <f t="shared" si="1"/>
        <v>0</v>
      </c>
      <c r="N9" s="57">
        <v>126.76658270967302</v>
      </c>
      <c r="O9" s="57">
        <v>100.78561917312209</v>
      </c>
      <c r="P9" s="56">
        <v>97.683533342690708</v>
      </c>
      <c r="Q9" s="56">
        <v>147.6156733638955</v>
      </c>
      <c r="R9" s="56">
        <v>137.83231880411481</v>
      </c>
      <c r="S9" s="56">
        <v>146.19510471692993</v>
      </c>
      <c r="T9" s="56">
        <v>92.651589169729306</v>
      </c>
      <c r="U9" s="56">
        <v>124.22218006839994</v>
      </c>
      <c r="V9" s="56">
        <v>157.0390339573573</v>
      </c>
      <c r="W9" s="56">
        <v>148.98797285769979</v>
      </c>
      <c r="X9" s="56">
        <v>100.5002426662258</v>
      </c>
      <c r="Y9" s="56">
        <v>210.88986352044446</v>
      </c>
      <c r="Z9" s="56">
        <v>90.627132489017072</v>
      </c>
      <c r="AA9" s="56">
        <v>79.177199968730477</v>
      </c>
      <c r="AB9" s="56">
        <v>139.2713823476783</v>
      </c>
      <c r="AC9" s="56">
        <v>164.58627223221396</v>
      </c>
      <c r="AD9" s="56">
        <v>152.06154495825083</v>
      </c>
      <c r="AE9" s="56">
        <v>180.92256486206367</v>
      </c>
      <c r="AF9" s="56">
        <v>127.78481700687483</v>
      </c>
      <c r="AG9" s="56">
        <v>118.68927848346279</v>
      </c>
      <c r="AH9" s="56">
        <v>180.31536171127391</v>
      </c>
      <c r="AI9" s="56">
        <v>156.95806050468448</v>
      </c>
      <c r="AJ9" s="56">
        <v>137.44974173480267</v>
      </c>
      <c r="AK9" s="56">
        <v>219.05736401329366</v>
      </c>
      <c r="AL9" s="56">
        <v>300.89485787337725</v>
      </c>
      <c r="AM9" s="56">
        <v>277.00870181675316</v>
      </c>
      <c r="AN9" s="56">
        <v>160.48650569527226</v>
      </c>
      <c r="AO9" s="56">
        <v>182.92502956330014</v>
      </c>
      <c r="AP9" s="56">
        <v>220.48510502533165</v>
      </c>
      <c r="AQ9" s="56">
        <v>241.26979165571305</v>
      </c>
      <c r="AR9" s="56">
        <v>173.02129061771518</v>
      </c>
      <c r="AS9" s="56">
        <v>240.815697137608</v>
      </c>
      <c r="AT9" s="56">
        <v>245.49135845159702</v>
      </c>
      <c r="AU9" s="56">
        <v>173.75507885061464</v>
      </c>
      <c r="AV9" s="56">
        <v>177.64899250862854</v>
      </c>
      <c r="AW9" s="56">
        <v>222.76379068632417</v>
      </c>
      <c r="AX9" s="56">
        <v>314.72655315147438</v>
      </c>
      <c r="AY9" s="56">
        <v>225.21905678497004</v>
      </c>
      <c r="AZ9" s="56">
        <v>100.77640084223789</v>
      </c>
      <c r="BA9" s="56">
        <v>128.39204539699583</v>
      </c>
      <c r="BB9" s="56">
        <v>168.71067739643675</v>
      </c>
      <c r="BC9" s="56">
        <v>0</v>
      </c>
      <c r="BD9" s="56">
        <v>0</v>
      </c>
      <c r="BE9" s="56">
        <v>0</v>
      </c>
      <c r="BF9" s="56">
        <v>0</v>
      </c>
      <c r="BG9" s="56">
        <v>0</v>
      </c>
      <c r="BH9" s="56">
        <v>0</v>
      </c>
      <c r="BI9" s="56">
        <v>0</v>
      </c>
      <c r="BJ9" s="56">
        <v>406.42636750834089</v>
      </c>
    </row>
    <row r="10" spans="1:69" s="19" customFormat="1" ht="12.75">
      <c r="A10" s="45" t="s">
        <v>8</v>
      </c>
      <c r="B10" s="106"/>
      <c r="C10" s="59"/>
      <c r="D10" s="59"/>
      <c r="E10" s="59"/>
      <c r="F10" s="59"/>
      <c r="G10" s="59"/>
      <c r="H10" s="59"/>
      <c r="I10" s="59"/>
      <c r="J10" s="59"/>
      <c r="K10" s="59"/>
      <c r="L10" s="159"/>
      <c r="M10" s="105">
        <f t="shared" si="1"/>
        <v>0</v>
      </c>
      <c r="N10" s="59"/>
      <c r="O10" s="59"/>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18"/>
      <c r="BI10" s="18"/>
      <c r="BJ10" s="18"/>
    </row>
    <row r="11" spans="1:69" s="14" customFormat="1" ht="12.75">
      <c r="A11" s="50" t="s">
        <v>5</v>
      </c>
      <c r="B11" s="104">
        <v>737</v>
      </c>
      <c r="C11" s="57">
        <v>830</v>
      </c>
      <c r="D11" s="57">
        <v>802</v>
      </c>
      <c r="E11" s="57">
        <f>SUM(Z11:AC11)</f>
        <v>914</v>
      </c>
      <c r="F11" s="57">
        <f t="shared" si="0"/>
        <v>757</v>
      </c>
      <c r="G11" s="57">
        <f>SUM(AH11:AK11)</f>
        <v>446</v>
      </c>
      <c r="H11" s="57">
        <f>SUM(AL11:AO11)</f>
        <v>294</v>
      </c>
      <c r="I11" s="57">
        <f>SUM(AP11:AS11)</f>
        <v>453</v>
      </c>
      <c r="J11" s="57">
        <f t="shared" ref="J11" si="2">SUM(AT11:AW11)</f>
        <v>195</v>
      </c>
      <c r="K11" s="57">
        <f>SUM(AX11:BA11)</f>
        <v>379</v>
      </c>
      <c r="L11" s="158">
        <f>SUM(BB11:BE11)</f>
        <v>0</v>
      </c>
      <c r="M11" s="105">
        <f t="shared" si="1"/>
        <v>0</v>
      </c>
      <c r="N11" s="57">
        <v>107</v>
      </c>
      <c r="O11" s="57">
        <v>262</v>
      </c>
      <c r="P11" s="56">
        <v>285</v>
      </c>
      <c r="Q11" s="56">
        <v>83</v>
      </c>
      <c r="R11" s="56">
        <v>96</v>
      </c>
      <c r="S11" s="56">
        <v>216</v>
      </c>
      <c r="T11" s="56">
        <v>272</v>
      </c>
      <c r="U11" s="56">
        <v>246</v>
      </c>
      <c r="V11" s="56">
        <v>123</v>
      </c>
      <c r="W11" s="56">
        <v>306</v>
      </c>
      <c r="X11" s="56">
        <v>219</v>
      </c>
      <c r="Y11" s="56">
        <v>154</v>
      </c>
      <c r="Z11" s="56">
        <v>127</v>
      </c>
      <c r="AA11" s="56">
        <v>261</v>
      </c>
      <c r="AB11" s="56">
        <v>321</v>
      </c>
      <c r="AC11" s="56">
        <v>205</v>
      </c>
      <c r="AD11" s="56">
        <v>179</v>
      </c>
      <c r="AE11" s="56">
        <v>236</v>
      </c>
      <c r="AF11" s="56">
        <v>206</v>
      </c>
      <c r="AG11" s="56">
        <v>136</v>
      </c>
      <c r="AH11" s="56">
        <v>23</v>
      </c>
      <c r="AI11" s="56">
        <v>186</v>
      </c>
      <c r="AJ11" s="56">
        <v>107</v>
      </c>
      <c r="AK11" s="56">
        <v>130</v>
      </c>
      <c r="AL11" s="56">
        <v>29</v>
      </c>
      <c r="AM11" s="56">
        <v>108</v>
      </c>
      <c r="AN11" s="56">
        <v>85</v>
      </c>
      <c r="AO11" s="56">
        <v>72</v>
      </c>
      <c r="AP11" s="56">
        <v>77</v>
      </c>
      <c r="AQ11" s="56">
        <v>153</v>
      </c>
      <c r="AR11" s="56">
        <v>91</v>
      </c>
      <c r="AS11" s="56">
        <v>132</v>
      </c>
      <c r="AT11" s="56">
        <v>45</v>
      </c>
      <c r="AU11" s="56">
        <v>0</v>
      </c>
      <c r="AV11" s="56">
        <v>63</v>
      </c>
      <c r="AW11" s="56">
        <v>87</v>
      </c>
      <c r="AX11" s="56">
        <v>122</v>
      </c>
      <c r="AY11" s="56">
        <v>91</v>
      </c>
      <c r="AZ11" s="56">
        <v>89</v>
      </c>
      <c r="BA11" s="56">
        <v>77</v>
      </c>
      <c r="BB11" s="56">
        <v>0</v>
      </c>
      <c r="BC11" s="56">
        <v>0</v>
      </c>
      <c r="BD11" s="56">
        <v>0</v>
      </c>
      <c r="BE11" s="56">
        <v>0</v>
      </c>
      <c r="BF11" s="56">
        <v>0</v>
      </c>
      <c r="BG11" s="56">
        <v>0</v>
      </c>
      <c r="BH11" s="56">
        <v>0</v>
      </c>
      <c r="BI11" s="56">
        <v>0</v>
      </c>
      <c r="BJ11" s="56">
        <v>19</v>
      </c>
    </row>
    <row r="12" spans="1:69" s="14" customFormat="1" ht="12.75">
      <c r="A12" s="50" t="s">
        <v>16</v>
      </c>
      <c r="B12" s="104">
        <v>935.82099999999991</v>
      </c>
      <c r="C12" s="57">
        <v>828.1450000000001</v>
      </c>
      <c r="D12" s="57">
        <v>1154.9749999999999</v>
      </c>
      <c r="E12" s="57">
        <f>SUM(Z12:AC12)</f>
        <v>1061.64706</v>
      </c>
      <c r="F12" s="57">
        <f t="shared" si="0"/>
        <v>965.69299999999998</v>
      </c>
      <c r="G12" s="57">
        <f>SUM(AH12:AK12)</f>
        <v>339.21</v>
      </c>
      <c r="H12" s="57">
        <f>SUM(AL12:AO12)</f>
        <v>310.25</v>
      </c>
      <c r="I12" s="57">
        <f>SUM(AP12:AS12)</f>
        <v>393.93700000000001</v>
      </c>
      <c r="J12" s="57">
        <f>SUM(AT12:AW12)</f>
        <v>228.54000000000002</v>
      </c>
      <c r="K12" s="57">
        <f>SUM(AX12:BA12)</f>
        <v>274.38200000000001</v>
      </c>
      <c r="L12" s="158">
        <f>SUM(BB12:BE12)</f>
        <v>0</v>
      </c>
      <c r="M12" s="105">
        <f t="shared" si="1"/>
        <v>0</v>
      </c>
      <c r="N12" s="57">
        <v>158.489</v>
      </c>
      <c r="O12" s="57">
        <v>372.07199999999989</v>
      </c>
      <c r="P12" s="56">
        <v>340.55700000000013</v>
      </c>
      <c r="Q12" s="56">
        <v>64.702999999999889</v>
      </c>
      <c r="R12" s="56">
        <v>56.727000000000004</v>
      </c>
      <c r="S12" s="56">
        <v>286.65899999999999</v>
      </c>
      <c r="T12" s="56">
        <v>236.245</v>
      </c>
      <c r="U12" s="56">
        <v>248.51400000000007</v>
      </c>
      <c r="V12" s="56">
        <v>182.63200000000001</v>
      </c>
      <c r="W12" s="56">
        <v>460.6350000000001</v>
      </c>
      <c r="X12" s="56">
        <v>288.46899999999988</v>
      </c>
      <c r="Y12" s="56">
        <v>223.23899999999992</v>
      </c>
      <c r="Z12" s="56">
        <v>111.59505999999999</v>
      </c>
      <c r="AA12" s="56">
        <v>442.03200000000004</v>
      </c>
      <c r="AB12" s="56">
        <v>311.726</v>
      </c>
      <c r="AC12" s="56">
        <v>196.29399999999998</v>
      </c>
      <c r="AD12" s="56">
        <v>184.75700000000001</v>
      </c>
      <c r="AE12" s="56">
        <v>340.46300000000002</v>
      </c>
      <c r="AF12" s="56">
        <v>290.49900000000002</v>
      </c>
      <c r="AG12" s="56">
        <v>149.97399999999999</v>
      </c>
      <c r="AH12" s="56">
        <v>25.359000000000002</v>
      </c>
      <c r="AI12" s="56">
        <v>224.07499999999999</v>
      </c>
      <c r="AJ12" s="56">
        <v>47.738999999999997</v>
      </c>
      <c r="AK12" s="56">
        <v>42.036999999999999</v>
      </c>
      <c r="AL12" s="56">
        <v>29.38</v>
      </c>
      <c r="AM12" s="56">
        <v>138.5</v>
      </c>
      <c r="AN12" s="56">
        <v>76.5</v>
      </c>
      <c r="AO12" s="56">
        <v>65.87</v>
      </c>
      <c r="AP12" s="56">
        <v>46.396999999999998</v>
      </c>
      <c r="AQ12" s="56">
        <v>226.346</v>
      </c>
      <c r="AR12" s="56">
        <v>55.81</v>
      </c>
      <c r="AS12" s="56">
        <v>65.384</v>
      </c>
      <c r="AT12" s="56">
        <v>18.027000000000001</v>
      </c>
      <c r="AU12" s="56">
        <v>0</v>
      </c>
      <c r="AV12" s="56">
        <v>88.188000000000002</v>
      </c>
      <c r="AW12" s="56">
        <v>122.325</v>
      </c>
      <c r="AX12" s="56">
        <v>96.986999999999995</v>
      </c>
      <c r="AY12" s="56">
        <v>70.007999999999996</v>
      </c>
      <c r="AZ12" s="56">
        <v>51.887</v>
      </c>
      <c r="BA12" s="56">
        <v>55.5</v>
      </c>
      <c r="BB12" s="56">
        <v>0</v>
      </c>
      <c r="BC12" s="56">
        <v>0</v>
      </c>
      <c r="BD12" s="56">
        <v>0</v>
      </c>
      <c r="BE12" s="56">
        <v>0</v>
      </c>
      <c r="BF12" s="56">
        <v>0</v>
      </c>
      <c r="BG12" s="56">
        <v>0</v>
      </c>
      <c r="BH12" s="56">
        <v>0</v>
      </c>
      <c r="BI12" s="56">
        <v>0</v>
      </c>
      <c r="BJ12" s="56">
        <v>24.088000000000001</v>
      </c>
    </row>
    <row r="13" spans="1:69" s="14" customFormat="1" ht="12.75">
      <c r="A13" s="50" t="s">
        <v>17</v>
      </c>
      <c r="B13" s="104">
        <v>145.54456297441379</v>
      </c>
      <c r="C13" s="57">
        <v>125.87529729120128</v>
      </c>
      <c r="D13" s="57">
        <v>150.66379359656185</v>
      </c>
      <c r="E13" s="57">
        <v>158.55276045447812</v>
      </c>
      <c r="F13" s="57">
        <v>155.19123277861604</v>
      </c>
      <c r="G13" s="57">
        <v>100.16633088647151</v>
      </c>
      <c r="H13" s="57">
        <v>122.99771816277193</v>
      </c>
      <c r="I13" s="57">
        <v>122.99771816277193</v>
      </c>
      <c r="J13" s="57">
        <v>142.24559831976893</v>
      </c>
      <c r="K13" s="57">
        <v>137.34524906881646</v>
      </c>
      <c r="L13" s="158">
        <v>0</v>
      </c>
      <c r="M13" s="105">
        <f t="shared" si="1"/>
        <v>0</v>
      </c>
      <c r="N13" s="57">
        <v>263.01047597125381</v>
      </c>
      <c r="O13" s="57">
        <v>128.795350745977</v>
      </c>
      <c r="P13" s="56">
        <v>101.86155158162315</v>
      </c>
      <c r="Q13" s="56">
        <v>184.04993549496731</v>
      </c>
      <c r="R13" s="56">
        <v>106.97010854878438</v>
      </c>
      <c r="S13" s="56">
        <v>65.865415517425618</v>
      </c>
      <c r="T13" s="56">
        <v>92.481420244694718</v>
      </c>
      <c r="U13" s="56">
        <v>231.15686623311913</v>
      </c>
      <c r="V13" s="56">
        <v>174.78378729247888</v>
      </c>
      <c r="W13" s="56">
        <v>121.1218938586082</v>
      </c>
      <c r="X13" s="56">
        <v>172.87005729290155</v>
      </c>
      <c r="Y13" s="56">
        <v>163.19355593602825</v>
      </c>
      <c r="Z13" s="56">
        <v>156.36741817108199</v>
      </c>
      <c r="AA13" s="56">
        <v>162.36751519231521</v>
      </c>
      <c r="AB13" s="56">
        <v>155.84698797306771</v>
      </c>
      <c r="AC13" s="56">
        <v>155.50167060710976</v>
      </c>
      <c r="AD13" s="56">
        <v>162.47024897568156</v>
      </c>
      <c r="AE13" s="56">
        <v>143.20987667817059</v>
      </c>
      <c r="AF13" s="56">
        <v>167.60862473523142</v>
      </c>
      <c r="AG13" s="56">
        <v>149.37101927827541</v>
      </c>
      <c r="AH13" s="56">
        <v>118.82948854450096</v>
      </c>
      <c r="AI13" s="56">
        <v>97.938147941537437</v>
      </c>
      <c r="AJ13" s="56">
        <v>102.7579966065481</v>
      </c>
      <c r="AK13" s="56">
        <v>97.841653781192747</v>
      </c>
      <c r="AL13" s="56">
        <v>135.51266167460858</v>
      </c>
      <c r="AM13" s="56">
        <v>124.88011660649818</v>
      </c>
      <c r="AN13" s="56">
        <v>119.2024883660131</v>
      </c>
      <c r="AO13" s="56">
        <v>117.86539471686653</v>
      </c>
      <c r="AP13" s="56">
        <v>130.05199150807164</v>
      </c>
      <c r="AQ13" s="56">
        <v>119.47740428370724</v>
      </c>
      <c r="AR13" s="56">
        <v>142.42671483945529</v>
      </c>
      <c r="AS13" s="56">
        <v>105.63204300746359</v>
      </c>
      <c r="AT13" s="56">
        <v>109.43079824707382</v>
      </c>
      <c r="AU13" s="56">
        <v>0</v>
      </c>
      <c r="AV13" s="56">
        <v>146.00903683040775</v>
      </c>
      <c r="AW13" s="56">
        <v>144.36832291027997</v>
      </c>
      <c r="AX13" s="56">
        <v>134.2983042057183</v>
      </c>
      <c r="AY13" s="56">
        <v>140.3644833447606</v>
      </c>
      <c r="AZ13" s="56">
        <v>144.87832212307515</v>
      </c>
      <c r="BA13" s="56">
        <v>131.81867117117116</v>
      </c>
      <c r="BB13" s="56">
        <v>0</v>
      </c>
      <c r="BC13" s="56">
        <v>0</v>
      </c>
      <c r="BD13" s="56">
        <v>0</v>
      </c>
      <c r="BE13" s="56">
        <v>0</v>
      </c>
      <c r="BF13" s="56">
        <v>0</v>
      </c>
      <c r="BG13" s="56">
        <v>0</v>
      </c>
      <c r="BH13" s="56">
        <v>0</v>
      </c>
      <c r="BI13" s="56">
        <v>0</v>
      </c>
      <c r="BJ13" s="56">
        <v>406.42636750834089</v>
      </c>
    </row>
    <row r="14" spans="1:69" s="19" customFormat="1" ht="12.75">
      <c r="A14" s="45" t="s">
        <v>18</v>
      </c>
      <c r="B14" s="106">
        <f t="shared" ref="B14:BJ14" si="3">B7+B11</f>
        <v>1085</v>
      </c>
      <c r="C14" s="59">
        <f t="shared" si="3"/>
        <v>1226</v>
      </c>
      <c r="D14" s="59">
        <f t="shared" si="3"/>
        <v>1160</v>
      </c>
      <c r="E14" s="59">
        <f t="shared" si="3"/>
        <v>1181</v>
      </c>
      <c r="F14" s="59">
        <f t="shared" ref="F14" si="4">F7+F11</f>
        <v>1014</v>
      </c>
      <c r="G14" s="59">
        <f t="shared" si="3"/>
        <v>748</v>
      </c>
      <c r="H14" s="59">
        <f t="shared" si="3"/>
        <v>581</v>
      </c>
      <c r="I14" s="59">
        <f t="shared" si="3"/>
        <v>754</v>
      </c>
      <c r="J14" s="59">
        <f t="shared" si="3"/>
        <v>456</v>
      </c>
      <c r="K14" s="59">
        <f t="shared" si="3"/>
        <v>555</v>
      </c>
      <c r="L14" s="159">
        <f t="shared" si="3"/>
        <v>11</v>
      </c>
      <c r="M14" s="105">
        <f t="shared" si="1"/>
        <v>0</v>
      </c>
      <c r="N14" s="59">
        <f t="shared" si="3"/>
        <v>177</v>
      </c>
      <c r="O14" s="59">
        <f t="shared" si="3"/>
        <v>354</v>
      </c>
      <c r="P14" s="58">
        <f t="shared" si="3"/>
        <v>352</v>
      </c>
      <c r="Q14" s="58">
        <f t="shared" si="3"/>
        <v>202</v>
      </c>
      <c r="R14" s="58">
        <f t="shared" si="3"/>
        <v>166</v>
      </c>
      <c r="S14" s="58">
        <f t="shared" si="3"/>
        <v>334</v>
      </c>
      <c r="T14" s="58">
        <f t="shared" si="3"/>
        <v>355</v>
      </c>
      <c r="U14" s="58">
        <f t="shared" si="3"/>
        <v>371</v>
      </c>
      <c r="V14" s="58">
        <f t="shared" si="3"/>
        <v>182</v>
      </c>
      <c r="W14" s="58">
        <f t="shared" si="3"/>
        <v>398</v>
      </c>
      <c r="X14" s="58">
        <f t="shared" si="3"/>
        <v>304</v>
      </c>
      <c r="Y14" s="58">
        <f t="shared" si="3"/>
        <v>276</v>
      </c>
      <c r="Z14" s="58">
        <f t="shared" si="3"/>
        <v>166</v>
      </c>
      <c r="AA14" s="58">
        <f t="shared" si="3"/>
        <v>306</v>
      </c>
      <c r="AB14" s="58">
        <f t="shared" si="3"/>
        <v>378</v>
      </c>
      <c r="AC14" s="58">
        <f t="shared" si="3"/>
        <v>331</v>
      </c>
      <c r="AD14" s="58">
        <f t="shared" si="3"/>
        <v>223</v>
      </c>
      <c r="AE14" s="58">
        <f t="shared" si="3"/>
        <v>319</v>
      </c>
      <c r="AF14" s="58">
        <f t="shared" si="3"/>
        <v>249</v>
      </c>
      <c r="AG14" s="58">
        <f t="shared" si="3"/>
        <v>223</v>
      </c>
      <c r="AH14" s="58">
        <f t="shared" si="3"/>
        <v>97</v>
      </c>
      <c r="AI14" s="58">
        <f t="shared" si="3"/>
        <v>265</v>
      </c>
      <c r="AJ14" s="58">
        <f t="shared" si="3"/>
        <v>153</v>
      </c>
      <c r="AK14" s="58">
        <f t="shared" si="3"/>
        <v>233</v>
      </c>
      <c r="AL14" s="58">
        <f t="shared" si="3"/>
        <v>86</v>
      </c>
      <c r="AM14" s="58">
        <f t="shared" si="3"/>
        <v>171</v>
      </c>
      <c r="AN14" s="58">
        <f t="shared" si="3"/>
        <v>158</v>
      </c>
      <c r="AO14" s="58">
        <f t="shared" si="3"/>
        <v>166</v>
      </c>
      <c r="AP14" s="58">
        <f t="shared" si="3"/>
        <v>133</v>
      </c>
      <c r="AQ14" s="58">
        <f t="shared" si="3"/>
        <v>225</v>
      </c>
      <c r="AR14" s="58">
        <f t="shared" si="3"/>
        <v>176</v>
      </c>
      <c r="AS14" s="58">
        <f t="shared" si="3"/>
        <v>220</v>
      </c>
      <c r="AT14" s="58">
        <f t="shared" si="3"/>
        <v>100</v>
      </c>
      <c r="AU14" s="58">
        <f t="shared" si="3"/>
        <v>58</v>
      </c>
      <c r="AV14" s="58">
        <f t="shared" si="3"/>
        <v>121</v>
      </c>
      <c r="AW14" s="58">
        <f t="shared" si="3"/>
        <v>177</v>
      </c>
      <c r="AX14" s="58">
        <f t="shared" si="3"/>
        <v>144</v>
      </c>
      <c r="AY14" s="58">
        <f t="shared" si="3"/>
        <v>137</v>
      </c>
      <c r="AZ14" s="58">
        <f t="shared" si="3"/>
        <v>130</v>
      </c>
      <c r="BA14" s="58">
        <f t="shared" si="3"/>
        <v>144</v>
      </c>
      <c r="BB14" s="58">
        <f t="shared" si="3"/>
        <v>11</v>
      </c>
      <c r="BC14" s="58">
        <f t="shared" si="3"/>
        <v>0</v>
      </c>
      <c r="BD14" s="58">
        <f t="shared" si="3"/>
        <v>0</v>
      </c>
      <c r="BE14" s="58">
        <f t="shared" si="3"/>
        <v>0</v>
      </c>
      <c r="BF14" s="58">
        <f t="shared" si="3"/>
        <v>0</v>
      </c>
      <c r="BG14" s="58">
        <f t="shared" si="3"/>
        <v>0</v>
      </c>
      <c r="BH14" s="58">
        <f t="shared" si="3"/>
        <v>0</v>
      </c>
      <c r="BI14" s="58">
        <f t="shared" si="3"/>
        <v>0</v>
      </c>
      <c r="BJ14" s="58">
        <f t="shared" si="3"/>
        <v>26</v>
      </c>
    </row>
    <row r="15" spans="1:69" s="19" customFormat="1" ht="13.5" thickBot="1">
      <c r="A15" s="45" t="s">
        <v>19</v>
      </c>
      <c r="B15" s="107">
        <f t="shared" ref="B15:K15" si="5">B8+B12</f>
        <v>2736.8530000000001</v>
      </c>
      <c r="C15" s="108">
        <f t="shared" si="5"/>
        <v>2883.5450000000001</v>
      </c>
      <c r="D15" s="108">
        <f t="shared" si="5"/>
        <v>2685.7</v>
      </c>
      <c r="E15" s="108">
        <f t="shared" si="5"/>
        <v>2227.6420600000001</v>
      </c>
      <c r="F15" s="108">
        <f t="shared" si="5"/>
        <v>2340.549</v>
      </c>
      <c r="G15" s="108">
        <f t="shared" si="5"/>
        <v>1901.3590000000004</v>
      </c>
      <c r="H15" s="108">
        <f t="shared" si="5"/>
        <v>2499.451</v>
      </c>
      <c r="I15" s="108">
        <f t="shared" si="5"/>
        <v>1950.873</v>
      </c>
      <c r="J15" s="108">
        <f t="shared" si="5"/>
        <v>1870.2260000000001</v>
      </c>
      <c r="K15" s="108">
        <f t="shared" si="5"/>
        <v>1142.4359999999999</v>
      </c>
      <c r="L15" s="160">
        <f>L8+L12</f>
        <v>36.595999999999997</v>
      </c>
      <c r="M15" s="166">
        <f t="shared" si="1"/>
        <v>0</v>
      </c>
      <c r="N15" s="59">
        <f t="shared" ref="N15:BE15" si="6">N8+N12</f>
        <v>831.17000000000007</v>
      </c>
      <c r="O15" s="59">
        <f t="shared" si="6"/>
        <v>711.18999999999983</v>
      </c>
      <c r="P15" s="58">
        <f t="shared" si="6"/>
        <v>496.61800000000005</v>
      </c>
      <c r="Q15" s="58">
        <f t="shared" si="6"/>
        <v>697.87499999999989</v>
      </c>
      <c r="R15" s="58">
        <f t="shared" si="6"/>
        <v>390.83400000000006</v>
      </c>
      <c r="S15" s="58">
        <f t="shared" si="6"/>
        <v>1022.977</v>
      </c>
      <c r="T15" s="58">
        <f t="shared" si="6"/>
        <v>525.70999999999992</v>
      </c>
      <c r="U15" s="58">
        <f t="shared" si="6"/>
        <v>944.02400000000011</v>
      </c>
      <c r="V15" s="58">
        <f t="shared" si="6"/>
        <v>422.76700000000005</v>
      </c>
      <c r="W15" s="58">
        <f t="shared" si="6"/>
        <v>819.77000000000021</v>
      </c>
      <c r="X15" s="58">
        <f t="shared" si="6"/>
        <v>500.1239999999998</v>
      </c>
      <c r="Y15" s="58">
        <f t="shared" si="6"/>
        <v>943.03899999999987</v>
      </c>
      <c r="Z15" s="58">
        <f t="shared" si="6"/>
        <v>246.12205999999998</v>
      </c>
      <c r="AA15" s="58">
        <f t="shared" si="6"/>
        <v>569.952</v>
      </c>
      <c r="AB15" s="58">
        <f t="shared" si="6"/>
        <v>516.12623999999994</v>
      </c>
      <c r="AC15" s="58">
        <f t="shared" si="6"/>
        <v>895.44176000000004</v>
      </c>
      <c r="AD15" s="58">
        <f t="shared" si="6"/>
        <v>476.73900000000003</v>
      </c>
      <c r="AE15" s="58">
        <f t="shared" si="6"/>
        <v>1043.5119999999999</v>
      </c>
      <c r="AF15" s="58">
        <f t="shared" si="6"/>
        <v>450.94</v>
      </c>
      <c r="AG15" s="58">
        <f t="shared" si="6"/>
        <v>369.35799999999995</v>
      </c>
      <c r="AH15" s="58">
        <f t="shared" si="6"/>
        <v>506.89500000000004</v>
      </c>
      <c r="AI15" s="58">
        <f t="shared" si="6"/>
        <v>490.38</v>
      </c>
      <c r="AJ15" s="58">
        <f t="shared" si="6"/>
        <v>177.137</v>
      </c>
      <c r="AK15" s="58">
        <f t="shared" si="6"/>
        <v>726.94700000000012</v>
      </c>
      <c r="AL15" s="58">
        <f t="shared" si="6"/>
        <v>1010.9409999999999</v>
      </c>
      <c r="AM15" s="58">
        <f t="shared" si="6"/>
        <v>695.29</v>
      </c>
      <c r="AN15" s="58">
        <f t="shared" si="6"/>
        <v>324.14400000000001</v>
      </c>
      <c r="AO15" s="58">
        <f t="shared" si="6"/>
        <v>469.07600000000002</v>
      </c>
      <c r="AP15" s="58">
        <f t="shared" si="6"/>
        <v>386.68299999999999</v>
      </c>
      <c r="AQ15" s="58">
        <f t="shared" si="6"/>
        <v>590.91399999999999</v>
      </c>
      <c r="AR15" s="58">
        <f t="shared" si="6"/>
        <v>369.30400000000003</v>
      </c>
      <c r="AS15" s="58">
        <f t="shared" si="6"/>
        <v>603.97199999999998</v>
      </c>
      <c r="AT15" s="58">
        <f t="shared" si="6"/>
        <v>539.3900000000001</v>
      </c>
      <c r="AU15" s="58">
        <f t="shared" si="6"/>
        <v>230.20999999999998</v>
      </c>
      <c r="AV15" s="58">
        <f t="shared" si="6"/>
        <v>326.64100000000002</v>
      </c>
      <c r="AW15" s="58">
        <f t="shared" si="6"/>
        <v>773.98500000000001</v>
      </c>
      <c r="AX15" s="58">
        <f t="shared" si="6"/>
        <v>328.815</v>
      </c>
      <c r="AY15" s="58">
        <f t="shared" si="6"/>
        <v>388.14499999999998</v>
      </c>
      <c r="AZ15" s="58">
        <f t="shared" si="6"/>
        <v>172.518</v>
      </c>
      <c r="BA15" s="58">
        <f t="shared" si="6"/>
        <v>252.958</v>
      </c>
      <c r="BB15" s="58">
        <f t="shared" si="6"/>
        <v>36.595999999999997</v>
      </c>
      <c r="BC15" s="58">
        <f t="shared" si="6"/>
        <v>0</v>
      </c>
      <c r="BD15" s="58">
        <f t="shared" si="6"/>
        <v>0</v>
      </c>
      <c r="BE15" s="58">
        <f t="shared" si="6"/>
        <v>0</v>
      </c>
      <c r="BF15" s="58">
        <f t="shared" ref="BF15:BH15" si="7">BF8+BF12</f>
        <v>0</v>
      </c>
      <c r="BG15" s="58">
        <f t="shared" si="7"/>
        <v>0</v>
      </c>
      <c r="BH15" s="58">
        <f t="shared" si="7"/>
        <v>0</v>
      </c>
      <c r="BI15" s="58">
        <f t="shared" ref="BI15:BJ15" si="8">BI8+BI12</f>
        <v>0</v>
      </c>
      <c r="BJ15" s="58">
        <f t="shared" si="8"/>
        <v>303.24900000000002</v>
      </c>
    </row>
    <row r="23" spans="1:1" ht="12.75">
      <c r="A23" s="74"/>
    </row>
    <row r="24" spans="1:1" ht="12.75">
      <c r="A24" s="73"/>
    </row>
    <row r="25" spans="1:1" ht="12.75">
      <c r="A25" s="73"/>
    </row>
    <row r="26" spans="1:1" ht="12.75">
      <c r="A26" s="73"/>
    </row>
    <row r="27" spans="1:1" ht="12.75">
      <c r="A27" s="74"/>
    </row>
    <row r="28" spans="1:1" ht="12.75">
      <c r="A28" s="73"/>
    </row>
    <row r="29" spans="1:1" ht="12.75">
      <c r="A29" s="73"/>
    </row>
    <row r="30" spans="1:1" ht="12.75">
      <c r="A30" s="73"/>
    </row>
    <row r="31" spans="1:1" ht="12.75">
      <c r="A31" s="74"/>
    </row>
    <row r="32" spans="1:1" ht="12.75">
      <c r="A32" s="73"/>
    </row>
    <row r="33" spans="1:1" ht="12.75">
      <c r="A33" s="73"/>
    </row>
    <row r="34" spans="1:1" ht="12.75">
      <c r="A34" s="73"/>
    </row>
  </sheetData>
  <mergeCells count="2">
    <mergeCell ref="B3:L3"/>
    <mergeCell ref="B4:L4"/>
  </mergeCells>
  <phoneticPr fontId="127" type="noConversion"/>
  <pageMargins left="0.511811024" right="0.511811024" top="0.78740157499999996" bottom="0.78740157499999996" header="0.31496062000000002" footer="0.31496062000000002"/>
  <pageSetup paperSize="9" orientation="portrait" r:id="rId1"/>
  <ignoredErrors>
    <ignoredError sqref="E7:E13 F7:F8 F10:F12 N7:AC13 G14:L15 G7:M13 AD7:BI13" formulaRange="1"/>
    <ignoredError sqref="M15:BI15 M14:BB14"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Introdução</vt:lpstr>
      <vt:lpstr>DRE</vt:lpstr>
      <vt:lpstr>BP</vt:lpstr>
      <vt:lpstr>FC</vt:lpstr>
      <vt:lpstr>Endividamento</vt:lpstr>
      <vt:lpstr>Operacionais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2022-05-17T19:34:39Z</dcterms:modified>
</cp:coreProperties>
</file>